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AIP\Desktop\trimestral\presupuesto\"/>
    </mc:Choice>
  </mc:AlternateContent>
  <xr:revisionPtr revIDLastSave="0" documentId="13_ncr:1_{94C837AB-BC69-42E4-87E5-1917270E32DC}" xr6:coauthVersionLast="47" xr6:coauthVersionMax="47" xr10:uidLastSave="{00000000-0000-0000-0000-000000000000}"/>
  <bookViews>
    <workbookView xWindow="-120" yWindow="-120" windowWidth="20730" windowHeight="11160" tabRatio="815" firstSheet="7" activeTab="13" xr2:uid="{00000000-000D-0000-FFFF-FFFF00000000}"/>
  </bookViews>
  <sheets>
    <sheet name="EST. PRES" sheetId="20" r:id="rId1"/>
    <sheet name="ProyIng" sheetId="4" r:id="rId2"/>
    <sheet name="INGxFF" sheetId="5" r:id="rId3"/>
    <sheet name="Ingresos" sheetId="6" r:id="rId4"/>
    <sheet name="SdoBcos" sheetId="7" r:id="rId5"/>
    <sheet name="Nomina" sheetId="8" r:id="rId6"/>
    <sheet name="Res_Nom_CR" sheetId="18" r:id="rId7"/>
    <sheet name="Res_Nom_FF" sheetId="9" r:id="rId8"/>
    <sheet name="BS_CR " sheetId="19" r:id="rId9"/>
    <sheet name="Cuentasxpagar" sheetId="21" r:id="rId10"/>
    <sheet name="UNIDAD_PPTO" sheetId="22" r:id="rId11"/>
    <sheet name="EgreUP01" sheetId="10" r:id="rId12"/>
    <sheet name="EgreUP02" sheetId="11" r:id="rId13"/>
    <sheet name="Egre0304" sheetId="12" r:id="rId14"/>
    <sheet name="Consolidado" sheetId="13" r:id="rId15"/>
    <sheet name="Egresos" sheetId="14" r:id="rId16"/>
    <sheet name="ResCE" sheetId="15" r:id="rId17"/>
    <sheet name="ResEP" sheetId="16" r:id="rId18"/>
    <sheet name="ResFF" sheetId="17" r:id="rId19"/>
  </sheets>
  <definedNames>
    <definedName name="_xlnm.Print_Area" localSheetId="8">'BS_CR '!$A$186:$N$268</definedName>
    <definedName name="_xlnm.Print_Area" localSheetId="14">Consolidado!$A$1:$AD$128</definedName>
    <definedName name="_xlnm.Print_Area" localSheetId="13">Egre0304!$A$93:$H$113</definedName>
    <definedName name="_xlnm.Print_Area" localSheetId="15">Egresos!$A$1:$E$128</definedName>
    <definedName name="_xlnm.Print_Area" localSheetId="11">EgreUP01!$A$95:$H$189</definedName>
    <definedName name="_xlnm.Print_Area" localSheetId="12">EgreUP02!$A$1:$H$192</definedName>
    <definedName name="_xlnm.Print_Area" localSheetId="0">'EST. PRES'!$A$1:$E$65</definedName>
    <definedName name="_xlnm.Print_Area" localSheetId="3">Ingresos!$A$1:$E$84</definedName>
    <definedName name="_xlnm.Print_Area" localSheetId="2">INGxFF!$A$1:$I$85</definedName>
    <definedName name="_xlnm.Print_Area" localSheetId="5">Nomina!$A$218:$P$235</definedName>
    <definedName name="_xlnm.Print_Area" localSheetId="1">ProyIng!$A$1:$H$50</definedName>
    <definedName name="_xlnm.Print_Area" localSheetId="6">Res_Nom_CR!$A$92:$Q$119</definedName>
    <definedName name="_xlnm.Print_Area" localSheetId="7">Res_Nom_FF!$A$1:$I$40</definedName>
    <definedName name="_xlnm.Print_Area" localSheetId="16">ResCE!$A$1:$C$35</definedName>
    <definedName name="_xlnm.Print_Area" localSheetId="17">ResEP!$A$1:$G$25</definedName>
    <definedName name="_xlnm.Print_Area" localSheetId="18">ResFF!$A$1:$D$19</definedName>
    <definedName name="_xlnm.Print_Area" localSheetId="4">SdoBcos!$A$1:$M$27</definedName>
    <definedName name="BASEDATOS">#REF!</definedName>
    <definedName name="_xlnm.Criteria">#REF!</definedName>
    <definedName name="EXTRAER">#REF!</definedName>
    <definedName name="_xlnm.Print_Titles" localSheetId="14">Consolidado!$A:$B,Consolidado!$1:$6</definedName>
    <definedName name="_xlnm.Print_Titles" localSheetId="15">Egresos!$1:$6</definedName>
    <definedName name="_xlnm.Print_Titles" localSheetId="3">Ingresos!$1:$9</definedName>
    <definedName name="_xlnm.Print_Titles" localSheetId="2">INGxFF!$1:$8</definedName>
    <definedName name="_xlnm.Print_Titles" localSheetId="5">Nomina!$1:$3</definedName>
    <definedName name="_xlnm.Print_Titles" localSheetId="4">SdoBcos!$1:$4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0" i="19" l="1"/>
  <c r="D49" i="19"/>
  <c r="J131" i="19"/>
  <c r="J40" i="19"/>
  <c r="G147" i="19"/>
  <c r="G56" i="19"/>
  <c r="E35" i="22" l="1"/>
  <c r="E30" i="22"/>
  <c r="E31" i="22"/>
  <c r="E20" i="22"/>
  <c r="E33" i="22"/>
  <c r="C10" i="12"/>
  <c r="C9" i="12" s="1"/>
  <c r="H9" i="12" s="1"/>
  <c r="E45" i="7"/>
  <c r="E47" i="7" s="1"/>
  <c r="D14" i="7"/>
  <c r="M14" i="7"/>
  <c r="I26" i="7"/>
  <c r="H26" i="7"/>
  <c r="F26" i="7"/>
  <c r="E29" i="7" s="1"/>
  <c r="Z75" i="19"/>
  <c r="E26" i="22" s="1"/>
  <c r="K16" i="7"/>
  <c r="AD28" i="13"/>
  <c r="AD101" i="13"/>
  <c r="M86" i="13"/>
  <c r="N86" i="13"/>
  <c r="O86" i="13"/>
  <c r="L86" i="13"/>
  <c r="D22" i="12"/>
  <c r="E22" i="12"/>
  <c r="F22" i="12"/>
  <c r="G22" i="12"/>
  <c r="C22" i="12"/>
  <c r="D34" i="12"/>
  <c r="E34" i="12"/>
  <c r="G34" i="12"/>
  <c r="C34" i="12"/>
  <c r="H12" i="12"/>
  <c r="H11" i="12"/>
  <c r="D10" i="12"/>
  <c r="E10" i="12"/>
  <c r="F10" i="12"/>
  <c r="G10" i="12"/>
  <c r="H10" i="12" l="1"/>
  <c r="I99" i="13" s="1"/>
  <c r="F65" i="4"/>
  <c r="G65" i="4" s="1"/>
  <c r="W67" i="19"/>
  <c r="X67" i="19"/>
  <c r="Y67" i="19"/>
  <c r="Z67" i="19"/>
  <c r="AA67" i="19"/>
  <c r="AB67" i="19"/>
  <c r="AC67" i="19"/>
  <c r="AD67" i="19"/>
  <c r="AE67" i="19"/>
  <c r="AF67" i="19"/>
  <c r="AG67" i="19"/>
  <c r="AH67" i="19"/>
  <c r="AI67" i="19"/>
  <c r="V67" i="19"/>
  <c r="S8" i="19"/>
  <c r="T8" i="19"/>
  <c r="U8" i="19"/>
  <c r="V8" i="19"/>
  <c r="W8" i="19"/>
  <c r="X8" i="19"/>
  <c r="Y8" i="19"/>
  <c r="AA8" i="19"/>
  <c r="AB8" i="19"/>
  <c r="AC8" i="19"/>
  <c r="AD8" i="19"/>
  <c r="AE8" i="19"/>
  <c r="AF8" i="19"/>
  <c r="AG8" i="19"/>
  <c r="AH8" i="19"/>
  <c r="AI8" i="19"/>
  <c r="R8" i="19"/>
  <c r="C213" i="19"/>
  <c r="C31" i="19"/>
  <c r="D24" i="7"/>
  <c r="L26" i="7"/>
  <c r="E31" i="7" s="1"/>
  <c r="E26" i="7"/>
  <c r="E32" i="7" s="1"/>
  <c r="D6" i="7"/>
  <c r="D7" i="7"/>
  <c r="D8" i="7"/>
  <c r="D9" i="7"/>
  <c r="D10" i="7"/>
  <c r="D11" i="7"/>
  <c r="D13" i="7"/>
  <c r="D15" i="7"/>
  <c r="D16" i="7"/>
  <c r="D17" i="7"/>
  <c r="D19" i="7"/>
  <c r="D20" i="7"/>
  <c r="D21" i="7"/>
  <c r="D22" i="7"/>
  <c r="D23" i="7"/>
  <c r="D25" i="7"/>
  <c r="G12" i="7"/>
  <c r="G26" i="7" s="1"/>
  <c r="E30" i="7" s="1"/>
  <c r="D5" i="7"/>
  <c r="J18" i="7"/>
  <c r="D18" i="7" s="1"/>
  <c r="X122" i="13"/>
  <c r="X124" i="13"/>
  <c r="Y124" i="13" s="1"/>
  <c r="X119" i="13"/>
  <c r="Y119" i="13" s="1"/>
  <c r="X120" i="13"/>
  <c r="Y120" i="13" s="1"/>
  <c r="X123" i="13"/>
  <c r="Y123" i="13" s="1"/>
  <c r="X125" i="13"/>
  <c r="Y125" i="13" s="1"/>
  <c r="X126" i="13"/>
  <c r="Y126" i="13" s="1"/>
  <c r="X127" i="13"/>
  <c r="Y127" i="13" s="1"/>
  <c r="F62" i="12"/>
  <c r="F61" i="12" s="1"/>
  <c r="D61" i="12"/>
  <c r="E61" i="12"/>
  <c r="G61" i="12"/>
  <c r="D57" i="12"/>
  <c r="E57" i="12"/>
  <c r="F57" i="12"/>
  <c r="G57" i="12"/>
  <c r="C57" i="12"/>
  <c r="D12" i="7" l="1"/>
  <c r="D26" i="7" s="1"/>
  <c r="V122" i="13"/>
  <c r="H5" i="4"/>
  <c r="H50" i="4" s="1"/>
  <c r="BF90" i="19" s="1"/>
  <c r="H169" i="11"/>
  <c r="E158" i="11"/>
  <c r="F158" i="11"/>
  <c r="G158" i="11"/>
  <c r="C158" i="11"/>
  <c r="B159" i="11"/>
  <c r="B87" i="13" s="1"/>
  <c r="B86" i="14" s="1"/>
  <c r="B158" i="11"/>
  <c r="B86" i="13" s="1"/>
  <c r="B85" i="14" s="1"/>
  <c r="BB118" i="19"/>
  <c r="BB100" i="19"/>
  <c r="Y158" i="19"/>
  <c r="Z158" i="19"/>
  <c r="AA158" i="19"/>
  <c r="AB158" i="19"/>
  <c r="AC158" i="19"/>
  <c r="AD158" i="19"/>
  <c r="AE158" i="19"/>
  <c r="AF158" i="19"/>
  <c r="AG158" i="19"/>
  <c r="AH158" i="19"/>
  <c r="AI158" i="19"/>
  <c r="X158" i="19"/>
  <c r="S126" i="19"/>
  <c r="T126" i="19"/>
  <c r="U126" i="19"/>
  <c r="V126" i="19"/>
  <c r="W126" i="19"/>
  <c r="X126" i="19"/>
  <c r="Y126" i="19"/>
  <c r="Z126" i="19"/>
  <c r="AA126" i="19"/>
  <c r="AB126" i="19"/>
  <c r="AC126" i="19"/>
  <c r="AD126" i="19"/>
  <c r="AE126" i="19"/>
  <c r="AF126" i="19"/>
  <c r="AG126" i="19"/>
  <c r="AH126" i="19"/>
  <c r="AI126" i="19"/>
  <c r="R126" i="19"/>
  <c r="S121" i="19"/>
  <c r="T121" i="19"/>
  <c r="U121" i="19"/>
  <c r="V121" i="19"/>
  <c r="W121" i="19"/>
  <c r="X121" i="19"/>
  <c r="Y121" i="19"/>
  <c r="Z121" i="19"/>
  <c r="AA121" i="19"/>
  <c r="AB121" i="19"/>
  <c r="AC121" i="19"/>
  <c r="AD121" i="19"/>
  <c r="AE121" i="19"/>
  <c r="AF121" i="19"/>
  <c r="AG121" i="19"/>
  <c r="AH121" i="19"/>
  <c r="AI121" i="19"/>
  <c r="R121" i="19"/>
  <c r="S99" i="19"/>
  <c r="T99" i="19"/>
  <c r="U99" i="19"/>
  <c r="V99" i="19"/>
  <c r="W99" i="19"/>
  <c r="X99" i="19"/>
  <c r="Y99" i="19"/>
  <c r="AA99" i="19"/>
  <c r="AB99" i="19"/>
  <c r="AC99" i="19"/>
  <c r="AD99" i="19"/>
  <c r="AE99" i="19"/>
  <c r="AF99" i="19"/>
  <c r="AG99" i="19"/>
  <c r="AH99" i="19"/>
  <c r="AI99" i="19"/>
  <c r="R99" i="19"/>
  <c r="AJ100" i="19"/>
  <c r="AO167" i="19"/>
  <c r="AO163" i="19"/>
  <c r="AO161" i="19"/>
  <c r="AO160" i="19" s="1"/>
  <c r="AO158" i="19"/>
  <c r="AO151" i="19"/>
  <c r="AO146" i="19"/>
  <c r="AO141" i="19"/>
  <c r="AO126" i="19"/>
  <c r="AO121" i="19"/>
  <c r="AO99" i="19"/>
  <c r="AO98" i="19" l="1"/>
  <c r="AO178" i="19" s="1"/>
  <c r="T98" i="19"/>
  <c r="AJ126" i="19"/>
  <c r="V121" i="13"/>
  <c r="Y122" i="13"/>
  <c r="AW209" i="19" l="1"/>
  <c r="BD174" i="19" l="1"/>
  <c r="AJ9" i="19"/>
  <c r="AJ10" i="19"/>
  <c r="AJ11" i="19"/>
  <c r="AJ12" i="19"/>
  <c r="AJ13" i="19"/>
  <c r="AJ14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1" i="19"/>
  <c r="AJ32" i="19"/>
  <c r="AJ33" i="19"/>
  <c r="AJ34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1" i="19"/>
  <c r="AJ52" i="19"/>
  <c r="AJ53" i="19"/>
  <c r="AJ54" i="19"/>
  <c r="AJ56" i="19"/>
  <c r="AJ57" i="19"/>
  <c r="AJ58" i="19"/>
  <c r="AJ59" i="19"/>
  <c r="AJ61" i="19"/>
  <c r="AJ62" i="19"/>
  <c r="AJ64" i="19"/>
  <c r="AJ65" i="19"/>
  <c r="AJ66" i="19"/>
  <c r="AJ68" i="19"/>
  <c r="AJ71" i="19"/>
  <c r="AJ73" i="19"/>
  <c r="AJ74" i="19"/>
  <c r="AJ75" i="19"/>
  <c r="AJ77" i="19"/>
  <c r="AJ78" i="19"/>
  <c r="AJ79" i="19"/>
  <c r="AJ80" i="19"/>
  <c r="AJ81" i="19"/>
  <c r="AJ82" i="19"/>
  <c r="AJ83" i="19"/>
  <c r="AJ84" i="19"/>
  <c r="AJ85" i="19"/>
  <c r="AJ86" i="19"/>
  <c r="AJ102" i="19"/>
  <c r="AJ103" i="19"/>
  <c r="AJ104" i="19"/>
  <c r="AJ105" i="19"/>
  <c r="AJ107" i="19"/>
  <c r="AJ108" i="19"/>
  <c r="AJ109" i="19"/>
  <c r="AJ110" i="19"/>
  <c r="AJ111" i="19"/>
  <c r="AJ112" i="19"/>
  <c r="AJ113" i="19"/>
  <c r="AJ114" i="19"/>
  <c r="AJ115" i="19"/>
  <c r="AJ116" i="19"/>
  <c r="AJ117" i="19"/>
  <c r="AJ118" i="19"/>
  <c r="AJ119" i="19"/>
  <c r="AJ120" i="19"/>
  <c r="AJ121" i="19"/>
  <c r="AJ122" i="19"/>
  <c r="AJ123" i="19"/>
  <c r="AJ124" i="19"/>
  <c r="AJ125" i="19"/>
  <c r="AJ127" i="19"/>
  <c r="AJ128" i="19"/>
  <c r="AJ129" i="19"/>
  <c r="AJ130" i="19"/>
  <c r="AJ131" i="19"/>
  <c r="AJ132" i="19"/>
  <c r="AJ133" i="19"/>
  <c r="AJ134" i="19"/>
  <c r="AJ135" i="19"/>
  <c r="AJ136" i="19"/>
  <c r="AJ137" i="19"/>
  <c r="AJ138" i="19"/>
  <c r="AJ139" i="19"/>
  <c r="AJ140" i="19"/>
  <c r="AJ142" i="19"/>
  <c r="AJ143" i="19"/>
  <c r="AJ144" i="19"/>
  <c r="AJ145" i="19"/>
  <c r="AJ147" i="19"/>
  <c r="AJ148" i="19"/>
  <c r="AJ149" i="19"/>
  <c r="AJ150" i="19"/>
  <c r="AJ152" i="19"/>
  <c r="AJ153" i="19"/>
  <c r="AJ155" i="19"/>
  <c r="AJ156" i="19"/>
  <c r="AJ157" i="19"/>
  <c r="AJ159" i="19"/>
  <c r="AJ162" i="19"/>
  <c r="AJ164" i="19"/>
  <c r="AJ165" i="19"/>
  <c r="AJ166" i="19"/>
  <c r="AJ168" i="19"/>
  <c r="AJ169" i="19"/>
  <c r="AJ170" i="19"/>
  <c r="AJ171" i="19"/>
  <c r="AJ172" i="19"/>
  <c r="AJ173" i="19"/>
  <c r="AJ174" i="19"/>
  <c r="AJ175" i="19"/>
  <c r="BD175" i="19" s="1"/>
  <c r="AJ176" i="19"/>
  <c r="AJ177" i="19"/>
  <c r="BD177" i="19" s="1"/>
  <c r="AJ101" i="19"/>
  <c r="AI55" i="19"/>
  <c r="AI50" i="19"/>
  <c r="AI30" i="19"/>
  <c r="S55" i="19"/>
  <c r="S146" i="19"/>
  <c r="E56" i="4"/>
  <c r="F56" i="4" s="1"/>
  <c r="H233" i="8"/>
  <c r="I233" i="8" s="1"/>
  <c r="K233" i="8" s="1"/>
  <c r="J233" i="8"/>
  <c r="M233" i="8"/>
  <c r="O233" i="8" s="1"/>
  <c r="AX231" i="19"/>
  <c r="AX212" i="19"/>
  <c r="AX217" i="19"/>
  <c r="C212" i="19"/>
  <c r="C215" i="19"/>
  <c r="BB173" i="19"/>
  <c r="BB172" i="19"/>
  <c r="BB171" i="19"/>
  <c r="BB170" i="19"/>
  <c r="BD170" i="19" s="1"/>
  <c r="BB169" i="19"/>
  <c r="BB168" i="19"/>
  <c r="BA167" i="19"/>
  <c r="AZ167" i="19"/>
  <c r="AY167" i="19"/>
  <c r="AX167" i="19"/>
  <c r="AW167" i="19"/>
  <c r="AV167" i="19"/>
  <c r="AU167" i="19"/>
  <c r="BB167" i="19" s="1"/>
  <c r="BB166" i="19"/>
  <c r="BB165" i="19"/>
  <c r="BB164" i="19"/>
  <c r="BA163" i="19"/>
  <c r="AZ163" i="19"/>
  <c r="AY163" i="19"/>
  <c r="AX163" i="19"/>
  <c r="AW163" i="19"/>
  <c r="AV163" i="19"/>
  <c r="AU163" i="19"/>
  <c r="BB163" i="19" s="1"/>
  <c r="BB162" i="19"/>
  <c r="BA161" i="19"/>
  <c r="BA160" i="19" s="1"/>
  <c r="AZ161" i="19"/>
  <c r="AY161" i="19"/>
  <c r="AX161" i="19"/>
  <c r="AW161" i="19"/>
  <c r="AV161" i="19"/>
  <c r="AU161" i="19"/>
  <c r="BB161" i="19" s="1"/>
  <c r="AY160" i="19"/>
  <c r="AX160" i="19"/>
  <c r="AW160" i="19"/>
  <c r="BB159" i="19"/>
  <c r="BA158" i="19"/>
  <c r="AZ158" i="19"/>
  <c r="AY158" i="19"/>
  <c r="AX158" i="19"/>
  <c r="AW158" i="19"/>
  <c r="AV158" i="19"/>
  <c r="AU158" i="19"/>
  <c r="BB158" i="19" s="1"/>
  <c r="BB157" i="19"/>
  <c r="BB156" i="19"/>
  <c r="BB155" i="19"/>
  <c r="BA154" i="19"/>
  <c r="AZ154" i="19"/>
  <c r="AY154" i="19"/>
  <c r="AX154" i="19"/>
  <c r="AW154" i="19"/>
  <c r="AV154" i="19"/>
  <c r="AU154" i="19"/>
  <c r="BB154" i="19" s="1"/>
  <c r="BB153" i="19"/>
  <c r="BA152" i="19"/>
  <c r="AZ152" i="19"/>
  <c r="AY152" i="19"/>
  <c r="AX152" i="19"/>
  <c r="AW152" i="19"/>
  <c r="AV152" i="19"/>
  <c r="AU152" i="19"/>
  <c r="AZ151" i="19"/>
  <c r="AY151" i="19"/>
  <c r="AV151" i="19"/>
  <c r="AU151" i="19"/>
  <c r="BB150" i="19"/>
  <c r="BB149" i="19"/>
  <c r="BB148" i="19"/>
  <c r="BB147" i="19"/>
  <c r="BA146" i="19"/>
  <c r="AZ146" i="19"/>
  <c r="AY146" i="19"/>
  <c r="AX146" i="19"/>
  <c r="AW146" i="19"/>
  <c r="AV146" i="19"/>
  <c r="AU146" i="19"/>
  <c r="BB145" i="19"/>
  <c r="BB144" i="19"/>
  <c r="BB143" i="19"/>
  <c r="BB142" i="19"/>
  <c r="BA141" i="19"/>
  <c r="AZ141" i="19"/>
  <c r="AY141" i="19"/>
  <c r="AX141" i="19"/>
  <c r="AW141" i="19"/>
  <c r="AV141" i="19"/>
  <c r="BB141" i="19" s="1"/>
  <c r="AU141" i="19"/>
  <c r="BB140" i="19"/>
  <c r="BB139" i="19"/>
  <c r="BB138" i="19"/>
  <c r="BB137" i="19"/>
  <c r="BB136" i="19"/>
  <c r="BB135" i="19"/>
  <c r="BB134" i="19"/>
  <c r="BB133" i="19"/>
  <c r="BB132" i="19"/>
  <c r="BB131" i="19"/>
  <c r="BB130" i="19"/>
  <c r="BB129" i="19"/>
  <c r="BB128" i="19"/>
  <c r="BB127" i="19"/>
  <c r="BA126" i="19"/>
  <c r="BA98" i="19" s="1"/>
  <c r="AZ126" i="19"/>
  <c r="AY126" i="19"/>
  <c r="AX126" i="19"/>
  <c r="AW126" i="19"/>
  <c r="AV126" i="19"/>
  <c r="AU126" i="19"/>
  <c r="BB125" i="19"/>
  <c r="BB124" i="19"/>
  <c r="BB123" i="19"/>
  <c r="BB122" i="19"/>
  <c r="BA121" i="19"/>
  <c r="AZ121" i="19"/>
  <c r="AY121" i="19"/>
  <c r="AX121" i="19"/>
  <c r="AW121" i="19"/>
  <c r="AV121" i="19"/>
  <c r="AU121" i="19"/>
  <c r="BB120" i="19"/>
  <c r="BB119" i="19"/>
  <c r="BB117" i="19"/>
  <c r="BB116" i="19"/>
  <c r="BB115" i="19"/>
  <c r="BB114" i="19"/>
  <c r="BB113" i="19"/>
  <c r="BB112" i="19"/>
  <c r="BB111" i="19"/>
  <c r="BB110" i="19"/>
  <c r="BB109" i="19"/>
  <c r="BB108" i="19"/>
  <c r="BB107" i="19"/>
  <c r="BB106" i="19"/>
  <c r="BB105" i="19"/>
  <c r="BB104" i="19"/>
  <c r="BB103" i="19"/>
  <c r="BB102" i="19"/>
  <c r="BB101" i="19"/>
  <c r="BA99" i="19"/>
  <c r="AZ99" i="19"/>
  <c r="AY99" i="19"/>
  <c r="AX99" i="19"/>
  <c r="AW99" i="19"/>
  <c r="AV99" i="19"/>
  <c r="AU99" i="19"/>
  <c r="AU98" i="19"/>
  <c r="AQ173" i="19"/>
  <c r="AQ172" i="19"/>
  <c r="BD172" i="19" s="1"/>
  <c r="AQ171" i="19"/>
  <c r="AQ169" i="19"/>
  <c r="AQ168" i="19"/>
  <c r="AP167" i="19"/>
  <c r="AN167" i="19"/>
  <c r="AQ166" i="19"/>
  <c r="BD166" i="19" s="1"/>
  <c r="AQ165" i="19"/>
  <c r="AQ164" i="19"/>
  <c r="AQ163" i="19" s="1"/>
  <c r="AP163" i="19"/>
  <c r="AN163" i="19"/>
  <c r="AN160" i="19" s="1"/>
  <c r="AQ162" i="19"/>
  <c r="AQ161" i="19" s="1"/>
  <c r="AP161" i="19"/>
  <c r="AN161" i="19"/>
  <c r="AP160" i="19"/>
  <c r="AQ159" i="19"/>
  <c r="AQ158" i="19" s="1"/>
  <c r="AP158" i="19"/>
  <c r="AN158" i="19"/>
  <c r="AQ157" i="19"/>
  <c r="AQ156" i="19"/>
  <c r="AQ155" i="19"/>
  <c r="AP154" i="19"/>
  <c r="AP151" i="19" s="1"/>
  <c r="AN154" i="19"/>
  <c r="AQ150" i="19"/>
  <c r="AQ149" i="19"/>
  <c r="AQ148" i="19"/>
  <c r="BD148" i="19" s="1"/>
  <c r="AQ147" i="19"/>
  <c r="AP146" i="19"/>
  <c r="AN146" i="19"/>
  <c r="AQ146" i="19" s="1"/>
  <c r="AQ145" i="19"/>
  <c r="AQ144" i="19"/>
  <c r="BD144" i="19" s="1"/>
  <c r="AQ143" i="19"/>
  <c r="AQ142" i="19"/>
  <c r="BD142" i="19" s="1"/>
  <c r="AP141" i="19"/>
  <c r="AN141" i="19"/>
  <c r="AQ141" i="19" s="1"/>
  <c r="AQ140" i="19"/>
  <c r="AQ139" i="19"/>
  <c r="AQ138" i="19"/>
  <c r="BD138" i="19" s="1"/>
  <c r="AQ137" i="19"/>
  <c r="AQ136" i="19"/>
  <c r="BD136" i="19" s="1"/>
  <c r="AQ135" i="19"/>
  <c r="AQ134" i="19"/>
  <c r="BD134" i="19" s="1"/>
  <c r="AQ133" i="19"/>
  <c r="AQ132" i="19"/>
  <c r="BD132" i="19" s="1"/>
  <c r="AQ131" i="19"/>
  <c r="AQ130" i="19"/>
  <c r="AQ129" i="19"/>
  <c r="AQ128" i="19"/>
  <c r="BD128" i="19" s="1"/>
  <c r="AQ127" i="19"/>
  <c r="AP126" i="19"/>
  <c r="AN126" i="19"/>
  <c r="AQ125" i="19"/>
  <c r="AQ124" i="19"/>
  <c r="AQ123" i="19"/>
  <c r="AQ122" i="19"/>
  <c r="AP121" i="19"/>
  <c r="AP98" i="19" s="1"/>
  <c r="AN121" i="19"/>
  <c r="AQ121" i="19" s="1"/>
  <c r="AQ120" i="19"/>
  <c r="AQ119" i="19"/>
  <c r="BD119" i="19" s="1"/>
  <c r="AQ118" i="19"/>
  <c r="AQ117" i="19"/>
  <c r="BD117" i="19" s="1"/>
  <c r="AQ116" i="19"/>
  <c r="AQ115" i="19"/>
  <c r="BD115" i="19" s="1"/>
  <c r="AQ114" i="19"/>
  <c r="AQ113" i="19"/>
  <c r="BD113" i="19" s="1"/>
  <c r="AQ112" i="19"/>
  <c r="AQ111" i="19"/>
  <c r="BD111" i="19" s="1"/>
  <c r="AQ110" i="19"/>
  <c r="AQ109" i="19"/>
  <c r="BD109" i="19" s="1"/>
  <c r="AQ108" i="19"/>
  <c r="AQ107" i="19"/>
  <c r="BD107" i="19" s="1"/>
  <c r="AQ106" i="19"/>
  <c r="AQ105" i="19"/>
  <c r="BD105" i="19" s="1"/>
  <c r="AQ104" i="19"/>
  <c r="AQ103" i="19"/>
  <c r="BD103" i="19" s="1"/>
  <c r="AQ102" i="19"/>
  <c r="AQ101" i="19"/>
  <c r="BD101" i="19" s="1"/>
  <c r="AQ100" i="19"/>
  <c r="AP99" i="19"/>
  <c r="AN99" i="19"/>
  <c r="AQ99" i="19" s="1"/>
  <c r="AN190" i="19"/>
  <c r="AO190" i="19"/>
  <c r="AP190" i="19"/>
  <c r="AQ191" i="19"/>
  <c r="AQ193" i="19"/>
  <c r="AQ194" i="19"/>
  <c r="AQ195" i="19"/>
  <c r="AQ196" i="19"/>
  <c r="AQ197" i="19"/>
  <c r="AQ198" i="19"/>
  <c r="AQ199" i="19"/>
  <c r="AQ200" i="19"/>
  <c r="AQ201" i="19"/>
  <c r="AQ202" i="19"/>
  <c r="AQ204" i="19"/>
  <c r="AQ205" i="19"/>
  <c r="AQ206" i="19"/>
  <c r="AQ207" i="19"/>
  <c r="AQ208" i="19"/>
  <c r="AQ209" i="19"/>
  <c r="AQ210" i="19"/>
  <c r="AQ211" i="19"/>
  <c r="AN212" i="19"/>
  <c r="AO212" i="19"/>
  <c r="AP212" i="19"/>
  <c r="AQ213" i="19"/>
  <c r="AQ214" i="19"/>
  <c r="AQ215" i="19"/>
  <c r="AQ216" i="19"/>
  <c r="AN217" i="19"/>
  <c r="AO217" i="19"/>
  <c r="AP217" i="19"/>
  <c r="AQ218" i="19"/>
  <c r="AQ219" i="19"/>
  <c r="AQ220" i="19"/>
  <c r="AQ221" i="19"/>
  <c r="AQ222" i="19"/>
  <c r="AQ223" i="19"/>
  <c r="AQ224" i="19"/>
  <c r="AQ225" i="19"/>
  <c r="AQ226" i="19"/>
  <c r="AQ227" i="19"/>
  <c r="AQ228" i="19"/>
  <c r="AQ229" i="19"/>
  <c r="AQ230" i="19"/>
  <c r="AN231" i="19"/>
  <c r="AO231" i="19"/>
  <c r="AP231" i="19"/>
  <c r="AQ232" i="19"/>
  <c r="AQ233" i="19"/>
  <c r="AQ234" i="19"/>
  <c r="AQ235" i="19"/>
  <c r="AQ231" i="19" s="1"/>
  <c r="AN236" i="19"/>
  <c r="AO236" i="19"/>
  <c r="AP236" i="19"/>
  <c r="AQ237" i="19"/>
  <c r="AQ238" i="19"/>
  <c r="AQ239" i="19"/>
  <c r="AQ240" i="19"/>
  <c r="AN244" i="19"/>
  <c r="AN241" i="19" s="1"/>
  <c r="AO244" i="19"/>
  <c r="AP244" i="19"/>
  <c r="AP241" i="19" s="1"/>
  <c r="AQ245" i="19"/>
  <c r="AQ244" i="19" s="1"/>
  <c r="AQ246" i="19"/>
  <c r="AQ247" i="19"/>
  <c r="AN248" i="19"/>
  <c r="AO248" i="19"/>
  <c r="AP248" i="19"/>
  <c r="AQ249" i="19"/>
  <c r="AQ248" i="19" s="1"/>
  <c r="AN251" i="19"/>
  <c r="AO251" i="19"/>
  <c r="AO250" i="19" s="1"/>
  <c r="AP251" i="19"/>
  <c r="AQ251" i="19"/>
  <c r="AQ252" i="19"/>
  <c r="AN253" i="19"/>
  <c r="AO253" i="19"/>
  <c r="AP253" i="19"/>
  <c r="AQ254" i="19"/>
  <c r="AQ255" i="19"/>
  <c r="AQ256" i="19"/>
  <c r="AN257" i="19"/>
  <c r="AO257" i="19"/>
  <c r="AP257" i="19"/>
  <c r="AQ258" i="19"/>
  <c r="AQ259" i="19"/>
  <c r="AQ261" i="19"/>
  <c r="AQ262" i="19"/>
  <c r="AQ257" i="19" s="1"/>
  <c r="AH167" i="19"/>
  <c r="AF167" i="19"/>
  <c r="AE167" i="19"/>
  <c r="AD167" i="19"/>
  <c r="AC167" i="19"/>
  <c r="AB167" i="19"/>
  <c r="AA167" i="19"/>
  <c r="Z167" i="19"/>
  <c r="Y167" i="19"/>
  <c r="X167" i="19"/>
  <c r="W167" i="19"/>
  <c r="V167" i="19"/>
  <c r="U167" i="19"/>
  <c r="T167" i="19"/>
  <c r="S167" i="19"/>
  <c r="R167" i="19"/>
  <c r="AH163" i="19"/>
  <c r="AG163" i="19"/>
  <c r="AG160" i="19" s="1"/>
  <c r="AF163" i="19"/>
  <c r="AE163" i="19"/>
  <c r="AE160" i="19" s="1"/>
  <c r="AD163" i="19"/>
  <c r="AC163" i="19"/>
  <c r="AB163" i="19"/>
  <c r="AA163" i="19"/>
  <c r="Z163" i="19"/>
  <c r="Y163" i="19"/>
  <c r="X163" i="19"/>
  <c r="W163" i="19"/>
  <c r="V163" i="19"/>
  <c r="U163" i="19"/>
  <c r="T163" i="19"/>
  <c r="S163" i="19"/>
  <c r="R163" i="19"/>
  <c r="AH161" i="19"/>
  <c r="AG161" i="19"/>
  <c r="AF161" i="19"/>
  <c r="AE161" i="19"/>
  <c r="AB161" i="19"/>
  <c r="AB160" i="19" s="1"/>
  <c r="AA161" i="19"/>
  <c r="Z161" i="19"/>
  <c r="Y161" i="19"/>
  <c r="X161" i="19"/>
  <c r="X160" i="19" s="1"/>
  <c r="W161" i="19"/>
  <c r="V161" i="19"/>
  <c r="U161" i="19"/>
  <c r="T161" i="19"/>
  <c r="T160" i="19" s="1"/>
  <c r="S161" i="19"/>
  <c r="R161" i="19"/>
  <c r="AJ161" i="19" s="1"/>
  <c r="AC160" i="19"/>
  <c r="Y160" i="19"/>
  <c r="U160" i="19"/>
  <c r="AI151" i="19"/>
  <c r="W158" i="19"/>
  <c r="V158" i="19"/>
  <c r="U158" i="19"/>
  <c r="T158" i="19"/>
  <c r="S158" i="19"/>
  <c r="R158" i="19"/>
  <c r="AI154" i="19"/>
  <c r="AH154" i="19"/>
  <c r="AH151" i="19" s="1"/>
  <c r="AG154" i="19"/>
  <c r="AF154" i="19"/>
  <c r="AF151" i="19" s="1"/>
  <c r="AE154" i="19"/>
  <c r="AD154" i="19"/>
  <c r="AC154" i="19"/>
  <c r="AB154" i="19"/>
  <c r="AB151" i="19" s="1"/>
  <c r="AA154" i="19"/>
  <c r="AA151" i="19" s="1"/>
  <c r="Z154" i="19"/>
  <c r="Z151" i="19" s="1"/>
  <c r="Y154" i="19"/>
  <c r="X154" i="19"/>
  <c r="X151" i="19" s="1"/>
  <c r="W154" i="19"/>
  <c r="V154" i="19"/>
  <c r="U154" i="19"/>
  <c r="T154" i="19"/>
  <c r="T151" i="19" s="1"/>
  <c r="S154" i="19"/>
  <c r="R154" i="19"/>
  <c r="AJ154" i="19" s="1"/>
  <c r="AG151" i="19"/>
  <c r="AE151" i="19"/>
  <c r="AD151" i="19"/>
  <c r="AC151" i="19"/>
  <c r="Y151" i="19"/>
  <c r="U151" i="19"/>
  <c r="AI146" i="19"/>
  <c r="AH146" i="19"/>
  <c r="AG146" i="19"/>
  <c r="AF146" i="19"/>
  <c r="AE146" i="19"/>
  <c r="AD146" i="19"/>
  <c r="AC146" i="19"/>
  <c r="AB146" i="19"/>
  <c r="AA146" i="19"/>
  <c r="Z146" i="19"/>
  <c r="Y146" i="19"/>
  <c r="X146" i="19"/>
  <c r="W146" i="19"/>
  <c r="V146" i="19"/>
  <c r="U146" i="19"/>
  <c r="R146" i="19"/>
  <c r="AJ146" i="19" s="1"/>
  <c r="AI141" i="19"/>
  <c r="AH141" i="19"/>
  <c r="AG141" i="19"/>
  <c r="AF141" i="19"/>
  <c r="AE141" i="19"/>
  <c r="AE98" i="19" s="1"/>
  <c r="AD141" i="19"/>
  <c r="AC141" i="19"/>
  <c r="AB141" i="19"/>
  <c r="AA141" i="19"/>
  <c r="Z141" i="19"/>
  <c r="Y141" i="19"/>
  <c r="Y98" i="19" s="1"/>
  <c r="X141" i="19"/>
  <c r="W141" i="19"/>
  <c r="W98" i="19" s="1"/>
  <c r="V141" i="19"/>
  <c r="U141" i="19"/>
  <c r="U98" i="19" s="1"/>
  <c r="R141" i="19"/>
  <c r="AG98" i="19"/>
  <c r="AF98" i="19"/>
  <c r="AB98" i="19"/>
  <c r="X98" i="19"/>
  <c r="Z106" i="19"/>
  <c r="Z99" i="19" s="1"/>
  <c r="AJ99" i="19" s="1"/>
  <c r="AH98" i="19"/>
  <c r="AD98" i="19"/>
  <c r="V98" i="19"/>
  <c r="R98" i="19"/>
  <c r="AI98" i="19"/>
  <c r="AA98" i="19"/>
  <c r="S98" i="19"/>
  <c r="N177" i="19"/>
  <c r="N176" i="19"/>
  <c r="BD176" i="19" s="1"/>
  <c r="C176" i="19"/>
  <c r="N175" i="19"/>
  <c r="C174" i="19"/>
  <c r="N174" i="19" s="1"/>
  <c r="N173" i="19"/>
  <c r="N172" i="19"/>
  <c r="N171" i="19"/>
  <c r="N170" i="19"/>
  <c r="N169" i="19"/>
  <c r="D168" i="19"/>
  <c r="N168" i="19" s="1"/>
  <c r="BD168" i="19" s="1"/>
  <c r="M167" i="19"/>
  <c r="L167" i="19"/>
  <c r="K167" i="19"/>
  <c r="J167" i="19"/>
  <c r="I167" i="19"/>
  <c r="H167" i="19"/>
  <c r="G167" i="19"/>
  <c r="F167" i="19"/>
  <c r="E167" i="19"/>
  <c r="D167" i="19"/>
  <c r="C167" i="19"/>
  <c r="N166" i="19"/>
  <c r="N165" i="19"/>
  <c r="C164" i="19"/>
  <c r="N164" i="19" s="1"/>
  <c r="M163" i="19"/>
  <c r="L163" i="19"/>
  <c r="K163" i="19"/>
  <c r="I163" i="19"/>
  <c r="H163" i="19"/>
  <c r="G163" i="19"/>
  <c r="F163" i="19"/>
  <c r="E163" i="19"/>
  <c r="D163" i="19"/>
  <c r="C163" i="19"/>
  <c r="N162" i="19"/>
  <c r="M161" i="19"/>
  <c r="L161" i="19"/>
  <c r="L160" i="19" s="1"/>
  <c r="K161" i="19"/>
  <c r="J161" i="19"/>
  <c r="J160" i="19" s="1"/>
  <c r="I161" i="19"/>
  <c r="H161" i="19"/>
  <c r="G161" i="19"/>
  <c r="F161" i="19"/>
  <c r="E161" i="19"/>
  <c r="D161" i="19"/>
  <c r="C161" i="19"/>
  <c r="M160" i="19"/>
  <c r="K160" i="19"/>
  <c r="I160" i="19"/>
  <c r="G160" i="19"/>
  <c r="F160" i="19"/>
  <c r="E160" i="19"/>
  <c r="C160" i="19"/>
  <c r="N159" i="19"/>
  <c r="M158" i="19"/>
  <c r="L158" i="19"/>
  <c r="K158" i="19"/>
  <c r="J158" i="19"/>
  <c r="I158" i="19"/>
  <c r="H158" i="19"/>
  <c r="G158" i="19"/>
  <c r="F158" i="19"/>
  <c r="E158" i="19"/>
  <c r="D158" i="19"/>
  <c r="C158" i="19"/>
  <c r="N157" i="19"/>
  <c r="N156" i="19"/>
  <c r="N155" i="19"/>
  <c r="M154" i="19"/>
  <c r="L154" i="19"/>
  <c r="K154" i="19"/>
  <c r="J154" i="19"/>
  <c r="I154" i="19"/>
  <c r="H154" i="19"/>
  <c r="G154" i="19"/>
  <c r="G151" i="19" s="1"/>
  <c r="F154" i="19"/>
  <c r="E154" i="19"/>
  <c r="D154" i="19"/>
  <c r="C154" i="19"/>
  <c r="N154" i="19" s="1"/>
  <c r="N153" i="19"/>
  <c r="M152" i="19"/>
  <c r="L152" i="19"/>
  <c r="K152" i="19"/>
  <c r="J152" i="19"/>
  <c r="I152" i="19"/>
  <c r="H152" i="19"/>
  <c r="G152" i="19"/>
  <c r="F152" i="19"/>
  <c r="E152" i="19"/>
  <c r="D152" i="19"/>
  <c r="C152" i="19"/>
  <c r="L151" i="19"/>
  <c r="K151" i="19"/>
  <c r="J151" i="19"/>
  <c r="H151" i="19"/>
  <c r="F151" i="19"/>
  <c r="D151" i="19"/>
  <c r="C151" i="19"/>
  <c r="N150" i="19"/>
  <c r="N149" i="19"/>
  <c r="N148" i="19"/>
  <c r="N147" i="19"/>
  <c r="M146" i="19"/>
  <c r="L146" i="19"/>
  <c r="K146" i="19"/>
  <c r="J146" i="19"/>
  <c r="I146" i="19"/>
  <c r="H146" i="19"/>
  <c r="G146" i="19"/>
  <c r="F146" i="19"/>
  <c r="E146" i="19"/>
  <c r="D146" i="19"/>
  <c r="C146" i="19"/>
  <c r="N145" i="19"/>
  <c r="N144" i="19"/>
  <c r="N143" i="19"/>
  <c r="N142" i="19"/>
  <c r="M141" i="19"/>
  <c r="L141" i="19"/>
  <c r="K141" i="19"/>
  <c r="K98" i="19" s="1"/>
  <c r="K178" i="19" s="1"/>
  <c r="J141" i="19"/>
  <c r="I141" i="19"/>
  <c r="H141" i="19"/>
  <c r="G141" i="19"/>
  <c r="F141" i="19"/>
  <c r="E141" i="19"/>
  <c r="D141" i="19"/>
  <c r="C141" i="19"/>
  <c r="N140" i="19"/>
  <c r="N139" i="19"/>
  <c r="N138" i="19"/>
  <c r="N137" i="19"/>
  <c r="N136" i="19"/>
  <c r="N135" i="19"/>
  <c r="N134" i="19"/>
  <c r="N133" i="19"/>
  <c r="N132" i="19"/>
  <c r="N131" i="19"/>
  <c r="N130" i="19"/>
  <c r="N129" i="19"/>
  <c r="N128" i="19"/>
  <c r="N127" i="19"/>
  <c r="M126" i="19"/>
  <c r="L126" i="19"/>
  <c r="K126" i="19"/>
  <c r="J126" i="19"/>
  <c r="I126" i="19"/>
  <c r="H126" i="19"/>
  <c r="G126" i="19"/>
  <c r="F126" i="19"/>
  <c r="E126" i="19"/>
  <c r="D126" i="19"/>
  <c r="C126" i="19"/>
  <c r="N125" i="19"/>
  <c r="N124" i="19"/>
  <c r="N123" i="19"/>
  <c r="C121" i="19"/>
  <c r="L121" i="19"/>
  <c r="K121" i="19"/>
  <c r="J121" i="19"/>
  <c r="I121" i="19"/>
  <c r="G121" i="19"/>
  <c r="F121" i="19"/>
  <c r="E121" i="19"/>
  <c r="D121" i="19"/>
  <c r="N120" i="19"/>
  <c r="N119" i="19"/>
  <c r="N118" i="19"/>
  <c r="N117" i="19"/>
  <c r="N116" i="19"/>
  <c r="N115" i="19"/>
  <c r="N114" i="19"/>
  <c r="N113" i="19"/>
  <c r="N112" i="19"/>
  <c r="N111" i="19"/>
  <c r="N110" i="19"/>
  <c r="N109" i="19"/>
  <c r="N108" i="19"/>
  <c r="N107" i="19"/>
  <c r="N106" i="19"/>
  <c r="N105" i="19"/>
  <c r="N104" i="19"/>
  <c r="N103" i="19"/>
  <c r="N102" i="19"/>
  <c r="N101" i="19"/>
  <c r="D100" i="19"/>
  <c r="N100" i="19" s="1"/>
  <c r="M99" i="19"/>
  <c r="L99" i="19"/>
  <c r="L98" i="19" s="1"/>
  <c r="K99" i="19"/>
  <c r="J99" i="19"/>
  <c r="I99" i="19"/>
  <c r="H99" i="19"/>
  <c r="G99" i="19"/>
  <c r="F99" i="19"/>
  <c r="E99" i="19"/>
  <c r="C99" i="19"/>
  <c r="P229" i="8"/>
  <c r="M234" i="8"/>
  <c r="O234" i="8" s="1"/>
  <c r="M232" i="8"/>
  <c r="O232" i="8" s="1"/>
  <c r="M231" i="8"/>
  <c r="M230" i="8"/>
  <c r="O230" i="8" s="1"/>
  <c r="O229" i="8"/>
  <c r="M228" i="8"/>
  <c r="O228" i="8" s="1"/>
  <c r="M227" i="8"/>
  <c r="M226" i="8"/>
  <c r="O226" i="8" s="1"/>
  <c r="M225" i="8"/>
  <c r="O225" i="8" s="1"/>
  <c r="M224" i="8"/>
  <c r="O224" i="8" s="1"/>
  <c r="G235" i="8"/>
  <c r="H234" i="8"/>
  <c r="I234" i="8" s="1"/>
  <c r="H232" i="8"/>
  <c r="I232" i="8" s="1"/>
  <c r="K232" i="8" s="1"/>
  <c r="H231" i="8"/>
  <c r="I231" i="8" s="1"/>
  <c r="H230" i="8"/>
  <c r="I230" i="8" s="1"/>
  <c r="H228" i="8"/>
  <c r="I228" i="8" s="1"/>
  <c r="K228" i="8" s="1"/>
  <c r="H227" i="8"/>
  <c r="I227" i="8" s="1"/>
  <c r="K227" i="8" s="1"/>
  <c r="H226" i="8"/>
  <c r="I226" i="8" s="1"/>
  <c r="K226" i="8" s="1"/>
  <c r="H225" i="8"/>
  <c r="I225" i="8" s="1"/>
  <c r="K225" i="8" s="1"/>
  <c r="H224" i="8"/>
  <c r="I224" i="8" s="1"/>
  <c r="K224" i="8" s="1"/>
  <c r="H223" i="8"/>
  <c r="I223" i="8" s="1"/>
  <c r="M186" i="8"/>
  <c r="O186" i="8" s="1"/>
  <c r="H186" i="8"/>
  <c r="I186" i="8" s="1"/>
  <c r="J187" i="8"/>
  <c r="J186" i="8"/>
  <c r="J185" i="8"/>
  <c r="J184" i="8"/>
  <c r="J183" i="8"/>
  <c r="J182" i="8"/>
  <c r="J181" i="8"/>
  <c r="J180" i="8"/>
  <c r="J179" i="8"/>
  <c r="J178" i="8"/>
  <c r="J177" i="8"/>
  <c r="G100" i="8"/>
  <c r="G84" i="8"/>
  <c r="G81" i="8"/>
  <c r="G48" i="8"/>
  <c r="G30" i="8"/>
  <c r="H98" i="19" l="1"/>
  <c r="E151" i="19"/>
  <c r="I151" i="19"/>
  <c r="M151" i="19"/>
  <c r="D160" i="19"/>
  <c r="H160" i="19"/>
  <c r="H178" i="19" s="1"/>
  <c r="C12" i="22" s="1"/>
  <c r="R151" i="19"/>
  <c r="V151" i="19"/>
  <c r="V178" i="19" s="1"/>
  <c r="AQ212" i="19"/>
  <c r="AQ189" i="19" s="1"/>
  <c r="AO189" i="19"/>
  <c r="BD123" i="19"/>
  <c r="BD125" i="19"/>
  <c r="BD156" i="19"/>
  <c r="BD163" i="19"/>
  <c r="BD169" i="19"/>
  <c r="AU178" i="19"/>
  <c r="AV98" i="19"/>
  <c r="AZ98" i="19"/>
  <c r="BB146" i="19"/>
  <c r="AW151" i="19"/>
  <c r="BA151" i="19"/>
  <c r="AJ158" i="19"/>
  <c r="BD158" i="19" s="1"/>
  <c r="AJ141" i="19"/>
  <c r="BD141" i="19" s="1"/>
  <c r="AJ106" i="19"/>
  <c r="I98" i="19"/>
  <c r="M98" i="19"/>
  <c r="G98" i="19"/>
  <c r="G178" i="19" s="1"/>
  <c r="BD150" i="19"/>
  <c r="N152" i="19"/>
  <c r="N158" i="19"/>
  <c r="N161" i="19"/>
  <c r="BD161" i="19" s="1"/>
  <c r="N163" i="19"/>
  <c r="Z98" i="19"/>
  <c r="S151" i="19"/>
  <c r="W151" i="19"/>
  <c r="S160" i="19"/>
  <c r="W160" i="19"/>
  <c r="AA160" i="19"/>
  <c r="R160" i="19"/>
  <c r="V160" i="19"/>
  <c r="Z160" i="19"/>
  <c r="AF160" i="19"/>
  <c r="AH160" i="19"/>
  <c r="AJ167" i="19"/>
  <c r="AQ253" i="19"/>
  <c r="AQ250" i="19" s="1"/>
  <c r="AP250" i="19"/>
  <c r="AN250" i="19"/>
  <c r="AO241" i="19"/>
  <c r="AQ236" i="19"/>
  <c r="AQ217" i="19"/>
  <c r="AP189" i="19"/>
  <c r="BD108" i="19"/>
  <c r="BD112" i="19"/>
  <c r="BD116" i="19"/>
  <c r="BD120" i="19"/>
  <c r="BD124" i="19"/>
  <c r="BD129" i="19"/>
  <c r="BD131" i="19"/>
  <c r="BD133" i="19"/>
  <c r="BD135" i="19"/>
  <c r="BD137" i="19"/>
  <c r="BD139" i="19"/>
  <c r="BD143" i="19"/>
  <c r="BD145" i="19"/>
  <c r="BD149" i="19"/>
  <c r="AQ154" i="19"/>
  <c r="BD154" i="19" s="1"/>
  <c r="BD155" i="19"/>
  <c r="BD157" i="19"/>
  <c r="BD165" i="19"/>
  <c r="AQ167" i="19"/>
  <c r="BD171" i="19"/>
  <c r="BD173" i="19"/>
  <c r="BB152" i="19"/>
  <c r="BD152" i="19" s="1"/>
  <c r="BD153" i="19"/>
  <c r="D159" i="11"/>
  <c r="AU160" i="19"/>
  <c r="AV160" i="19"/>
  <c r="AV178" i="19" s="1"/>
  <c r="AZ160" i="19"/>
  <c r="AJ163" i="19"/>
  <c r="BD147" i="19"/>
  <c r="BD140" i="19"/>
  <c r="AP178" i="19"/>
  <c r="L178" i="19"/>
  <c r="BD130" i="19"/>
  <c r="BD102" i="19"/>
  <c r="BD106" i="19"/>
  <c r="BD110" i="19"/>
  <c r="BD114" i="19"/>
  <c r="BD104" i="19"/>
  <c r="AF178" i="19"/>
  <c r="AJ151" i="19"/>
  <c r="AG178" i="19"/>
  <c r="Z178" i="19"/>
  <c r="AE178" i="19"/>
  <c r="AX151" i="19"/>
  <c r="BB151" i="19" s="1"/>
  <c r="AY98" i="19"/>
  <c r="AY178" i="19" s="1"/>
  <c r="AC98" i="19"/>
  <c r="AJ98" i="19" s="1"/>
  <c r="AQ160" i="19"/>
  <c r="BD118" i="19"/>
  <c r="BD164" i="19"/>
  <c r="BD159" i="19"/>
  <c r="BD162" i="19"/>
  <c r="F178" i="19"/>
  <c r="F98" i="19"/>
  <c r="AQ126" i="19"/>
  <c r="AN98" i="19"/>
  <c r="AQ98" i="19" s="1"/>
  <c r="BD100" i="19"/>
  <c r="BD127" i="19"/>
  <c r="E98" i="19"/>
  <c r="E178" i="19" s="1"/>
  <c r="AI178" i="19"/>
  <c r="AC178" i="19"/>
  <c r="Y178" i="19"/>
  <c r="N126" i="19"/>
  <c r="J98" i="19"/>
  <c r="J178" i="19" s="1"/>
  <c r="N146" i="19"/>
  <c r="BD146" i="19" s="1"/>
  <c r="N167" i="19"/>
  <c r="BD167" i="19" s="1"/>
  <c r="AW98" i="19"/>
  <c r="BB121" i="19"/>
  <c r="AN189" i="19"/>
  <c r="AN268" i="19" s="1"/>
  <c r="AQ190" i="19"/>
  <c r="P233" i="8"/>
  <c r="K230" i="8"/>
  <c r="P230" i="8" s="1"/>
  <c r="K234" i="8"/>
  <c r="BB126" i="19"/>
  <c r="AX98" i="19"/>
  <c r="AX178" i="19" s="1"/>
  <c r="BB99" i="19"/>
  <c r="AZ178" i="19"/>
  <c r="BB160" i="19"/>
  <c r="BA178" i="19"/>
  <c r="AN151" i="19"/>
  <c r="AQ151" i="19" s="1"/>
  <c r="AO268" i="19"/>
  <c r="AQ241" i="19"/>
  <c r="X178" i="19"/>
  <c r="AD178" i="19"/>
  <c r="R178" i="19"/>
  <c r="AH178" i="19"/>
  <c r="U178" i="19"/>
  <c r="AB178" i="19"/>
  <c r="S178" i="19"/>
  <c r="W178" i="19"/>
  <c r="AA178" i="19"/>
  <c r="I178" i="19"/>
  <c r="M178" i="19"/>
  <c r="N121" i="19"/>
  <c r="C98" i="19"/>
  <c r="N141" i="19"/>
  <c r="D99" i="19"/>
  <c r="D98" i="19" s="1"/>
  <c r="D178" i="19" s="1"/>
  <c r="N122" i="19"/>
  <c r="BD122" i="19" s="1"/>
  <c r="O227" i="8"/>
  <c r="O231" i="8"/>
  <c r="K186" i="8"/>
  <c r="P186" i="8" s="1"/>
  <c r="P87" i="13" l="1"/>
  <c r="H159" i="11"/>
  <c r="H158" i="11" s="1"/>
  <c r="D158" i="11"/>
  <c r="AJ160" i="19"/>
  <c r="BD160" i="19" s="1"/>
  <c r="N160" i="19"/>
  <c r="BD121" i="19"/>
  <c r="AP268" i="19"/>
  <c r="N151" i="19"/>
  <c r="BB98" i="19"/>
  <c r="BB178" i="19" s="1"/>
  <c r="D192" i="11" s="1"/>
  <c r="AQ178" i="19"/>
  <c r="BD151" i="19"/>
  <c r="BD126" i="19"/>
  <c r="AW178" i="19"/>
  <c r="AQ268" i="19"/>
  <c r="AN178" i="19"/>
  <c r="T178" i="19"/>
  <c r="N99" i="19"/>
  <c r="BD99" i="19" s="1"/>
  <c r="N98" i="19"/>
  <c r="N178" i="19" s="1"/>
  <c r="C178" i="19"/>
  <c r="G23" i="4"/>
  <c r="F23" i="4"/>
  <c r="D50" i="4"/>
  <c r="E50" i="4"/>
  <c r="C50" i="4"/>
  <c r="AJ178" i="19" l="1"/>
  <c r="BD178" i="19" s="1"/>
  <c r="P86" i="13"/>
  <c r="Q87" i="13"/>
  <c r="AJ179" i="19"/>
  <c r="AJ181" i="19" s="1"/>
  <c r="BD98" i="19"/>
  <c r="BI90" i="19"/>
  <c r="A4" i="14"/>
  <c r="AI63" i="19"/>
  <c r="AI60" i="19"/>
  <c r="AI87" i="19" s="1"/>
  <c r="C34" i="22" s="1"/>
  <c r="AI35" i="19"/>
  <c r="AI7" i="19" s="1"/>
  <c r="AA76" i="19"/>
  <c r="D77" i="19"/>
  <c r="D9" i="19"/>
  <c r="AD87" i="13" l="1"/>
  <c r="C86" i="14" s="1"/>
  <c r="D85" i="14" s="1"/>
  <c r="Q86" i="13"/>
  <c r="AD86" i="13" s="1"/>
  <c r="AI90" i="19"/>
  <c r="H21" i="22" l="1"/>
  <c r="H22" i="22"/>
  <c r="G6" i="21"/>
  <c r="I22" i="22" l="1"/>
  <c r="C30" i="9"/>
  <c r="K214" i="8"/>
  <c r="M114" i="8"/>
  <c r="O114" i="8" s="1"/>
  <c r="M113" i="8"/>
  <c r="O113" i="8" s="1"/>
  <c r="I95" i="13" l="1"/>
  <c r="J95" i="13"/>
  <c r="J94" i="13" s="1"/>
  <c r="K95" i="13"/>
  <c r="H95" i="13"/>
  <c r="J97" i="13"/>
  <c r="H97" i="13"/>
  <c r="H37" i="12"/>
  <c r="H94" i="13" l="1"/>
  <c r="S35" i="19"/>
  <c r="S7" i="19" s="1"/>
  <c r="T35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AH35" i="19"/>
  <c r="R35" i="19"/>
  <c r="AJ35" i="19" l="1"/>
  <c r="T7" i="19"/>
  <c r="L43" i="13"/>
  <c r="C54" i="12"/>
  <c r="C51" i="12"/>
  <c r="F36" i="12"/>
  <c r="C48" i="12"/>
  <c r="C46" i="12"/>
  <c r="H14" i="12"/>
  <c r="H16" i="12"/>
  <c r="H18" i="12"/>
  <c r="H20" i="12"/>
  <c r="H21" i="12"/>
  <c r="H23" i="12"/>
  <c r="H24" i="12"/>
  <c r="H25" i="12"/>
  <c r="H26" i="12"/>
  <c r="H27" i="12"/>
  <c r="H28" i="12"/>
  <c r="H29" i="12"/>
  <c r="H30" i="12"/>
  <c r="H31" i="12"/>
  <c r="H32" i="12"/>
  <c r="H33" i="12"/>
  <c r="H35" i="12"/>
  <c r="H39" i="12"/>
  <c r="H40" i="12"/>
  <c r="H41" i="12"/>
  <c r="H45" i="12"/>
  <c r="H47" i="12"/>
  <c r="H49" i="12"/>
  <c r="H50" i="12"/>
  <c r="H52" i="12"/>
  <c r="H53" i="12"/>
  <c r="H55" i="12"/>
  <c r="H58" i="12"/>
  <c r="H60" i="12"/>
  <c r="H63" i="12"/>
  <c r="H64" i="12"/>
  <c r="H65" i="12"/>
  <c r="F48" i="22"/>
  <c r="D119" i="10"/>
  <c r="D176" i="11"/>
  <c r="H36" i="12" l="1"/>
  <c r="F34" i="12"/>
  <c r="H34" i="12"/>
  <c r="H119" i="10"/>
  <c r="N43" i="13"/>
  <c r="D24" i="10"/>
  <c r="C30" i="19"/>
  <c r="C33" i="19"/>
  <c r="AN76" i="19"/>
  <c r="AN72" i="19"/>
  <c r="AN70" i="19"/>
  <c r="AN69" i="19" s="1"/>
  <c r="AN67" i="19"/>
  <c r="AN63" i="19"/>
  <c r="AN55" i="19"/>
  <c r="AN50" i="19"/>
  <c r="AN35" i="19"/>
  <c r="AN30" i="19"/>
  <c r="AN8" i="19"/>
  <c r="Z76" i="19"/>
  <c r="Z72" i="19"/>
  <c r="Z70" i="19"/>
  <c r="Z55" i="19"/>
  <c r="Z50" i="19"/>
  <c r="Z30" i="19"/>
  <c r="Z15" i="19"/>
  <c r="V55" i="19"/>
  <c r="V50" i="19"/>
  <c r="V30" i="19"/>
  <c r="V76" i="19"/>
  <c r="V72" i="19"/>
  <c r="V70" i="19"/>
  <c r="V69" i="19" s="1"/>
  <c r="J76" i="19"/>
  <c r="I76" i="19"/>
  <c r="J50" i="19"/>
  <c r="I50" i="19"/>
  <c r="J35" i="19"/>
  <c r="I35" i="19"/>
  <c r="J30" i="19"/>
  <c r="I30" i="19"/>
  <c r="J8" i="19"/>
  <c r="I8" i="19"/>
  <c r="D76" i="19"/>
  <c r="D55" i="19"/>
  <c r="D50" i="19"/>
  <c r="D35" i="19"/>
  <c r="D30" i="19"/>
  <c r="D8" i="19"/>
  <c r="C85" i="19"/>
  <c r="C76" i="19"/>
  <c r="C73" i="19"/>
  <c r="C72" i="19" s="1"/>
  <c r="C70" i="19"/>
  <c r="C67" i="19"/>
  <c r="C55" i="19"/>
  <c r="C50" i="19"/>
  <c r="C35" i="19"/>
  <c r="C8" i="19"/>
  <c r="BB62" i="19"/>
  <c r="AV61" i="19"/>
  <c r="AW61" i="19"/>
  <c r="AX61" i="19"/>
  <c r="AY61" i="19"/>
  <c r="AZ61" i="19"/>
  <c r="BA61" i="19"/>
  <c r="AU61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N29" i="19"/>
  <c r="N31" i="19"/>
  <c r="N32" i="19"/>
  <c r="N33" i="19"/>
  <c r="N34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N49" i="19"/>
  <c r="N51" i="19"/>
  <c r="N52" i="19"/>
  <c r="N53" i="19"/>
  <c r="N54" i="19"/>
  <c r="N56" i="19"/>
  <c r="N57" i="19"/>
  <c r="N58" i="19"/>
  <c r="N59" i="19"/>
  <c r="N62" i="19"/>
  <c r="N64" i="19"/>
  <c r="N65" i="19"/>
  <c r="N66" i="19"/>
  <c r="N68" i="19"/>
  <c r="N71" i="19"/>
  <c r="N73" i="19"/>
  <c r="N74" i="19"/>
  <c r="N75" i="19"/>
  <c r="N77" i="19"/>
  <c r="N78" i="19"/>
  <c r="N79" i="19"/>
  <c r="N80" i="19"/>
  <c r="N81" i="19"/>
  <c r="N82" i="19"/>
  <c r="N85" i="19"/>
  <c r="BD85" i="19" s="1"/>
  <c r="N86" i="19"/>
  <c r="BD86" i="19" s="1"/>
  <c r="AQ21" i="19"/>
  <c r="BB21" i="19"/>
  <c r="BD21" i="19" s="1"/>
  <c r="D242" i="19"/>
  <c r="E242" i="19"/>
  <c r="F242" i="19"/>
  <c r="G242" i="19"/>
  <c r="H242" i="19"/>
  <c r="I242" i="19"/>
  <c r="J242" i="19"/>
  <c r="K242" i="19"/>
  <c r="L242" i="19"/>
  <c r="M242" i="19"/>
  <c r="C242" i="19"/>
  <c r="D61" i="19"/>
  <c r="E61" i="19"/>
  <c r="F61" i="19"/>
  <c r="G61" i="19"/>
  <c r="H61" i="19"/>
  <c r="I61" i="19"/>
  <c r="J61" i="19"/>
  <c r="K61" i="19"/>
  <c r="L61" i="19"/>
  <c r="M61" i="19"/>
  <c r="C61" i="19"/>
  <c r="BD62" i="19" l="1"/>
  <c r="Z8" i="19"/>
  <c r="Z7" i="19" s="1"/>
  <c r="AJ15" i="19"/>
  <c r="N61" i="19"/>
  <c r="C69" i="19"/>
  <c r="C30" i="22"/>
  <c r="V7" i="19"/>
  <c r="C26" i="22"/>
  <c r="BB61" i="19"/>
  <c r="BD61" i="19" s="1"/>
  <c r="AN7" i="19"/>
  <c r="H43" i="12"/>
  <c r="D7" i="19"/>
  <c r="Z69" i="19"/>
  <c r="H24" i="10"/>
  <c r="M43" i="13"/>
  <c r="Q43" i="13" s="1"/>
  <c r="N84" i="19"/>
  <c r="BD84" i="19" s="1"/>
  <c r="C83" i="19"/>
  <c r="N83" i="19" s="1"/>
  <c r="BD83" i="19" s="1"/>
  <c r="C7" i="19"/>
  <c r="AD43" i="13" l="1"/>
  <c r="C42" i="14" s="1"/>
  <c r="D190" i="10"/>
  <c r="D94" i="11"/>
  <c r="C63" i="6"/>
  <c r="G60" i="5"/>
  <c r="G59" i="5" s="1"/>
  <c r="J26" i="7"/>
  <c r="E36" i="7" s="1"/>
  <c r="F59" i="4"/>
  <c r="D59" i="4"/>
  <c r="I63" i="5"/>
  <c r="D60" i="5"/>
  <c r="E60" i="5"/>
  <c r="F60" i="5"/>
  <c r="H60" i="5"/>
  <c r="BB179" i="19" l="1"/>
  <c r="AQ179" i="19"/>
  <c r="N180" i="19"/>
  <c r="D59" i="5"/>
  <c r="E59" i="5"/>
  <c r="F59" i="5"/>
  <c r="H59" i="5"/>
  <c r="D93" i="10" l="1"/>
  <c r="E58" i="4"/>
  <c r="F58" i="4" s="1"/>
  <c r="E60" i="4"/>
  <c r="F60" i="4" s="1"/>
  <c r="K235" i="8" l="1"/>
  <c r="L235" i="8"/>
  <c r="N235" i="8"/>
  <c r="G203" i="8"/>
  <c r="G199" i="8"/>
  <c r="L153" i="8"/>
  <c r="N153" i="8"/>
  <c r="G153" i="8"/>
  <c r="L148" i="8"/>
  <c r="N148" i="8"/>
  <c r="G148" i="8"/>
  <c r="G126" i="8"/>
  <c r="L112" i="8"/>
  <c r="N112" i="8"/>
  <c r="G112" i="8"/>
  <c r="L76" i="8"/>
  <c r="N76" i="8"/>
  <c r="G76" i="8"/>
  <c r="M75" i="8"/>
  <c r="O75" i="8" s="1"/>
  <c r="H75" i="8"/>
  <c r="I75" i="8" s="1"/>
  <c r="H49" i="8"/>
  <c r="L48" i="8"/>
  <c r="N48" i="8"/>
  <c r="M47" i="8"/>
  <c r="O47" i="8" s="1"/>
  <c r="J47" i="8"/>
  <c r="H47" i="8"/>
  <c r="I47" i="8" s="1"/>
  <c r="K47" i="8" s="1"/>
  <c r="K75" i="8" l="1"/>
  <c r="P75" i="8" s="1"/>
  <c r="M235" i="8"/>
  <c r="O235" i="8"/>
  <c r="I235" i="8"/>
  <c r="H235" i="8"/>
  <c r="P47" i="8"/>
  <c r="L176" i="8"/>
  <c r="N176" i="8"/>
  <c r="G176" i="8"/>
  <c r="N30" i="8"/>
  <c r="H22" i="8"/>
  <c r="I22" i="8" s="1"/>
  <c r="K22" i="8" s="1"/>
  <c r="L81" i="8"/>
  <c r="N81" i="8"/>
  <c r="G87" i="8"/>
  <c r="G61" i="18"/>
  <c r="C59" i="18"/>
  <c r="D17" i="18"/>
  <c r="F17" i="18"/>
  <c r="G17" i="18"/>
  <c r="H17" i="18"/>
  <c r="I17" i="18"/>
  <c r="G208" i="8"/>
  <c r="G196" i="8"/>
  <c r="G188" i="8"/>
  <c r="G171" i="8"/>
  <c r="G65" i="8"/>
  <c r="G54" i="8"/>
  <c r="G26" i="8"/>
  <c r="G16" i="8"/>
  <c r="G13" i="8"/>
  <c r="G154" i="8" l="1"/>
  <c r="H11" i="8"/>
  <c r="H67" i="8"/>
  <c r="I67" i="8" s="1"/>
  <c r="K67" i="8" s="1"/>
  <c r="H69" i="8"/>
  <c r="H66" i="8"/>
  <c r="M66" i="8"/>
  <c r="O66" i="8" s="1"/>
  <c r="G70" i="8"/>
  <c r="I68" i="8"/>
  <c r="K68" i="8" s="1"/>
  <c r="H70" i="8" l="1"/>
  <c r="I45" i="18" s="1"/>
  <c r="G9" i="21"/>
  <c r="L100" i="8"/>
  <c r="N100" i="8"/>
  <c r="L126" i="8"/>
  <c r="N126" i="8"/>
  <c r="G119" i="8"/>
  <c r="M121" i="8"/>
  <c r="O121" i="8" s="1"/>
  <c r="M122" i="8"/>
  <c r="O122" i="8" s="1"/>
  <c r="M123" i="8"/>
  <c r="O123" i="8" s="1"/>
  <c r="M124" i="8"/>
  <c r="O124" i="8" s="1"/>
  <c r="M125" i="8"/>
  <c r="O125" i="8" s="1"/>
  <c r="J121" i="8"/>
  <c r="J122" i="8"/>
  <c r="J123" i="8"/>
  <c r="J124" i="8"/>
  <c r="J125" i="8"/>
  <c r="H121" i="8"/>
  <c r="I121" i="8" s="1"/>
  <c r="K121" i="8" s="1"/>
  <c r="H122" i="8"/>
  <c r="I122" i="8" s="1"/>
  <c r="K122" i="8" s="1"/>
  <c r="H123" i="8"/>
  <c r="I123" i="8" s="1"/>
  <c r="K123" i="8" s="1"/>
  <c r="H124" i="8"/>
  <c r="I124" i="8" s="1"/>
  <c r="K124" i="8" s="1"/>
  <c r="H125" i="8"/>
  <c r="I125" i="8" s="1"/>
  <c r="K125" i="8" s="1"/>
  <c r="P121" i="8" l="1"/>
  <c r="P124" i="8"/>
  <c r="P123" i="8"/>
  <c r="P125" i="8"/>
  <c r="P122" i="8"/>
  <c r="H99" i="8" l="1"/>
  <c r="I99" i="8" s="1"/>
  <c r="K99" i="8" s="1"/>
  <c r="M99" i="8"/>
  <c r="O99" i="8" s="1"/>
  <c r="M58" i="8"/>
  <c r="O58" i="8" s="1"/>
  <c r="M59" i="8"/>
  <c r="O59" i="8" s="1"/>
  <c r="J58" i="8"/>
  <c r="J59" i="8"/>
  <c r="H58" i="8"/>
  <c r="I58" i="8" s="1"/>
  <c r="K58" i="8" s="1"/>
  <c r="H59" i="8"/>
  <c r="I59" i="8" s="1"/>
  <c r="K59" i="8" s="1"/>
  <c r="P99" i="8" l="1"/>
  <c r="P59" i="8"/>
  <c r="P58" i="8"/>
  <c r="M10" i="8" l="1"/>
  <c r="O10" i="8" s="1"/>
  <c r="H10" i="8"/>
  <c r="I10" i="8" s="1"/>
  <c r="K10" i="8" s="1"/>
  <c r="J175" i="8"/>
  <c r="H175" i="8"/>
  <c r="I175" i="8" s="1"/>
  <c r="K175" i="8" s="1"/>
  <c r="M175" i="8"/>
  <c r="O175" i="8" s="1"/>
  <c r="M136" i="8"/>
  <c r="O136" i="8" s="1"/>
  <c r="J136" i="8"/>
  <c r="H136" i="8"/>
  <c r="I136" i="8" s="1"/>
  <c r="K136" i="8" s="1"/>
  <c r="M120" i="8"/>
  <c r="J120" i="8"/>
  <c r="J126" i="8" s="1"/>
  <c r="U46" i="18" s="1"/>
  <c r="H120" i="8"/>
  <c r="M97" i="8"/>
  <c r="O97" i="8" s="1"/>
  <c r="M98" i="8"/>
  <c r="O98" i="8" s="1"/>
  <c r="H97" i="8"/>
  <c r="I97" i="8" s="1"/>
  <c r="K97" i="8" s="1"/>
  <c r="H98" i="8"/>
  <c r="I98" i="8" s="1"/>
  <c r="K98" i="8" s="1"/>
  <c r="P175" i="8" l="1"/>
  <c r="I120" i="8"/>
  <c r="K120" i="8" s="1"/>
  <c r="K126" i="8" s="1"/>
  <c r="H126" i="8"/>
  <c r="O120" i="8"/>
  <c r="O126" i="8" s="1"/>
  <c r="U48" i="18" s="1"/>
  <c r="M126" i="8"/>
  <c r="P10" i="8"/>
  <c r="P136" i="8"/>
  <c r="P98" i="8"/>
  <c r="P97" i="8"/>
  <c r="I126" i="8" l="1"/>
  <c r="U45" i="18" s="1"/>
  <c r="M29" i="8"/>
  <c r="H29" i="8"/>
  <c r="I29" i="8" s="1"/>
  <c r="K29" i="8" s="1"/>
  <c r="J29" i="8"/>
  <c r="U49" i="18" l="1"/>
  <c r="P120" i="8"/>
  <c r="P126" i="8" s="1"/>
  <c r="AH257" i="19"/>
  <c r="AH253" i="19"/>
  <c r="AH251" i="19"/>
  <c r="AH250" i="19" s="1"/>
  <c r="AH248" i="19"/>
  <c r="AH244" i="19"/>
  <c r="AH231" i="19"/>
  <c r="AH217" i="19"/>
  <c r="AH212" i="19"/>
  <c r="AH190" i="19"/>
  <c r="AH76" i="19"/>
  <c r="AH72" i="19"/>
  <c r="AH70" i="19"/>
  <c r="AH63" i="19"/>
  <c r="AH55" i="19"/>
  <c r="AH50" i="19"/>
  <c r="AH30" i="19"/>
  <c r="AJ191" i="19"/>
  <c r="AJ192" i="19"/>
  <c r="AJ193" i="19"/>
  <c r="AJ194" i="19"/>
  <c r="AJ196" i="19"/>
  <c r="AJ197" i="19"/>
  <c r="AJ198" i="19"/>
  <c r="AJ199" i="19"/>
  <c r="AJ200" i="19"/>
  <c r="AJ201" i="19"/>
  <c r="AJ202" i="19"/>
  <c r="AJ204" i="19"/>
  <c r="AJ206" i="19"/>
  <c r="AJ207" i="19"/>
  <c r="AJ208" i="19"/>
  <c r="AJ209" i="19"/>
  <c r="AJ210" i="19"/>
  <c r="AJ211" i="19"/>
  <c r="AJ213" i="19"/>
  <c r="AJ214" i="19"/>
  <c r="AJ215" i="19"/>
  <c r="AJ216" i="19"/>
  <c r="AJ218" i="19"/>
  <c r="AJ219" i="19"/>
  <c r="AJ220" i="19"/>
  <c r="AJ221" i="19"/>
  <c r="AJ222" i="19"/>
  <c r="AJ223" i="19"/>
  <c r="AJ224" i="19"/>
  <c r="AJ225" i="19"/>
  <c r="AJ226" i="19"/>
  <c r="AJ227" i="19"/>
  <c r="AJ228" i="19"/>
  <c r="AJ229" i="19"/>
  <c r="AJ230" i="19"/>
  <c r="AJ233" i="19"/>
  <c r="AJ234" i="19"/>
  <c r="AJ235" i="19"/>
  <c r="AJ238" i="19"/>
  <c r="AJ239" i="19"/>
  <c r="AJ240" i="19"/>
  <c r="AJ245" i="19"/>
  <c r="AJ246" i="19"/>
  <c r="AJ247" i="19"/>
  <c r="AJ255" i="19"/>
  <c r="AJ256" i="19"/>
  <c r="AJ259" i="19"/>
  <c r="AJ260" i="19"/>
  <c r="AJ261" i="19"/>
  <c r="AJ262" i="19"/>
  <c r="AJ263" i="19"/>
  <c r="AJ264" i="19"/>
  <c r="AJ265" i="19"/>
  <c r="AJ266" i="19"/>
  <c r="AJ267" i="19"/>
  <c r="I75" i="5"/>
  <c r="I77" i="5"/>
  <c r="I76" i="5" s="1"/>
  <c r="I80" i="5"/>
  <c r="I84" i="5"/>
  <c r="C84" i="10"/>
  <c r="C83" i="10" s="1"/>
  <c r="C105" i="13" s="1"/>
  <c r="V258" i="19"/>
  <c r="V257" i="19" s="1"/>
  <c r="V254" i="19" s="1"/>
  <c r="AJ254" i="19" s="1"/>
  <c r="V252" i="19"/>
  <c r="AJ252" i="19" s="1"/>
  <c r="V249" i="19"/>
  <c r="V248" i="19" s="1"/>
  <c r="V237" i="19"/>
  <c r="AJ237" i="19" s="1"/>
  <c r="V232" i="19"/>
  <c r="V231" i="19" s="1"/>
  <c r="V217" i="19" s="1"/>
  <c r="V212" i="19"/>
  <c r="V190" i="19"/>
  <c r="H8" i="19"/>
  <c r="H35" i="19"/>
  <c r="H50" i="19"/>
  <c r="H55" i="19"/>
  <c r="H63" i="19"/>
  <c r="H67" i="19"/>
  <c r="H70" i="19"/>
  <c r="H72" i="19"/>
  <c r="H76" i="19"/>
  <c r="K76" i="19"/>
  <c r="M76" i="19"/>
  <c r="H60" i="19" l="1"/>
  <c r="AJ232" i="19"/>
  <c r="AJ258" i="19"/>
  <c r="AJ249" i="19"/>
  <c r="AH241" i="19"/>
  <c r="AH189" i="19"/>
  <c r="AH69" i="19"/>
  <c r="AH60" i="19"/>
  <c r="H69" i="19"/>
  <c r="V251" i="19"/>
  <c r="V244" i="19"/>
  <c r="H7" i="19"/>
  <c r="V189" i="19"/>
  <c r="V268" i="19" s="1"/>
  <c r="AH7" i="19" l="1"/>
  <c r="AH87" i="19" s="1"/>
  <c r="C38" i="12" l="1"/>
  <c r="BJ98" i="19"/>
  <c r="AH90" i="19"/>
  <c r="F35" i="22" l="1"/>
  <c r="H42" i="12"/>
  <c r="U32" i="13"/>
  <c r="Y32" i="13"/>
  <c r="AC32" i="13"/>
  <c r="G32" i="13"/>
  <c r="L32" i="13"/>
  <c r="D108" i="10"/>
  <c r="N32" i="13" s="1"/>
  <c r="Q32" i="13" s="1"/>
  <c r="AQ10" i="19"/>
  <c r="AQ11" i="19"/>
  <c r="BB10" i="19"/>
  <c r="BD10" i="19" s="1"/>
  <c r="BB11" i="19"/>
  <c r="BD11" i="19" s="1"/>
  <c r="BB12" i="19"/>
  <c r="C179" i="10"/>
  <c r="C178" i="10" s="1"/>
  <c r="D105" i="13" s="1"/>
  <c r="AD32" i="13" l="1"/>
  <c r="H108" i="10"/>
  <c r="C31" i="14"/>
  <c r="S257" i="19"/>
  <c r="T257" i="19"/>
  <c r="U257" i="19"/>
  <c r="W257" i="19"/>
  <c r="X257" i="19"/>
  <c r="Y257" i="19"/>
  <c r="Z257" i="19"/>
  <c r="AA257" i="19"/>
  <c r="AB257" i="19"/>
  <c r="AC257" i="19"/>
  <c r="AD257" i="19"/>
  <c r="AE257" i="19"/>
  <c r="AF257" i="19"/>
  <c r="AG257" i="19"/>
  <c r="R257" i="19"/>
  <c r="H126" i="13"/>
  <c r="BD350" i="19"/>
  <c r="BB352" i="19"/>
  <c r="BB351" i="19"/>
  <c r="BB349" i="19"/>
  <c r="BB348" i="19"/>
  <c r="BA347" i="19"/>
  <c r="AZ347" i="19"/>
  <c r="AY347" i="19"/>
  <c r="AX347" i="19"/>
  <c r="AW347" i="19"/>
  <c r="AV347" i="19"/>
  <c r="AU347" i="19"/>
  <c r="BB346" i="19"/>
  <c r="BB345" i="19"/>
  <c r="BB344" i="19"/>
  <c r="BA343" i="19"/>
  <c r="AZ343" i="19"/>
  <c r="AY343" i="19"/>
  <c r="AX343" i="19"/>
  <c r="AW343" i="19"/>
  <c r="AV343" i="19"/>
  <c r="AU343" i="19"/>
  <c r="BB342" i="19"/>
  <c r="BA341" i="19"/>
  <c r="BA340" i="19" s="1"/>
  <c r="AZ341" i="19"/>
  <c r="AZ340" i="19" s="1"/>
  <c r="AY341" i="19"/>
  <c r="AX341" i="19"/>
  <c r="AW341" i="19"/>
  <c r="AW340" i="19" s="1"/>
  <c r="AV341" i="19"/>
  <c r="AU341" i="19"/>
  <c r="AU340" i="19" s="1"/>
  <c r="BA338" i="19"/>
  <c r="AZ338" i="19"/>
  <c r="AY338" i="19"/>
  <c r="AX338" i="19"/>
  <c r="AW338" i="19"/>
  <c r="AV338" i="19"/>
  <c r="AU338" i="19"/>
  <c r="BB337" i="19"/>
  <c r="BB336" i="19"/>
  <c r="BB335" i="19"/>
  <c r="BA334" i="19"/>
  <c r="AZ334" i="19"/>
  <c r="AY334" i="19"/>
  <c r="AX334" i="19"/>
  <c r="AW334" i="19"/>
  <c r="AV334" i="19"/>
  <c r="AU334" i="19"/>
  <c r="BB332" i="19"/>
  <c r="BB331" i="19"/>
  <c r="BB330" i="19"/>
  <c r="BB329" i="19"/>
  <c r="BA328" i="19"/>
  <c r="AZ328" i="19"/>
  <c r="AY328" i="19"/>
  <c r="AX328" i="19"/>
  <c r="AW328" i="19"/>
  <c r="AV328" i="19"/>
  <c r="AU328" i="19"/>
  <c r="BB327" i="19"/>
  <c r="BB326" i="19"/>
  <c r="BB325" i="19"/>
  <c r="BB324" i="19"/>
  <c r="BA323" i="19"/>
  <c r="AZ323" i="19"/>
  <c r="AY323" i="19"/>
  <c r="AX323" i="19"/>
  <c r="AW323" i="19"/>
  <c r="AV323" i="19"/>
  <c r="AU323" i="19"/>
  <c r="BB322" i="19"/>
  <c r="BB321" i="19"/>
  <c r="BB320" i="19"/>
  <c r="BB319" i="19"/>
  <c r="BB318" i="19"/>
  <c r="BB317" i="19"/>
  <c r="BB316" i="19"/>
  <c r="BB315" i="19"/>
  <c r="BB314" i="19"/>
  <c r="BB313" i="19"/>
  <c r="BB312" i="19"/>
  <c r="BB311" i="19"/>
  <c r="BB310" i="19"/>
  <c r="BA309" i="19"/>
  <c r="AZ309" i="19"/>
  <c r="AY309" i="19"/>
  <c r="AX309" i="19"/>
  <c r="AW309" i="19"/>
  <c r="AV309" i="19"/>
  <c r="AU309" i="19"/>
  <c r="BB308" i="19"/>
  <c r="BB307" i="19"/>
  <c r="BB306" i="19"/>
  <c r="BB305" i="19"/>
  <c r="BA304" i="19"/>
  <c r="AZ304" i="19"/>
  <c r="AY304" i="19"/>
  <c r="AX304" i="19"/>
  <c r="AW304" i="19"/>
  <c r="AV304" i="19"/>
  <c r="AU304" i="19"/>
  <c r="BB303" i="19"/>
  <c r="BB302" i="19"/>
  <c r="BB301" i="19"/>
  <c r="BB300" i="19"/>
  <c r="BB299" i="19"/>
  <c r="BB298" i="19"/>
  <c r="BB297" i="19"/>
  <c r="BB296" i="19"/>
  <c r="BB295" i="19"/>
  <c r="BB294" i="19"/>
  <c r="BB293" i="19"/>
  <c r="BB292" i="19"/>
  <c r="BB291" i="19"/>
  <c r="BB290" i="19"/>
  <c r="BB289" i="19"/>
  <c r="BB288" i="19"/>
  <c r="BB287" i="19"/>
  <c r="BB286" i="19"/>
  <c r="BB285" i="19"/>
  <c r="BA284" i="19"/>
  <c r="AZ284" i="19"/>
  <c r="AY284" i="19"/>
  <c r="AX284" i="19"/>
  <c r="AW284" i="19"/>
  <c r="AV284" i="19"/>
  <c r="AU284" i="19"/>
  <c r="AQ352" i="19"/>
  <c r="AQ351" i="19"/>
  <c r="AQ349" i="19"/>
  <c r="AQ348" i="19"/>
  <c r="AP347" i="19"/>
  <c r="AO347" i="19"/>
  <c r="AN347" i="19"/>
  <c r="AQ346" i="19"/>
  <c r="AQ345" i="19"/>
  <c r="AQ344" i="19"/>
  <c r="AP343" i="19"/>
  <c r="AO343" i="19"/>
  <c r="AN343" i="19"/>
  <c r="AQ342" i="19"/>
  <c r="AQ341" i="19" s="1"/>
  <c r="AP341" i="19"/>
  <c r="AP340" i="19" s="1"/>
  <c r="AO341" i="19"/>
  <c r="AN341" i="19"/>
  <c r="AQ339" i="19"/>
  <c r="AQ338" i="19" s="1"/>
  <c r="AP338" i="19"/>
  <c r="AO338" i="19"/>
  <c r="AN338" i="19"/>
  <c r="AQ337" i="19"/>
  <c r="AQ336" i="19"/>
  <c r="AQ335" i="19"/>
  <c r="AP334" i="19"/>
  <c r="AO334" i="19"/>
  <c r="AN334" i="19"/>
  <c r="AQ332" i="19"/>
  <c r="AQ331" i="19"/>
  <c r="AQ330" i="19"/>
  <c r="AQ329" i="19"/>
  <c r="AP328" i="19"/>
  <c r="AO328" i="19"/>
  <c r="AN328" i="19"/>
  <c r="AQ327" i="19"/>
  <c r="AQ326" i="19"/>
  <c r="AQ325" i="19"/>
  <c r="AQ324" i="19"/>
  <c r="AP323" i="19"/>
  <c r="AO323" i="19"/>
  <c r="AN323" i="19"/>
  <c r="AQ322" i="19"/>
  <c r="AQ321" i="19"/>
  <c r="AQ320" i="19"/>
  <c r="AQ319" i="19"/>
  <c r="AQ318" i="19"/>
  <c r="AQ317" i="19"/>
  <c r="AQ316" i="19"/>
  <c r="AQ315" i="19"/>
  <c r="AQ314" i="19"/>
  <c r="AQ313" i="19"/>
  <c r="AQ312" i="19"/>
  <c r="AQ311" i="19"/>
  <c r="AQ310" i="19"/>
  <c r="AP309" i="19"/>
  <c r="AO309" i="19"/>
  <c r="AN309" i="19"/>
  <c r="AQ308" i="19"/>
  <c r="AQ307" i="19"/>
  <c r="AQ306" i="19"/>
  <c r="AQ305" i="19"/>
  <c r="AP304" i="19"/>
  <c r="AO304" i="19"/>
  <c r="AN304" i="19"/>
  <c r="AQ303" i="19"/>
  <c r="AQ302" i="19"/>
  <c r="AQ301" i="19"/>
  <c r="AQ300" i="19"/>
  <c r="AQ299" i="19"/>
  <c r="AQ298" i="19"/>
  <c r="AQ297" i="19"/>
  <c r="AQ296" i="19"/>
  <c r="AQ295" i="19"/>
  <c r="AQ294" i="19"/>
  <c r="AQ293" i="19"/>
  <c r="AQ292" i="19"/>
  <c r="AQ291" i="19"/>
  <c r="AQ290" i="19"/>
  <c r="AQ289" i="19"/>
  <c r="AQ288" i="19"/>
  <c r="AQ287" i="19"/>
  <c r="AQ286" i="19"/>
  <c r="AQ285" i="19"/>
  <c r="AP284" i="19"/>
  <c r="AO284" i="19"/>
  <c r="AN284" i="19"/>
  <c r="AJ352" i="19"/>
  <c r="AJ351" i="19"/>
  <c r="AJ349" i="19"/>
  <c r="AJ348" i="19"/>
  <c r="AG347" i="19"/>
  <c r="AF347" i="19"/>
  <c r="AE347" i="19"/>
  <c r="AD347" i="19"/>
  <c r="AC347" i="19"/>
  <c r="AB347" i="19"/>
  <c r="AA347" i="19"/>
  <c r="Z347" i="19"/>
  <c r="Y347" i="19"/>
  <c r="X347" i="19"/>
  <c r="W347" i="19"/>
  <c r="V347" i="19"/>
  <c r="U347" i="19"/>
  <c r="T347" i="19"/>
  <c r="S347" i="19"/>
  <c r="R347" i="19"/>
  <c r="AJ346" i="19"/>
  <c r="AJ345" i="19"/>
  <c r="AJ344" i="19"/>
  <c r="AG343" i="19"/>
  <c r="AF343" i="19"/>
  <c r="AE343" i="19"/>
  <c r="AD343" i="19"/>
  <c r="AB343" i="19"/>
  <c r="AA343" i="19"/>
  <c r="Z343" i="19"/>
  <c r="Y343" i="19"/>
  <c r="X343" i="19"/>
  <c r="V343" i="19"/>
  <c r="U343" i="19"/>
  <c r="T343" i="19"/>
  <c r="S343" i="19"/>
  <c r="R343" i="19"/>
  <c r="AJ342" i="19"/>
  <c r="AG341" i="19"/>
  <c r="AG340" i="19" s="1"/>
  <c r="AF341" i="19"/>
  <c r="AF340" i="19" s="1"/>
  <c r="AE341" i="19"/>
  <c r="AE340" i="19" s="1"/>
  <c r="AD341" i="19"/>
  <c r="AD340" i="19" s="1"/>
  <c r="AB341" i="19"/>
  <c r="AB340" i="19" s="1"/>
  <c r="AA341" i="19"/>
  <c r="AA340" i="19" s="1"/>
  <c r="Z341" i="19"/>
  <c r="Z340" i="19" s="1"/>
  <c r="Y341" i="19"/>
  <c r="Y340" i="19" s="1"/>
  <c r="X341" i="19"/>
  <c r="X340" i="19" s="1"/>
  <c r="V341" i="19"/>
  <c r="V340" i="19" s="1"/>
  <c r="U341" i="19"/>
  <c r="U340" i="19" s="1"/>
  <c r="T341" i="19"/>
  <c r="T340" i="19" s="1"/>
  <c r="S341" i="19"/>
  <c r="S340" i="19" s="1"/>
  <c r="R341" i="19"/>
  <c r="AJ339" i="19"/>
  <c r="AG338" i="19"/>
  <c r="AF338" i="19"/>
  <c r="AE338" i="19"/>
  <c r="AD338" i="19"/>
  <c r="AB338" i="19"/>
  <c r="AA338" i="19"/>
  <c r="Z338" i="19"/>
  <c r="Y338" i="19"/>
  <c r="X338" i="19"/>
  <c r="V338" i="19"/>
  <c r="U338" i="19"/>
  <c r="T338" i="19"/>
  <c r="S338" i="19"/>
  <c r="R338" i="19"/>
  <c r="AJ337" i="19"/>
  <c r="AJ336" i="19"/>
  <c r="AJ335" i="19"/>
  <c r="AG334" i="19"/>
  <c r="AF334" i="19"/>
  <c r="AE334" i="19"/>
  <c r="AD334" i="19"/>
  <c r="AB334" i="19"/>
  <c r="AA334" i="19"/>
  <c r="Z334" i="19"/>
  <c r="Y334" i="19"/>
  <c r="X334" i="19"/>
  <c r="V334" i="19"/>
  <c r="U334" i="19"/>
  <c r="T334" i="19"/>
  <c r="S334" i="19"/>
  <c r="R334" i="19"/>
  <c r="AJ332" i="19"/>
  <c r="AJ331" i="19"/>
  <c r="AJ330" i="19"/>
  <c r="AJ329" i="19"/>
  <c r="AG328" i="19"/>
  <c r="AF328" i="19"/>
  <c r="AE328" i="19"/>
  <c r="AD328" i="19"/>
  <c r="AC328" i="19"/>
  <c r="AB328" i="19"/>
  <c r="AA328" i="19"/>
  <c r="Z328" i="19"/>
  <c r="Y328" i="19"/>
  <c r="X328" i="19"/>
  <c r="W328" i="19"/>
  <c r="V328" i="19"/>
  <c r="U328" i="19"/>
  <c r="T328" i="19"/>
  <c r="S328" i="19"/>
  <c r="R328" i="19"/>
  <c r="AJ327" i="19"/>
  <c r="AJ326" i="19"/>
  <c r="AJ325" i="19"/>
  <c r="AJ324" i="19"/>
  <c r="AG323" i="19"/>
  <c r="AF323" i="19"/>
  <c r="AE323" i="19"/>
  <c r="AD323" i="19"/>
  <c r="AC323" i="19"/>
  <c r="AB323" i="19"/>
  <c r="AA323" i="19"/>
  <c r="Z323" i="19"/>
  <c r="Y323" i="19"/>
  <c r="X323" i="19"/>
  <c r="W323" i="19"/>
  <c r="V323" i="19"/>
  <c r="U323" i="19"/>
  <c r="T323" i="19"/>
  <c r="S323" i="19"/>
  <c r="R323" i="19"/>
  <c r="AJ322" i="19"/>
  <c r="AJ321" i="19"/>
  <c r="AJ320" i="19"/>
  <c r="AJ319" i="19"/>
  <c r="AJ318" i="19"/>
  <c r="AJ317" i="19"/>
  <c r="AJ316" i="19"/>
  <c r="AJ315" i="19"/>
  <c r="AJ314" i="19"/>
  <c r="AJ313" i="19"/>
  <c r="AJ312" i="19"/>
  <c r="AJ311" i="19"/>
  <c r="AJ310" i="19"/>
  <c r="AG309" i="19"/>
  <c r="AF309" i="19"/>
  <c r="AE309" i="19"/>
  <c r="AD309" i="19"/>
  <c r="AC309" i="19"/>
  <c r="AB309" i="19"/>
  <c r="AA309" i="19"/>
  <c r="Z309" i="19"/>
  <c r="Y309" i="19"/>
  <c r="X309" i="19"/>
  <c r="W309" i="19"/>
  <c r="V309" i="19"/>
  <c r="U309" i="19"/>
  <c r="T309" i="19"/>
  <c r="S309" i="19"/>
  <c r="R309" i="19"/>
  <c r="AJ308" i="19"/>
  <c r="AJ307" i="19"/>
  <c r="AJ306" i="19"/>
  <c r="AJ305" i="19"/>
  <c r="AG304" i="19"/>
  <c r="AF304" i="19"/>
  <c r="AE304" i="19"/>
  <c r="AD304" i="19"/>
  <c r="AC304" i="19"/>
  <c r="AB304" i="19"/>
  <c r="AA304" i="19"/>
  <c r="Z304" i="19"/>
  <c r="Y304" i="19"/>
  <c r="X304" i="19"/>
  <c r="W304" i="19"/>
  <c r="V304" i="19"/>
  <c r="U304" i="19"/>
  <c r="T304" i="19"/>
  <c r="S304" i="19"/>
  <c r="R304" i="19"/>
  <c r="AJ303" i="19"/>
  <c r="AJ302" i="19"/>
  <c r="AJ301" i="19"/>
  <c r="AJ300" i="19"/>
  <c r="AJ299" i="19"/>
  <c r="AJ298" i="19"/>
  <c r="R297" i="19"/>
  <c r="AJ297" i="19" s="1"/>
  <c r="AJ296" i="19"/>
  <c r="AJ295" i="19"/>
  <c r="AJ294" i="19"/>
  <c r="AJ293" i="19"/>
  <c r="AJ292" i="19"/>
  <c r="AJ291" i="19"/>
  <c r="AJ290" i="19"/>
  <c r="AJ289" i="19"/>
  <c r="R288" i="19"/>
  <c r="AJ287" i="19"/>
  <c r="AJ286" i="19"/>
  <c r="AJ285" i="19"/>
  <c r="AG284" i="19"/>
  <c r="AF284" i="19"/>
  <c r="AE284" i="19"/>
  <c r="AD284" i="19"/>
  <c r="AC284" i="19"/>
  <c r="AB284" i="19"/>
  <c r="AA284" i="19"/>
  <c r="Z284" i="19"/>
  <c r="Y284" i="19"/>
  <c r="X284" i="19"/>
  <c r="W284" i="19"/>
  <c r="V284" i="19"/>
  <c r="U284" i="19"/>
  <c r="T284" i="19"/>
  <c r="S284" i="19"/>
  <c r="N357" i="19"/>
  <c r="BD357" i="19" s="1"/>
  <c r="C356" i="19"/>
  <c r="N356" i="19" s="1"/>
  <c r="BD356" i="19" s="1"/>
  <c r="N355" i="19"/>
  <c r="BD355" i="19" s="1"/>
  <c r="C354" i="19"/>
  <c r="N354" i="19" s="1"/>
  <c r="BD354" i="19" s="1"/>
  <c r="N353" i="19"/>
  <c r="BD353" i="19" s="1"/>
  <c r="N352" i="19"/>
  <c r="N351" i="19"/>
  <c r="N349" i="19"/>
  <c r="N348" i="19"/>
  <c r="M347" i="19"/>
  <c r="L347" i="19"/>
  <c r="K347" i="19"/>
  <c r="J347" i="19"/>
  <c r="I347" i="19"/>
  <c r="H347" i="19"/>
  <c r="G347" i="19"/>
  <c r="F347" i="19"/>
  <c r="E347" i="19"/>
  <c r="D347" i="19"/>
  <c r="C347" i="19"/>
  <c r="N346" i="19"/>
  <c r="N345" i="19"/>
  <c r="N344" i="19"/>
  <c r="M343" i="19"/>
  <c r="L343" i="19"/>
  <c r="K343" i="19"/>
  <c r="J343" i="19"/>
  <c r="I343" i="19"/>
  <c r="H343" i="19"/>
  <c r="G343" i="19"/>
  <c r="F343" i="19"/>
  <c r="E343" i="19"/>
  <c r="D343" i="19"/>
  <c r="C343" i="19"/>
  <c r="N342" i="19"/>
  <c r="N341" i="19" s="1"/>
  <c r="M341" i="19"/>
  <c r="L341" i="19"/>
  <c r="K341" i="19"/>
  <c r="J341" i="19"/>
  <c r="I341" i="19"/>
  <c r="H341" i="19"/>
  <c r="H340" i="19" s="1"/>
  <c r="G341" i="19"/>
  <c r="F341" i="19"/>
  <c r="E341" i="19"/>
  <c r="D341" i="19"/>
  <c r="C341" i="19"/>
  <c r="N339" i="19"/>
  <c r="N338" i="19" s="1"/>
  <c r="M338" i="19"/>
  <c r="L338" i="19"/>
  <c r="K338" i="19"/>
  <c r="J338" i="19"/>
  <c r="I338" i="19"/>
  <c r="H338" i="19"/>
  <c r="G338" i="19"/>
  <c r="F338" i="19"/>
  <c r="E338" i="19"/>
  <c r="D338" i="19"/>
  <c r="C338" i="19"/>
  <c r="N337" i="19"/>
  <c r="N336" i="19"/>
  <c r="N335" i="19"/>
  <c r="M334" i="19"/>
  <c r="L334" i="19"/>
  <c r="K334" i="19"/>
  <c r="J334" i="19"/>
  <c r="I334" i="19"/>
  <c r="H334" i="19"/>
  <c r="G334" i="19"/>
  <c r="F334" i="19"/>
  <c r="E334" i="19"/>
  <c r="D334" i="19"/>
  <c r="C334" i="19"/>
  <c r="N332" i="19"/>
  <c r="N331" i="19"/>
  <c r="N330" i="19"/>
  <c r="N329" i="19"/>
  <c r="M328" i="19"/>
  <c r="L328" i="19"/>
  <c r="K328" i="19"/>
  <c r="J328" i="19"/>
  <c r="I328" i="19"/>
  <c r="H328" i="19"/>
  <c r="G328" i="19"/>
  <c r="F328" i="19"/>
  <c r="E328" i="19"/>
  <c r="D328" i="19"/>
  <c r="C328" i="19"/>
  <c r="N327" i="19"/>
  <c r="N326" i="19"/>
  <c r="N325" i="19"/>
  <c r="N324" i="19"/>
  <c r="M323" i="19"/>
  <c r="L323" i="19"/>
  <c r="K323" i="19"/>
  <c r="J323" i="19"/>
  <c r="I323" i="19"/>
  <c r="G323" i="19"/>
  <c r="F323" i="19"/>
  <c r="E323" i="19"/>
  <c r="D323" i="19"/>
  <c r="C323" i="19"/>
  <c r="N322" i="19"/>
  <c r="N321" i="19"/>
  <c r="N320" i="19"/>
  <c r="N319" i="19"/>
  <c r="N318" i="19"/>
  <c r="N317" i="19"/>
  <c r="N316" i="19"/>
  <c r="N315" i="19"/>
  <c r="N314" i="19"/>
  <c r="N313" i="19"/>
  <c r="N312" i="19"/>
  <c r="N311" i="19"/>
  <c r="N310" i="19"/>
  <c r="M309" i="19"/>
  <c r="L309" i="19"/>
  <c r="K309" i="19"/>
  <c r="J309" i="19"/>
  <c r="I309" i="19"/>
  <c r="H309" i="19"/>
  <c r="G309" i="19"/>
  <c r="F309" i="19"/>
  <c r="E309" i="19"/>
  <c r="D309" i="19"/>
  <c r="C309" i="19"/>
  <c r="N308" i="19"/>
  <c r="N307" i="19"/>
  <c r="N306" i="19"/>
  <c r="N305" i="19"/>
  <c r="M304" i="19"/>
  <c r="L304" i="19"/>
  <c r="K304" i="19"/>
  <c r="J304" i="19"/>
  <c r="I304" i="19"/>
  <c r="H304" i="19"/>
  <c r="G304" i="19"/>
  <c r="F304" i="19"/>
  <c r="E304" i="19"/>
  <c r="D304" i="19"/>
  <c r="C304" i="19"/>
  <c r="N303" i="19"/>
  <c r="N302" i="19"/>
  <c r="N301" i="19"/>
  <c r="N300" i="19"/>
  <c r="N299" i="19"/>
  <c r="N298" i="19"/>
  <c r="N297" i="19"/>
  <c r="N296" i="19"/>
  <c r="N295" i="19"/>
  <c r="N294" i="19"/>
  <c r="N293" i="19"/>
  <c r="N292" i="19"/>
  <c r="N291" i="19"/>
  <c r="N290" i="19"/>
  <c r="N289" i="19"/>
  <c r="N288" i="19"/>
  <c r="N287" i="19"/>
  <c r="N286" i="19"/>
  <c r="N285" i="19"/>
  <c r="M284" i="19"/>
  <c r="L284" i="19"/>
  <c r="K284" i="19"/>
  <c r="J284" i="19"/>
  <c r="I284" i="19"/>
  <c r="H284" i="19"/>
  <c r="G284" i="19"/>
  <c r="F284" i="19"/>
  <c r="E284" i="19"/>
  <c r="D284" i="19"/>
  <c r="C284" i="19"/>
  <c r="AV340" i="19" l="1"/>
  <c r="AN340" i="19"/>
  <c r="AJ257" i="19"/>
  <c r="BD296" i="19"/>
  <c r="AQ334" i="19"/>
  <c r="AQ333" i="19" s="1"/>
  <c r="AO333" i="19"/>
  <c r="BD308" i="19"/>
  <c r="K283" i="19"/>
  <c r="D283" i="19"/>
  <c r="BD336" i="19"/>
  <c r="I333" i="19"/>
  <c r="BD303" i="19"/>
  <c r="BB343" i="19"/>
  <c r="BD348" i="19"/>
  <c r="E283" i="19"/>
  <c r="F333" i="19"/>
  <c r="J333" i="19"/>
  <c r="F340" i="19"/>
  <c r="J340" i="19"/>
  <c r="D340" i="19"/>
  <c r="L340" i="19"/>
  <c r="BD324" i="19"/>
  <c r="C340" i="19"/>
  <c r="G340" i="19"/>
  <c r="K340" i="19"/>
  <c r="T333" i="19"/>
  <c r="Y333" i="19"/>
  <c r="AD333" i="19"/>
  <c r="BD299" i="19"/>
  <c r="AN333" i="19"/>
  <c r="AQ343" i="19"/>
  <c r="BD300" i="19"/>
  <c r="BB334" i="19"/>
  <c r="AV333" i="19"/>
  <c r="AZ333" i="19"/>
  <c r="BD344" i="19"/>
  <c r="F283" i="19"/>
  <c r="E340" i="19"/>
  <c r="I340" i="19"/>
  <c r="M340" i="19"/>
  <c r="AD283" i="19"/>
  <c r="BD292" i="19"/>
  <c r="AQ304" i="19"/>
  <c r="BD316" i="19"/>
  <c r="BD332" i="19"/>
  <c r="BD313" i="19"/>
  <c r="BD317" i="19"/>
  <c r="BD321" i="19"/>
  <c r="BB323" i="19"/>
  <c r="BD327" i="19"/>
  <c r="BD349" i="19"/>
  <c r="N309" i="19"/>
  <c r="BD331" i="19"/>
  <c r="BD287" i="19"/>
  <c r="BD291" i="19"/>
  <c r="BD295" i="19"/>
  <c r="BD312" i="19"/>
  <c r="BD320" i="19"/>
  <c r="AE333" i="19"/>
  <c r="AJ343" i="19"/>
  <c r="BD352" i="19"/>
  <c r="AQ284" i="19"/>
  <c r="AU283" i="19"/>
  <c r="AY283" i="19"/>
  <c r="BD286" i="19"/>
  <c r="BD290" i="19"/>
  <c r="BD294" i="19"/>
  <c r="BD310" i="19"/>
  <c r="BD314" i="19"/>
  <c r="BD318" i="19"/>
  <c r="BD322" i="19"/>
  <c r="BD351" i="19"/>
  <c r="L283" i="19"/>
  <c r="M283" i="19"/>
  <c r="U283" i="19"/>
  <c r="Y283" i="19"/>
  <c r="AC283" i="19"/>
  <c r="AC358" i="19" s="1"/>
  <c r="AG283" i="19"/>
  <c r="S333" i="19"/>
  <c r="X333" i="19"/>
  <c r="AB333" i="19"/>
  <c r="AG333" i="19"/>
  <c r="AJ338" i="19"/>
  <c r="AA333" i="19"/>
  <c r="BD305" i="19"/>
  <c r="AU333" i="19"/>
  <c r="AY333" i="19"/>
  <c r="BD302" i="19"/>
  <c r="BD330" i="19"/>
  <c r="AX340" i="19"/>
  <c r="H283" i="19"/>
  <c r="BD337" i="19"/>
  <c r="I283" i="19"/>
  <c r="C283" i="19"/>
  <c r="G283" i="19"/>
  <c r="E333" i="19"/>
  <c r="M333" i="19"/>
  <c r="N347" i="19"/>
  <c r="BD325" i="19"/>
  <c r="BD306" i="19"/>
  <c r="BD326" i="19"/>
  <c r="AO340" i="19"/>
  <c r="BD298" i="19"/>
  <c r="BB341" i="19"/>
  <c r="BD342" i="19"/>
  <c r="N328" i="19"/>
  <c r="AJ288" i="19"/>
  <c r="BD288" i="19" s="1"/>
  <c r="R284" i="19"/>
  <c r="N323" i="19"/>
  <c r="N334" i="19"/>
  <c r="N333" i="19" s="1"/>
  <c r="BD311" i="19"/>
  <c r="BD315" i="19"/>
  <c r="BD319" i="19"/>
  <c r="AJ323" i="19"/>
  <c r="AJ328" i="19"/>
  <c r="R333" i="19"/>
  <c r="V333" i="19"/>
  <c r="AF333" i="19"/>
  <c r="BD345" i="19"/>
  <c r="BD285" i="19"/>
  <c r="BD289" i="19"/>
  <c r="BD293" i="19"/>
  <c r="BD297" i="19"/>
  <c r="BD301" i="19"/>
  <c r="BD307" i="19"/>
  <c r="BB328" i="19"/>
  <c r="BD329" i="19"/>
  <c r="BD346" i="19"/>
  <c r="AO283" i="19"/>
  <c r="AQ328" i="19"/>
  <c r="AQ347" i="19"/>
  <c r="AX283" i="19"/>
  <c r="BB339" i="19"/>
  <c r="BD335" i="19"/>
  <c r="C333" i="19"/>
  <c r="G333" i="19"/>
  <c r="K333" i="19"/>
  <c r="V283" i="19"/>
  <c r="T283" i="19"/>
  <c r="X283" i="19"/>
  <c r="AB283" i="19"/>
  <c r="AB358" i="19" s="1"/>
  <c r="AF283" i="19"/>
  <c r="U333" i="19"/>
  <c r="Z333" i="19"/>
  <c r="AJ341" i="19"/>
  <c r="AJ347" i="19"/>
  <c r="AN283" i="19"/>
  <c r="AP283" i="19"/>
  <c r="AQ323" i="19"/>
  <c r="AP333" i="19"/>
  <c r="AQ340" i="19"/>
  <c r="AV283" i="19"/>
  <c r="AZ283" i="19"/>
  <c r="AW333" i="19"/>
  <c r="BA333" i="19"/>
  <c r="BA358" i="19" s="1"/>
  <c r="AY340" i="19"/>
  <c r="N284" i="19"/>
  <c r="J283" i="19"/>
  <c r="D333" i="19"/>
  <c r="H333" i="19"/>
  <c r="L333" i="19"/>
  <c r="N343" i="19"/>
  <c r="N340" i="19" s="1"/>
  <c r="S283" i="19"/>
  <c r="W283" i="19"/>
  <c r="W358" i="19" s="1"/>
  <c r="AA283" i="19"/>
  <c r="AE283" i="19"/>
  <c r="AJ304" i="19"/>
  <c r="AJ309" i="19"/>
  <c r="Z283" i="19"/>
  <c r="AJ334" i="19"/>
  <c r="AQ309" i="19"/>
  <c r="AW283" i="19"/>
  <c r="BB304" i="19"/>
  <c r="AX333" i="19"/>
  <c r="BB347" i="19"/>
  <c r="BB309" i="19"/>
  <c r="BB284" i="19"/>
  <c r="R340" i="19"/>
  <c r="N304" i="19"/>
  <c r="J358" i="19" l="1"/>
  <c r="D358" i="19"/>
  <c r="L358" i="19"/>
  <c r="U358" i="19"/>
  <c r="AA358" i="19"/>
  <c r="K358" i="19"/>
  <c r="AO358" i="19"/>
  <c r="BD309" i="19"/>
  <c r="AN358" i="19"/>
  <c r="T358" i="19"/>
  <c r="AG358" i="19"/>
  <c r="I358" i="19"/>
  <c r="AW358" i="19"/>
  <c r="AU358" i="19"/>
  <c r="M358" i="19"/>
  <c r="AZ358" i="19"/>
  <c r="Y358" i="19"/>
  <c r="C358" i="19"/>
  <c r="AF358" i="19"/>
  <c r="AD358" i="19"/>
  <c r="F358" i="19"/>
  <c r="V358" i="19"/>
  <c r="BD323" i="19"/>
  <c r="BB283" i="19"/>
  <c r="AX358" i="19"/>
  <c r="BD334" i="19"/>
  <c r="AY358" i="19"/>
  <c r="AV358" i="19"/>
  <c r="X358" i="19"/>
  <c r="G358" i="19"/>
  <c r="E358" i="19"/>
  <c r="S358" i="19"/>
  <c r="AE358" i="19"/>
  <c r="BD304" i="19"/>
  <c r="Z358" i="19"/>
  <c r="AJ333" i="19"/>
  <c r="BD347" i="19"/>
  <c r="AP358" i="19"/>
  <c r="BD343" i="19"/>
  <c r="AQ283" i="19"/>
  <c r="AQ358" i="19" s="1"/>
  <c r="BB338" i="19"/>
  <c r="BD339" i="19"/>
  <c r="H358" i="19"/>
  <c r="N283" i="19"/>
  <c r="N358" i="19" s="1"/>
  <c r="BD328" i="19"/>
  <c r="AJ284" i="19"/>
  <c r="BD284" i="19" s="1"/>
  <c r="R283" i="19"/>
  <c r="AJ283" i="19" s="1"/>
  <c r="BB340" i="19"/>
  <c r="BD341" i="19"/>
  <c r="AJ340" i="19"/>
  <c r="BD283" i="19" l="1"/>
  <c r="AJ358" i="19"/>
  <c r="BD340" i="19"/>
  <c r="R358" i="19"/>
  <c r="BD338" i="19"/>
  <c r="BB333" i="19"/>
  <c r="BD333" i="19" s="1"/>
  <c r="B44" i="22"/>
  <c r="B43" i="22"/>
  <c r="B42" i="22"/>
  <c r="B41" i="22"/>
  <c r="B40" i="22"/>
  <c r="B39" i="22"/>
  <c r="B38" i="22"/>
  <c r="B37" i="22"/>
  <c r="B36" i="22"/>
  <c r="B33" i="22"/>
  <c r="B32" i="22"/>
  <c r="B31" i="22"/>
  <c r="B30" i="22"/>
  <c r="B29" i="22"/>
  <c r="B28" i="22"/>
  <c r="B27" i="22"/>
  <c r="B26" i="22"/>
  <c r="B25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F49" i="22"/>
  <c r="F50" i="22"/>
  <c r="F51" i="22"/>
  <c r="F52" i="22"/>
  <c r="B7" i="22"/>
  <c r="BB358" i="19" l="1"/>
  <c r="BD358" i="19" s="1"/>
  <c r="B126" i="14"/>
  <c r="B125" i="14"/>
  <c r="I124" i="13"/>
  <c r="J124" i="13"/>
  <c r="K124" i="13"/>
  <c r="H124" i="13"/>
  <c r="I126" i="13"/>
  <c r="J126" i="13"/>
  <c r="K126" i="13"/>
  <c r="G104" i="13"/>
  <c r="G105" i="13"/>
  <c r="G109" i="13"/>
  <c r="G110" i="13"/>
  <c r="G111" i="13"/>
  <c r="G112" i="13"/>
  <c r="G113" i="13"/>
  <c r="G114" i="13"/>
  <c r="G115" i="13"/>
  <c r="G116" i="13"/>
  <c r="G117" i="13"/>
  <c r="G118" i="13"/>
  <c r="D107" i="13"/>
  <c r="E107" i="13"/>
  <c r="F107" i="13"/>
  <c r="H107" i="13"/>
  <c r="H102" i="13" s="1"/>
  <c r="K107" i="13"/>
  <c r="K102" i="13" s="1"/>
  <c r="N107" i="13"/>
  <c r="O107" i="13"/>
  <c r="P107" i="13"/>
  <c r="R107" i="13"/>
  <c r="R102" i="13" s="1"/>
  <c r="S107" i="13"/>
  <c r="S102" i="13" s="1"/>
  <c r="T107" i="13"/>
  <c r="T102" i="13" s="1"/>
  <c r="W107" i="13"/>
  <c r="W102" i="13" s="1"/>
  <c r="X107" i="13"/>
  <c r="X102" i="13" s="1"/>
  <c r="Z107" i="13"/>
  <c r="Z102" i="13" s="1"/>
  <c r="AA107" i="13"/>
  <c r="AA102" i="13" s="1"/>
  <c r="AB107" i="13"/>
  <c r="AB102" i="13" s="1"/>
  <c r="BB79" i="19"/>
  <c r="BD79" i="19" s="1"/>
  <c r="BB80" i="19"/>
  <c r="D178" i="11"/>
  <c r="I123" i="13" l="1"/>
  <c r="K123" i="13"/>
  <c r="J123" i="13"/>
  <c r="H182" i="10"/>
  <c r="H183" i="10"/>
  <c r="H184" i="10"/>
  <c r="H185" i="10"/>
  <c r="H188" i="10"/>
  <c r="D176" i="10"/>
  <c r="H176" i="10" s="1"/>
  <c r="AE76" i="19"/>
  <c r="V108" i="13" l="1"/>
  <c r="H22" i="12"/>
  <c r="C108" i="13"/>
  <c r="G108" i="13" s="1"/>
  <c r="C107" i="13" l="1"/>
  <c r="G107" i="13" s="1"/>
  <c r="Q116" i="13"/>
  <c r="Q117" i="13"/>
  <c r="Q118" i="13"/>
  <c r="Q121" i="13"/>
  <c r="Q122" i="13"/>
  <c r="Q123" i="13"/>
  <c r="Q124" i="13"/>
  <c r="G125" i="13"/>
  <c r="G126" i="13"/>
  <c r="G127" i="13"/>
  <c r="D119" i="13"/>
  <c r="E119" i="13"/>
  <c r="F119" i="13"/>
  <c r="D179" i="10"/>
  <c r="H179" i="10" s="1"/>
  <c r="H86" i="10"/>
  <c r="H91" i="10"/>
  <c r="E87" i="10"/>
  <c r="F87" i="10"/>
  <c r="G87" i="10"/>
  <c r="D84" i="10"/>
  <c r="H84" i="10" s="1"/>
  <c r="N263" i="19"/>
  <c r="BD263" i="19" s="1"/>
  <c r="N265" i="19"/>
  <c r="N267" i="19"/>
  <c r="BD267" i="19" s="1"/>
  <c r="D88" i="10"/>
  <c r="C16" i="22"/>
  <c r="C17" i="22"/>
  <c r="C266" i="19"/>
  <c r="N266" i="19" s="1"/>
  <c r="BD266" i="19" s="1"/>
  <c r="C264" i="19"/>
  <c r="N264" i="19" s="1"/>
  <c r="C88" i="10" l="1"/>
  <c r="H88" i="10" s="1"/>
  <c r="BD264" i="19"/>
  <c r="D83" i="10"/>
  <c r="M105" i="13" s="1"/>
  <c r="D178" i="10"/>
  <c r="M120" i="13"/>
  <c r="D87" i="10"/>
  <c r="H83" i="10" l="1"/>
  <c r="C87" i="10"/>
  <c r="H87" i="10" s="1"/>
  <c r="C120" i="13"/>
  <c r="N105" i="13"/>
  <c r="Q120" i="13"/>
  <c r="M119" i="13"/>
  <c r="Q119" i="13" s="1"/>
  <c r="G8" i="21"/>
  <c r="G120" i="13" l="1"/>
  <c r="AD120" i="13" s="1"/>
  <c r="C119" i="13"/>
  <c r="G119" i="13" s="1"/>
  <c r="AD119" i="13" s="1"/>
  <c r="C119" i="14"/>
  <c r="D118" i="14" s="1"/>
  <c r="G5" i="21"/>
  <c r="E118" i="14" l="1"/>
  <c r="AQ81" i="19"/>
  <c r="AQ82" i="19"/>
  <c r="BB82" i="19"/>
  <c r="BD82" i="19" s="1"/>
  <c r="C190" i="19"/>
  <c r="C217" i="19"/>
  <c r="C231" i="19"/>
  <c r="C236" i="19"/>
  <c r="C244" i="19"/>
  <c r="C248" i="19"/>
  <c r="C251" i="19"/>
  <c r="C253" i="19"/>
  <c r="C257" i="19"/>
  <c r="C241" i="19" l="1"/>
  <c r="C15" i="22"/>
  <c r="C250" i="19"/>
  <c r="C14" i="22"/>
  <c r="C8" i="22"/>
  <c r="C29" i="22"/>
  <c r="C42" i="22"/>
  <c r="C36" i="22"/>
  <c r="C28" i="22"/>
  <c r="C41" i="22"/>
  <c r="C189" i="19"/>
  <c r="D210" i="8"/>
  <c r="D38" i="8"/>
  <c r="D127" i="8"/>
  <c r="D154" i="8"/>
  <c r="J102" i="8"/>
  <c r="J103" i="8"/>
  <c r="J104" i="8"/>
  <c r="J105" i="8"/>
  <c r="J106" i="8"/>
  <c r="J107" i="8"/>
  <c r="J108" i="8"/>
  <c r="J109" i="8"/>
  <c r="J110" i="8"/>
  <c r="J111" i="8"/>
  <c r="L203" i="8"/>
  <c r="N203" i="8"/>
  <c r="H201" i="8"/>
  <c r="H202" i="8"/>
  <c r="I202" i="8" s="1"/>
  <c r="K202" i="8" s="1"/>
  <c r="H200" i="8"/>
  <c r="M202" i="8"/>
  <c r="O202" i="8" s="1"/>
  <c r="M177" i="8"/>
  <c r="O177" i="8" s="1"/>
  <c r="M178" i="8"/>
  <c r="O178" i="8" s="1"/>
  <c r="M179" i="8"/>
  <c r="O179" i="8" s="1"/>
  <c r="M180" i="8"/>
  <c r="O180" i="8" s="1"/>
  <c r="M181" i="8"/>
  <c r="O181" i="8" s="1"/>
  <c r="M182" i="8"/>
  <c r="O182" i="8" s="1"/>
  <c r="M183" i="8"/>
  <c r="O183" i="8" s="1"/>
  <c r="M184" i="8"/>
  <c r="O184" i="8" s="1"/>
  <c r="M185" i="8"/>
  <c r="O185" i="8" s="1"/>
  <c r="M187" i="8"/>
  <c r="O187" i="8" s="1"/>
  <c r="H177" i="8"/>
  <c r="I177" i="8" s="1"/>
  <c r="K177" i="8" s="1"/>
  <c r="H178" i="8"/>
  <c r="I178" i="8" s="1"/>
  <c r="K178" i="8" s="1"/>
  <c r="H179" i="8"/>
  <c r="I179" i="8" s="1"/>
  <c r="K179" i="8" s="1"/>
  <c r="H180" i="8"/>
  <c r="I180" i="8" s="1"/>
  <c r="K180" i="8" s="1"/>
  <c r="H181" i="8"/>
  <c r="I181" i="8" s="1"/>
  <c r="K181" i="8" s="1"/>
  <c r="H182" i="8"/>
  <c r="I182" i="8" s="1"/>
  <c r="K182" i="8" s="1"/>
  <c r="H183" i="8"/>
  <c r="I183" i="8" s="1"/>
  <c r="K183" i="8" s="1"/>
  <c r="H184" i="8"/>
  <c r="I184" i="8" s="1"/>
  <c r="K184" i="8" s="1"/>
  <c r="H185" i="8"/>
  <c r="I185" i="8" s="1"/>
  <c r="K185" i="8" s="1"/>
  <c r="H187" i="8"/>
  <c r="I187" i="8" s="1"/>
  <c r="K187" i="8" s="1"/>
  <c r="H173" i="8"/>
  <c r="I173" i="8" s="1"/>
  <c r="K173" i="8" s="1"/>
  <c r="M173" i="8"/>
  <c r="O173" i="8" s="1"/>
  <c r="J173" i="8"/>
  <c r="M169" i="8"/>
  <c r="O169" i="8" s="1"/>
  <c r="M170" i="8"/>
  <c r="O170" i="8" s="1"/>
  <c r="J169" i="8"/>
  <c r="J170" i="8"/>
  <c r="H169" i="8"/>
  <c r="I169" i="8" s="1"/>
  <c r="K169" i="8" s="1"/>
  <c r="H170" i="8"/>
  <c r="I170" i="8" s="1"/>
  <c r="K170" i="8" s="1"/>
  <c r="H114" i="8"/>
  <c r="H113" i="8"/>
  <c r="H111" i="8"/>
  <c r="I111" i="8" s="1"/>
  <c r="K111" i="8" s="1"/>
  <c r="M111" i="8"/>
  <c r="O111" i="8" s="1"/>
  <c r="H110" i="8"/>
  <c r="I110" i="8" s="1"/>
  <c r="K110" i="8" s="1"/>
  <c r="M110" i="8"/>
  <c r="O110" i="8" s="1"/>
  <c r="H108" i="8"/>
  <c r="I108" i="8" s="1"/>
  <c r="K108" i="8" s="1"/>
  <c r="M108" i="8"/>
  <c r="O108" i="8" s="1"/>
  <c r="H106" i="8"/>
  <c r="I106" i="8" s="1"/>
  <c r="K106" i="8" s="1"/>
  <c r="M106" i="8"/>
  <c r="O106" i="8" s="1"/>
  <c r="H91" i="8"/>
  <c r="H92" i="8"/>
  <c r="H93" i="8"/>
  <c r="H94" i="8"/>
  <c r="H95" i="8"/>
  <c r="H96" i="8"/>
  <c r="H203" i="8" l="1"/>
  <c r="C10" i="22"/>
  <c r="C11" i="22"/>
  <c r="C31" i="22"/>
  <c r="C13" i="22"/>
  <c r="C7" i="22"/>
  <c r="C38" i="22"/>
  <c r="C32" i="22"/>
  <c r="C268" i="19"/>
  <c r="C9" i="22"/>
  <c r="C18" i="22"/>
  <c r="D212" i="8"/>
  <c r="C33" i="22"/>
  <c r="C21" i="22"/>
  <c r="C40" i="22"/>
  <c r="C37" i="22"/>
  <c r="C25" i="22"/>
  <c r="C24" i="22"/>
  <c r="C44" i="22"/>
  <c r="C43" i="22"/>
  <c r="C20" i="22"/>
  <c r="C22" i="22"/>
  <c r="C39" i="22"/>
  <c r="C27" i="22"/>
  <c r="C23" i="22"/>
  <c r="P111" i="8"/>
  <c r="P110" i="8"/>
  <c r="P106" i="8"/>
  <c r="P108" i="8"/>
  <c r="P183" i="8"/>
  <c r="P187" i="8"/>
  <c r="P178" i="8"/>
  <c r="P185" i="8"/>
  <c r="P181" i="8"/>
  <c r="P177" i="8"/>
  <c r="P179" i="8"/>
  <c r="P182" i="8"/>
  <c r="P184" i="8"/>
  <c r="P180" i="8"/>
  <c r="P173" i="8"/>
  <c r="P169" i="8"/>
  <c r="P170" i="8"/>
  <c r="L32" i="8"/>
  <c r="N32" i="8"/>
  <c r="G32" i="8"/>
  <c r="D68" i="5"/>
  <c r="D7" i="22" l="1"/>
  <c r="C270" i="19"/>
  <c r="P188" i="8"/>
  <c r="C68" i="6"/>
  <c r="I68" i="5"/>
  <c r="C19" i="22"/>
  <c r="D67" i="5"/>
  <c r="D67" i="6" l="1"/>
  <c r="I67" i="5"/>
  <c r="C45" i="22"/>
  <c r="BJ90" i="19" s="1"/>
  <c r="D66" i="5"/>
  <c r="I66" i="5" s="1"/>
  <c r="E57" i="4"/>
  <c r="E66" i="6" l="1"/>
  <c r="C15" i="15" s="1"/>
  <c r="L125" i="13" l="1"/>
  <c r="L124" i="13" l="1"/>
  <c r="C124" i="13"/>
  <c r="D123" i="13"/>
  <c r="E123" i="13"/>
  <c r="F123" i="13"/>
  <c r="C123" i="13" l="1"/>
  <c r="G124" i="13"/>
  <c r="G123" i="13" l="1"/>
  <c r="C83" i="5"/>
  <c r="F54" i="4" l="1"/>
  <c r="F53" i="4" l="1"/>
  <c r="F55" i="4"/>
  <c r="C75" i="6" l="1"/>
  <c r="C61" i="5"/>
  <c r="C72" i="5"/>
  <c r="I72" i="5" s="1"/>
  <c r="C73" i="5"/>
  <c r="I73" i="5" s="1"/>
  <c r="C71" i="5"/>
  <c r="I71" i="5" s="1"/>
  <c r="C64" i="5"/>
  <c r="J22" i="8"/>
  <c r="J11" i="8"/>
  <c r="J8" i="8"/>
  <c r="J133" i="8"/>
  <c r="J202" i="8" l="1"/>
  <c r="P202" i="8" s="1"/>
  <c r="J234" i="8"/>
  <c r="P234" i="8" s="1"/>
  <c r="J228" i="8"/>
  <c r="P228" i="8" s="1"/>
  <c r="J224" i="8"/>
  <c r="P224" i="8" s="1"/>
  <c r="J232" i="8"/>
  <c r="P232" i="8" s="1"/>
  <c r="J227" i="8"/>
  <c r="P227" i="8" s="1"/>
  <c r="J223" i="8"/>
  <c r="J225" i="8"/>
  <c r="P225" i="8" s="1"/>
  <c r="J231" i="8"/>
  <c r="P231" i="8" s="1"/>
  <c r="J226" i="8"/>
  <c r="P226" i="8" s="1"/>
  <c r="C61" i="6"/>
  <c r="C73" i="6"/>
  <c r="C71" i="6"/>
  <c r="C72" i="6"/>
  <c r="D72" i="19"/>
  <c r="J235" i="8" l="1"/>
  <c r="P223" i="8"/>
  <c r="P235" i="8" s="1"/>
  <c r="F57" i="4" l="1"/>
  <c r="BF95" i="19" l="1"/>
  <c r="F61" i="4"/>
  <c r="F63" i="4" s="1"/>
  <c r="C62" i="5"/>
  <c r="C60" i="5" s="1"/>
  <c r="C59" i="5" s="1"/>
  <c r="I62" i="5" l="1"/>
  <c r="C62" i="6"/>
  <c r="D60" i="6" s="1"/>
  <c r="I60" i="5"/>
  <c r="C74" i="6"/>
  <c r="I74" i="5"/>
  <c r="I70" i="5" s="1"/>
  <c r="C70" i="5"/>
  <c r="I69" i="5" l="1"/>
  <c r="D70" i="6"/>
  <c r="E69" i="6" s="1"/>
  <c r="K212" i="19"/>
  <c r="L212" i="19"/>
  <c r="K217" i="19"/>
  <c r="L217" i="19"/>
  <c r="K236" i="19"/>
  <c r="L236" i="19"/>
  <c r="K244" i="19"/>
  <c r="L244" i="19"/>
  <c r="K248" i="19"/>
  <c r="L248" i="19"/>
  <c r="K251" i="19"/>
  <c r="L251" i="19"/>
  <c r="K253" i="19"/>
  <c r="L253" i="19"/>
  <c r="K257" i="19"/>
  <c r="L257" i="19"/>
  <c r="L241" i="19" l="1"/>
  <c r="K241" i="19"/>
  <c r="L250" i="19"/>
  <c r="K250" i="19"/>
  <c r="I95" i="8"/>
  <c r="K95" i="8" s="1"/>
  <c r="J95" i="8"/>
  <c r="M95" i="8"/>
  <c r="O95" i="8" s="1"/>
  <c r="L87" i="8"/>
  <c r="N87" i="8"/>
  <c r="M85" i="8"/>
  <c r="O85" i="8" s="1"/>
  <c r="J85" i="8"/>
  <c r="H85" i="8"/>
  <c r="I85" i="8" s="1"/>
  <c r="K85" i="8" s="1"/>
  <c r="M86" i="8"/>
  <c r="O86" i="8" s="1"/>
  <c r="H86" i="8"/>
  <c r="I86" i="8" s="1"/>
  <c r="K86" i="8" s="1"/>
  <c r="J87" i="8" l="1"/>
  <c r="K55" i="18" s="1"/>
  <c r="P95" i="8"/>
  <c r="O87" i="8"/>
  <c r="K57" i="18" s="1"/>
  <c r="I87" i="8"/>
  <c r="K54" i="18" s="1"/>
  <c r="M87" i="8"/>
  <c r="H87" i="8"/>
  <c r="P86" i="8"/>
  <c r="O115" i="8"/>
  <c r="L57" i="18" s="1"/>
  <c r="I114" i="8"/>
  <c r="I113" i="8"/>
  <c r="G115" i="8"/>
  <c r="H115" i="8"/>
  <c r="J115" i="8"/>
  <c r="L55" i="18" s="1"/>
  <c r="L115" i="8"/>
  <c r="M115" i="8"/>
  <c r="N115" i="8"/>
  <c r="AF253" i="19"/>
  <c r="AF251" i="19"/>
  <c r="AF250" i="19" s="1"/>
  <c r="AF248" i="19"/>
  <c r="AF244" i="19"/>
  <c r="AF236" i="19"/>
  <c r="AF231" i="19"/>
  <c r="AF217" i="19"/>
  <c r="AF212" i="19"/>
  <c r="AF190" i="19"/>
  <c r="AF76" i="19"/>
  <c r="AF72" i="19"/>
  <c r="AF70" i="19"/>
  <c r="AF63" i="19"/>
  <c r="AF55" i="19"/>
  <c r="AF7" i="19" s="1"/>
  <c r="AF50" i="19"/>
  <c r="AE30" i="19"/>
  <c r="AF30" i="19"/>
  <c r="AG30" i="19"/>
  <c r="I115" i="8" l="1"/>
  <c r="L54" i="18" s="1"/>
  <c r="K113" i="8"/>
  <c r="P113" i="8" s="1"/>
  <c r="K114" i="8"/>
  <c r="P114" i="8" s="1"/>
  <c r="AF60" i="19"/>
  <c r="AF241" i="19"/>
  <c r="AF189" i="19"/>
  <c r="K87" i="8"/>
  <c r="K58" i="18" s="1"/>
  <c r="P85" i="8"/>
  <c r="P87" i="8" s="1"/>
  <c r="AF69" i="19"/>
  <c r="AF87" i="19" l="1"/>
  <c r="K115" i="8"/>
  <c r="L58" i="18" s="1"/>
  <c r="L59" i="18" s="1"/>
  <c r="P115" i="8"/>
  <c r="AF268" i="19"/>
  <c r="B51" i="10"/>
  <c r="A51" i="10"/>
  <c r="D32" i="22" l="1"/>
  <c r="F32" i="22" s="1"/>
  <c r="AF270" i="19"/>
  <c r="AF271" i="19" s="1"/>
  <c r="C74" i="10"/>
  <c r="C85" i="10"/>
  <c r="D85" i="10"/>
  <c r="E85" i="10"/>
  <c r="E82" i="10" s="1"/>
  <c r="F85" i="10"/>
  <c r="F82" i="10" s="1"/>
  <c r="F77" i="10" s="1"/>
  <c r="G85" i="10"/>
  <c r="G82" i="10" s="1"/>
  <c r="G77" i="10" s="1"/>
  <c r="C90" i="10"/>
  <c r="D90" i="10"/>
  <c r="D89" i="10" s="1"/>
  <c r="E90" i="10"/>
  <c r="E89" i="10" s="1"/>
  <c r="F90" i="10"/>
  <c r="F89" i="10" s="1"/>
  <c r="G90" i="10"/>
  <c r="G89" i="10" s="1"/>
  <c r="E64" i="10"/>
  <c r="F64" i="10"/>
  <c r="G64" i="10"/>
  <c r="E68" i="10"/>
  <c r="F68" i="10"/>
  <c r="G68" i="10"/>
  <c r="E71" i="10"/>
  <c r="F71" i="10"/>
  <c r="G71" i="10"/>
  <c r="H85" i="10" l="1"/>
  <c r="C89" i="10"/>
  <c r="H89" i="10" s="1"/>
  <c r="H90" i="10"/>
  <c r="G63" i="10"/>
  <c r="E77" i="10"/>
  <c r="E63" i="10"/>
  <c r="F63" i="10"/>
  <c r="C85" i="12" l="1"/>
  <c r="C81" i="12"/>
  <c r="C72" i="10" l="1"/>
  <c r="C71" i="10" s="1"/>
  <c r="BC191" i="19"/>
  <c r="BC193" i="19"/>
  <c r="BC194" i="19"/>
  <c r="BC195" i="19"/>
  <c r="BC196" i="19"/>
  <c r="BC197" i="19"/>
  <c r="BC198" i="19"/>
  <c r="BC199" i="19"/>
  <c r="BC200" i="19"/>
  <c r="BC201" i="19"/>
  <c r="BC202" i="19"/>
  <c r="BC204" i="19"/>
  <c r="BC205" i="19"/>
  <c r="BC206" i="19"/>
  <c r="BC207" i="19"/>
  <c r="BC208" i="19"/>
  <c r="BC209" i="19"/>
  <c r="BC210" i="19"/>
  <c r="BC211" i="19"/>
  <c r="BC213" i="19"/>
  <c r="BC214" i="19"/>
  <c r="BC215" i="19"/>
  <c r="BC216" i="19"/>
  <c r="BC218" i="19"/>
  <c r="BC219" i="19"/>
  <c r="BC220" i="19"/>
  <c r="BC221" i="19"/>
  <c r="BC222" i="19"/>
  <c r="BC223" i="19"/>
  <c r="BC224" i="19"/>
  <c r="BC225" i="19"/>
  <c r="BC226" i="19"/>
  <c r="BC227" i="19"/>
  <c r="BC228" i="19"/>
  <c r="BC229" i="19"/>
  <c r="BC230" i="19"/>
  <c r="BC232" i="19"/>
  <c r="BC233" i="19"/>
  <c r="BC234" i="19"/>
  <c r="BC235" i="19"/>
  <c r="BC237" i="19"/>
  <c r="BC238" i="19"/>
  <c r="BC239" i="19"/>
  <c r="BC240" i="19"/>
  <c r="BC245" i="19"/>
  <c r="BC246" i="19"/>
  <c r="BC247" i="19"/>
  <c r="BC249" i="19"/>
  <c r="BC252" i="19"/>
  <c r="BC254" i="19"/>
  <c r="BC255" i="19"/>
  <c r="BC256" i="19"/>
  <c r="BC258" i="19"/>
  <c r="BC259" i="19"/>
  <c r="BC261" i="19"/>
  <c r="BC262" i="19"/>
  <c r="D190" i="19"/>
  <c r="E190" i="19"/>
  <c r="F190" i="19"/>
  <c r="G190" i="19"/>
  <c r="H190" i="19"/>
  <c r="I190" i="19"/>
  <c r="J190" i="19"/>
  <c r="K190" i="19"/>
  <c r="L190" i="19"/>
  <c r="M190" i="19"/>
  <c r="L171" i="8"/>
  <c r="N171" i="8"/>
  <c r="G117" i="8"/>
  <c r="G73" i="8"/>
  <c r="L70" i="8"/>
  <c r="N70" i="8"/>
  <c r="L65" i="8"/>
  <c r="N65" i="8"/>
  <c r="L54" i="8"/>
  <c r="N54" i="8"/>
  <c r="G45" i="8"/>
  <c r="G21" i="8"/>
  <c r="G36" i="8"/>
  <c r="L16" i="8"/>
  <c r="N16" i="8"/>
  <c r="M168" i="8"/>
  <c r="O168" i="8" s="1"/>
  <c r="J168" i="8"/>
  <c r="H168" i="8"/>
  <c r="I168" i="8" s="1"/>
  <c r="K168" i="8" s="1"/>
  <c r="M147" i="8"/>
  <c r="O147" i="8" s="1"/>
  <c r="J147" i="8"/>
  <c r="H147" i="8"/>
  <c r="I147" i="8" s="1"/>
  <c r="K147" i="8" s="1"/>
  <c r="M198" i="8"/>
  <c r="O198" i="8" s="1"/>
  <c r="H198" i="8"/>
  <c r="I198" i="8" s="1"/>
  <c r="K198" i="8" s="1"/>
  <c r="H102" i="8"/>
  <c r="I102" i="8" s="1"/>
  <c r="K102" i="8" s="1"/>
  <c r="M102" i="8"/>
  <c r="O102" i="8" s="1"/>
  <c r="N154" i="8" l="1"/>
  <c r="L154" i="8"/>
  <c r="P102" i="8"/>
  <c r="P168" i="8"/>
  <c r="P147" i="8"/>
  <c r="H109" i="8" l="1"/>
  <c r="I109" i="8" s="1"/>
  <c r="K109" i="8" s="1"/>
  <c r="M109" i="8"/>
  <c r="O109" i="8" s="1"/>
  <c r="P109" i="8" l="1"/>
  <c r="M68" i="8"/>
  <c r="J68" i="8"/>
  <c r="M104" i="8"/>
  <c r="O104" i="8" s="1"/>
  <c r="M105" i="8"/>
  <c r="O105" i="8" s="1"/>
  <c r="M107" i="8"/>
  <c r="O107" i="8" s="1"/>
  <c r="H107" i="8"/>
  <c r="I107" i="8" s="1"/>
  <c r="K107" i="8" s="1"/>
  <c r="H105" i="8"/>
  <c r="I105" i="8" s="1"/>
  <c r="K105" i="8" s="1"/>
  <c r="H104" i="8"/>
  <c r="I104" i="8" s="1"/>
  <c r="K104" i="8" s="1"/>
  <c r="H103" i="8"/>
  <c r="H101" i="8"/>
  <c r="L13" i="8"/>
  <c r="N13" i="8"/>
  <c r="M27" i="8"/>
  <c r="J27" i="8"/>
  <c r="H27" i="8"/>
  <c r="L23" i="8"/>
  <c r="N23" i="8"/>
  <c r="I27" i="8" l="1"/>
  <c r="K27" i="8" s="1"/>
  <c r="H112" i="8"/>
  <c r="P68" i="8"/>
  <c r="O68" i="8"/>
  <c r="D81" i="11"/>
  <c r="P105" i="8"/>
  <c r="P107" i="8"/>
  <c r="P104" i="8"/>
  <c r="G23" i="8"/>
  <c r="J23" i="8"/>
  <c r="G25" i="18"/>
  <c r="M22" i="8"/>
  <c r="H23" i="8" l="1"/>
  <c r="O22" i="8"/>
  <c r="O23" i="8" s="1"/>
  <c r="G27" i="18"/>
  <c r="I23" i="8"/>
  <c r="G21" i="18"/>
  <c r="K23" i="8"/>
  <c r="G28" i="18"/>
  <c r="M23" i="8"/>
  <c r="P22" i="8"/>
  <c r="P23" i="8" s="1"/>
  <c r="G31" i="18" l="1"/>
  <c r="G33" i="18" s="1"/>
  <c r="O270" i="19"/>
  <c r="P270" i="19"/>
  <c r="P271" i="19" s="1"/>
  <c r="AL270" i="19"/>
  <c r="AL271" i="19" s="1"/>
  <c r="AR270" i="19"/>
  <c r="AS270" i="19"/>
  <c r="AS271" i="19" s="1"/>
  <c r="H212" i="19" l="1"/>
  <c r="H217" i="19"/>
  <c r="H236" i="19"/>
  <c r="H244" i="19"/>
  <c r="H248" i="19"/>
  <c r="H251" i="19"/>
  <c r="H253" i="19"/>
  <c r="H257" i="19"/>
  <c r="D80" i="10"/>
  <c r="H241" i="19" l="1"/>
  <c r="H250" i="19"/>
  <c r="H189" i="19"/>
  <c r="H87" i="19" l="1"/>
  <c r="H268" i="19"/>
  <c r="D12" i="22" s="1"/>
  <c r="F12" i="22" s="1"/>
  <c r="M26" i="7"/>
  <c r="E34" i="7" l="1"/>
  <c r="C120" i="12"/>
  <c r="H270" i="19"/>
  <c r="H271" i="19" s="1"/>
  <c r="L127" i="13"/>
  <c r="AD127" i="13" s="1"/>
  <c r="C126" i="14" l="1"/>
  <c r="D125" i="14" s="1"/>
  <c r="H123" i="13"/>
  <c r="L126" i="13"/>
  <c r="AD126" i="13" s="1"/>
  <c r="G50" i="4"/>
  <c r="H84" i="12" l="1"/>
  <c r="H83" i="12"/>
  <c r="H82" i="12"/>
  <c r="AV257" i="19" l="1"/>
  <c r="AW257" i="19"/>
  <c r="AX257" i="19"/>
  <c r="AY257" i="19"/>
  <c r="AZ257" i="19"/>
  <c r="BA257" i="19"/>
  <c r="AV253" i="19"/>
  <c r="AW253" i="19"/>
  <c r="AX253" i="19"/>
  <c r="AY253" i="19"/>
  <c r="AZ253" i="19"/>
  <c r="BA253" i="19"/>
  <c r="AV251" i="19"/>
  <c r="AW251" i="19"/>
  <c r="AX251" i="19"/>
  <c r="AY251" i="19"/>
  <c r="AZ251" i="19"/>
  <c r="BA251" i="19"/>
  <c r="AV248" i="19"/>
  <c r="AW248" i="19"/>
  <c r="AX248" i="19"/>
  <c r="AY248" i="19"/>
  <c r="AZ248" i="19"/>
  <c r="BA248" i="19"/>
  <c r="AV244" i="19"/>
  <c r="AW244" i="19"/>
  <c r="AX244" i="19"/>
  <c r="AY244" i="19"/>
  <c r="AZ244" i="19"/>
  <c r="BA244" i="19"/>
  <c r="AV236" i="19"/>
  <c r="AW236" i="19"/>
  <c r="AX236" i="19"/>
  <c r="AY236" i="19"/>
  <c r="AZ236" i="19"/>
  <c r="BA236" i="19"/>
  <c r="AV231" i="19"/>
  <c r="AW231" i="19"/>
  <c r="AY231" i="19"/>
  <c r="AZ231" i="19"/>
  <c r="BA231" i="19"/>
  <c r="AV212" i="19"/>
  <c r="AW212" i="19"/>
  <c r="AY212" i="19"/>
  <c r="AZ212" i="19"/>
  <c r="BA212" i="19"/>
  <c r="AV217" i="19"/>
  <c r="AW217" i="19"/>
  <c r="AY217" i="19"/>
  <c r="AZ217" i="19"/>
  <c r="BA217" i="19"/>
  <c r="AV190" i="19"/>
  <c r="AV76" i="19"/>
  <c r="AW76" i="19"/>
  <c r="AX76" i="19"/>
  <c r="AY76" i="19"/>
  <c r="AZ76" i="19"/>
  <c r="BA76" i="19"/>
  <c r="AV72" i="19"/>
  <c r="AW72" i="19"/>
  <c r="AX72" i="19"/>
  <c r="AY72" i="19"/>
  <c r="AZ72" i="19"/>
  <c r="BA72" i="19"/>
  <c r="AV70" i="19"/>
  <c r="AW70" i="19"/>
  <c r="AX70" i="19"/>
  <c r="AY70" i="19"/>
  <c r="AZ70" i="19"/>
  <c r="BA70" i="19"/>
  <c r="AV67" i="19"/>
  <c r="AW67" i="19"/>
  <c r="AX67" i="19"/>
  <c r="AY67" i="19"/>
  <c r="AZ67" i="19"/>
  <c r="BA67" i="19"/>
  <c r="AV63" i="19"/>
  <c r="AV60" i="19" s="1"/>
  <c r="AW63" i="19"/>
  <c r="AW60" i="19" s="1"/>
  <c r="AX63" i="19"/>
  <c r="AY63" i="19"/>
  <c r="AY60" i="19" s="1"/>
  <c r="AZ63" i="19"/>
  <c r="AZ60" i="19" s="1"/>
  <c r="BA63" i="19"/>
  <c r="BA60" i="19" s="1"/>
  <c r="AV55" i="19"/>
  <c r="AW55" i="19"/>
  <c r="AX55" i="19"/>
  <c r="AY55" i="19"/>
  <c r="AZ55" i="19"/>
  <c r="BA55" i="19"/>
  <c r="AV50" i="19"/>
  <c r="AW50" i="19"/>
  <c r="AX50" i="19"/>
  <c r="AY50" i="19"/>
  <c r="AZ50" i="19"/>
  <c r="BA50" i="19"/>
  <c r="AV35" i="19"/>
  <c r="AW35" i="19"/>
  <c r="AX35" i="19"/>
  <c r="AY35" i="19"/>
  <c r="AZ35" i="19"/>
  <c r="BA35" i="19"/>
  <c r="AV30" i="19"/>
  <c r="AW30" i="19"/>
  <c r="AX30" i="19"/>
  <c r="AY30" i="19"/>
  <c r="AZ30" i="19"/>
  <c r="BA30" i="19"/>
  <c r="AV8" i="19"/>
  <c r="AW8" i="19"/>
  <c r="AX8" i="19"/>
  <c r="AZ8" i="19"/>
  <c r="BA8" i="19"/>
  <c r="AX60" i="19" l="1"/>
  <c r="AV241" i="19"/>
  <c r="AX241" i="19"/>
  <c r="AX250" i="19"/>
  <c r="AX69" i="19"/>
  <c r="BA69" i="19"/>
  <c r="AW69" i="19"/>
  <c r="AW241" i="19"/>
  <c r="AV7" i="19"/>
  <c r="AZ7" i="19"/>
  <c r="AW250" i="19"/>
  <c r="AX7" i="19"/>
  <c r="BA7" i="19"/>
  <c r="AW7" i="19"/>
  <c r="AZ69" i="19"/>
  <c r="AV69" i="19"/>
  <c r="AZ241" i="19"/>
  <c r="BA250" i="19"/>
  <c r="BA241" i="19"/>
  <c r="AY250" i="19"/>
  <c r="AZ250" i="19"/>
  <c r="AV250" i="19"/>
  <c r="AY241" i="19"/>
  <c r="AV189" i="19"/>
  <c r="AY69" i="19"/>
  <c r="AX87" i="19" l="1"/>
  <c r="BA87" i="19"/>
  <c r="AV268" i="19"/>
  <c r="AV87" i="19"/>
  <c r="AZ87" i="19"/>
  <c r="AW87" i="19"/>
  <c r="BA268" i="19"/>
  <c r="D44" i="22" s="1"/>
  <c r="F44" i="22" s="1"/>
  <c r="E53" i="10"/>
  <c r="F53" i="10"/>
  <c r="G53" i="10"/>
  <c r="E58" i="10"/>
  <c r="F58" i="10"/>
  <c r="G58" i="10"/>
  <c r="AV270" i="19" l="1"/>
  <c r="AV271" i="19" s="1"/>
  <c r="AV89" i="19"/>
  <c r="H87" i="12"/>
  <c r="H86" i="12"/>
  <c r="C13" i="12"/>
  <c r="C19" i="12" l="1"/>
  <c r="E29" i="22" s="1"/>
  <c r="C106" i="13" l="1"/>
  <c r="C80" i="12"/>
  <c r="H80" i="12" s="1"/>
  <c r="C88" i="12"/>
  <c r="E17" i="16" l="1"/>
  <c r="G106" i="13"/>
  <c r="D15" i="12"/>
  <c r="E15" i="12"/>
  <c r="F15" i="12"/>
  <c r="G15" i="12"/>
  <c r="C15" i="12"/>
  <c r="D85" i="12"/>
  <c r="E85" i="12"/>
  <c r="F85" i="12"/>
  <c r="G85" i="12"/>
  <c r="H15" i="12" l="1"/>
  <c r="H85" i="12"/>
  <c r="J115" i="13"/>
  <c r="AY8" i="19" l="1"/>
  <c r="AY7" i="19" s="1"/>
  <c r="AY87" i="19" s="1"/>
  <c r="AO76" i="19"/>
  <c r="AP76" i="19"/>
  <c r="AO72" i="19"/>
  <c r="AP72" i="19"/>
  <c r="AO70" i="19"/>
  <c r="AP70" i="19"/>
  <c r="AO67" i="19"/>
  <c r="AO60" i="19" s="1"/>
  <c r="AP67" i="19"/>
  <c r="AO55" i="19"/>
  <c r="AP55" i="19"/>
  <c r="AO50" i="19"/>
  <c r="AP50" i="19"/>
  <c r="AO35" i="19"/>
  <c r="AP35" i="19"/>
  <c r="AO30" i="19"/>
  <c r="AP30" i="19"/>
  <c r="AO8" i="19"/>
  <c r="AP8" i="19"/>
  <c r="AP69" i="19" l="1"/>
  <c r="AO69" i="19"/>
  <c r="AP7" i="19"/>
  <c r="AO7" i="19"/>
  <c r="D37" i="22" l="1"/>
  <c r="F37" i="22" s="1"/>
  <c r="AO87" i="19"/>
  <c r="AP270" i="19" l="1"/>
  <c r="D38" i="22"/>
  <c r="F38" i="22" s="1"/>
  <c r="AO90" i="19"/>
  <c r="AO270" i="19"/>
  <c r="AO271" i="19" s="1"/>
  <c r="J208" i="8"/>
  <c r="G112" i="18" s="1"/>
  <c r="L208" i="8"/>
  <c r="N208" i="8"/>
  <c r="N206" i="8"/>
  <c r="M207" i="8"/>
  <c r="M208" i="8" s="1"/>
  <c r="G114" i="18" s="1"/>
  <c r="H207" i="8"/>
  <c r="I207" i="8" s="1"/>
  <c r="K207" i="8" s="1"/>
  <c r="K208" i="8" l="1"/>
  <c r="I208" i="8"/>
  <c r="G111" i="18" s="1"/>
  <c r="O207" i="8"/>
  <c r="O208" i="8" s="1"/>
  <c r="H208" i="8"/>
  <c r="J79" i="8"/>
  <c r="J80" i="8"/>
  <c r="J72" i="8"/>
  <c r="J67" i="8"/>
  <c r="J69" i="8"/>
  <c r="J56" i="8"/>
  <c r="J57" i="8"/>
  <c r="J60" i="8"/>
  <c r="J61" i="8"/>
  <c r="J62" i="8"/>
  <c r="J63" i="8"/>
  <c r="J64" i="8"/>
  <c r="J50" i="8"/>
  <c r="J51" i="8"/>
  <c r="J52" i="8"/>
  <c r="J53" i="8"/>
  <c r="J25" i="8"/>
  <c r="J20" i="8"/>
  <c r="J15" i="8"/>
  <c r="J9" i="8"/>
  <c r="J198" i="8"/>
  <c r="P198" i="8" s="1"/>
  <c r="J14" i="8"/>
  <c r="J19" i="8"/>
  <c r="J24" i="8"/>
  <c r="J28" i="8"/>
  <c r="J30" i="8" s="1"/>
  <c r="J31" i="8"/>
  <c r="J32" i="8" s="1"/>
  <c r="J33" i="8"/>
  <c r="J35" i="8"/>
  <c r="J44" i="8"/>
  <c r="J46" i="8"/>
  <c r="J48" i="8" s="1"/>
  <c r="J49" i="8"/>
  <c r="J55" i="8"/>
  <c r="J66" i="8"/>
  <c r="J71" i="8"/>
  <c r="J74" i="8"/>
  <c r="J76" i="8" s="1"/>
  <c r="J77" i="8"/>
  <c r="J82" i="8"/>
  <c r="J88" i="8"/>
  <c r="J90" i="8"/>
  <c r="J91" i="8"/>
  <c r="J92" i="8"/>
  <c r="J93" i="8"/>
  <c r="J94" i="8"/>
  <c r="J101" i="8"/>
  <c r="J112" i="8" s="1"/>
  <c r="J116" i="8"/>
  <c r="J118" i="8"/>
  <c r="J134" i="8"/>
  <c r="J135" i="8"/>
  <c r="J137" i="8"/>
  <c r="J138" i="8"/>
  <c r="J139" i="8"/>
  <c r="J140" i="8"/>
  <c r="J141" i="8"/>
  <c r="J142" i="8"/>
  <c r="J143" i="8"/>
  <c r="J144" i="8"/>
  <c r="J145" i="8"/>
  <c r="J146" i="8"/>
  <c r="J149" i="8"/>
  <c r="J150" i="8"/>
  <c r="J151" i="8"/>
  <c r="J152" i="8"/>
  <c r="J160" i="8"/>
  <c r="J161" i="8"/>
  <c r="J162" i="8"/>
  <c r="J163" i="8"/>
  <c r="J164" i="8"/>
  <c r="J165" i="8"/>
  <c r="J166" i="8"/>
  <c r="J167" i="8"/>
  <c r="J174" i="8"/>
  <c r="J172" i="8"/>
  <c r="G115" i="18" l="1"/>
  <c r="G116" i="18" s="1"/>
  <c r="G118" i="18" s="1"/>
  <c r="J153" i="8"/>
  <c r="J148" i="8"/>
  <c r="J176" i="8"/>
  <c r="J81" i="8"/>
  <c r="J54" i="8"/>
  <c r="J100" i="8"/>
  <c r="J16" i="8"/>
  <c r="J70" i="8"/>
  <c r="I46" i="18" s="1"/>
  <c r="S55" i="18"/>
  <c r="J171" i="8"/>
  <c r="P207" i="8"/>
  <c r="P208" i="8" s="1"/>
  <c r="J65" i="8"/>
  <c r="J191" i="8"/>
  <c r="J13" i="8"/>
  <c r="J190" i="8"/>
  <c r="J201" i="8"/>
  <c r="J195" i="8"/>
  <c r="J200" i="8"/>
  <c r="J194" i="8"/>
  <c r="J193" i="8"/>
  <c r="J197" i="8"/>
  <c r="J192" i="8"/>
  <c r="J189" i="8"/>
  <c r="J154" i="8" l="1"/>
  <c r="J203" i="8"/>
  <c r="M201" i="8"/>
  <c r="O201" i="8" s="1"/>
  <c r="I201" i="8"/>
  <c r="K201" i="8" s="1"/>
  <c r="P201" i="8" l="1"/>
  <c r="J26" i="8" l="1"/>
  <c r="I25" i="18" s="1"/>
  <c r="L26" i="8"/>
  <c r="N26" i="8"/>
  <c r="J21" i="8"/>
  <c r="H25" i="18" s="1"/>
  <c r="L21" i="8"/>
  <c r="N21" i="8"/>
  <c r="M20" i="8"/>
  <c r="O20" i="8" s="1"/>
  <c r="H20" i="8"/>
  <c r="I20" i="8" s="1"/>
  <c r="K20" i="8" s="1"/>
  <c r="L27" i="8" l="1"/>
  <c r="P20" i="8"/>
  <c r="L28" i="8" l="1"/>
  <c r="L29" i="8" s="1"/>
  <c r="O27" i="8"/>
  <c r="P27" i="8"/>
  <c r="D61" i="4"/>
  <c r="L30" i="8" l="1"/>
  <c r="O29" i="8"/>
  <c r="P29" i="8"/>
  <c r="R8" i="13" l="1"/>
  <c r="S8" i="13"/>
  <c r="T8" i="13"/>
  <c r="V8" i="13"/>
  <c r="W8" i="13"/>
  <c r="X8" i="13"/>
  <c r="Z8" i="13"/>
  <c r="AA8" i="13"/>
  <c r="AB8" i="13"/>
  <c r="U50" i="19" l="1"/>
  <c r="C109" i="12"/>
  <c r="C107" i="12" s="1"/>
  <c r="C103" i="12"/>
  <c r="C102" i="12" s="1"/>
  <c r="C17" i="12"/>
  <c r="A40" i="6"/>
  <c r="A40" i="5"/>
  <c r="C113" i="12" l="1"/>
  <c r="H65" i="5" l="1"/>
  <c r="B28" i="6"/>
  <c r="A28" i="6"/>
  <c r="A28" i="5"/>
  <c r="B28" i="5"/>
  <c r="C65" i="6" l="1"/>
  <c r="D64" i="6" s="1"/>
  <c r="E59" i="6" s="1"/>
  <c r="D83" i="5"/>
  <c r="R30" i="19"/>
  <c r="U30" i="19"/>
  <c r="W30" i="19"/>
  <c r="X30" i="19"/>
  <c r="Y30" i="19"/>
  <c r="AA30" i="19"/>
  <c r="AB30" i="19"/>
  <c r="AC30" i="19"/>
  <c r="AD30" i="19"/>
  <c r="AJ30" i="19" l="1"/>
  <c r="D82" i="5"/>
  <c r="I83" i="5"/>
  <c r="I82" i="5" s="1"/>
  <c r="H53" i="4"/>
  <c r="D179" i="11"/>
  <c r="E55" i="19" l="1"/>
  <c r="F55" i="19"/>
  <c r="G55" i="19"/>
  <c r="I55" i="19"/>
  <c r="I7" i="19" s="1"/>
  <c r="J55" i="19"/>
  <c r="J7" i="19" s="1"/>
  <c r="K55" i="19"/>
  <c r="L55" i="19"/>
  <c r="M55" i="19"/>
  <c r="C63" i="19"/>
  <c r="D63" i="19"/>
  <c r="E63" i="19"/>
  <c r="F63" i="19"/>
  <c r="G63" i="19"/>
  <c r="I63" i="19"/>
  <c r="J63" i="19"/>
  <c r="K63" i="19"/>
  <c r="L63" i="19"/>
  <c r="M63" i="19"/>
  <c r="N55" i="19" l="1"/>
  <c r="C60" i="19"/>
  <c r="N63" i="19"/>
  <c r="C82" i="5"/>
  <c r="C87" i="19" l="1"/>
  <c r="C271" i="19" s="1"/>
  <c r="AU8" i="19"/>
  <c r="BB8" i="19" s="1"/>
  <c r="H214" i="8" l="1"/>
  <c r="I214" i="8" s="1"/>
  <c r="C21" i="18" s="1"/>
  <c r="K113" i="18" l="1"/>
  <c r="D59" i="18"/>
  <c r="E59" i="18"/>
  <c r="F59" i="18"/>
  <c r="H59" i="18"/>
  <c r="I59" i="18"/>
  <c r="J59" i="18"/>
  <c r="K59" i="18"/>
  <c r="M59" i="18"/>
  <c r="N59" i="18"/>
  <c r="P59" i="18"/>
  <c r="Q59" i="18"/>
  <c r="T59" i="18"/>
  <c r="U59" i="18"/>
  <c r="D50" i="18"/>
  <c r="K50" i="18"/>
  <c r="L50" i="18"/>
  <c r="L61" i="18" s="1"/>
  <c r="O50" i="18"/>
  <c r="R50" i="18"/>
  <c r="U50" i="18"/>
  <c r="J18" i="8"/>
  <c r="L18" i="8"/>
  <c r="N18" i="8"/>
  <c r="G18" i="8"/>
  <c r="M214" i="8"/>
  <c r="O214" i="8" s="1"/>
  <c r="J206" i="8"/>
  <c r="L206" i="8"/>
  <c r="G206" i="8"/>
  <c r="G210" i="8" s="1"/>
  <c r="L199" i="8"/>
  <c r="N199" i="8"/>
  <c r="L196" i="8"/>
  <c r="N196" i="8"/>
  <c r="L188" i="8"/>
  <c r="N188" i="8"/>
  <c r="J119" i="8"/>
  <c r="R55" i="18" s="1"/>
  <c r="L119" i="8"/>
  <c r="N119" i="8"/>
  <c r="J117" i="8"/>
  <c r="L117" i="8"/>
  <c r="N117" i="8"/>
  <c r="J89" i="8"/>
  <c r="L89" i="8"/>
  <c r="N89" i="8"/>
  <c r="G89" i="8"/>
  <c r="J84" i="8"/>
  <c r="L84" i="8"/>
  <c r="N84" i="8"/>
  <c r="J73" i="8"/>
  <c r="L73" i="8"/>
  <c r="N73" i="8"/>
  <c r="J45" i="8"/>
  <c r="L45" i="8"/>
  <c r="N45" i="8"/>
  <c r="J36" i="8"/>
  <c r="L36" i="8"/>
  <c r="N36" i="8"/>
  <c r="J34" i="8"/>
  <c r="L34" i="8"/>
  <c r="N34" i="8"/>
  <c r="G34" i="8"/>
  <c r="M12" i="18"/>
  <c r="L210" i="8" l="1"/>
  <c r="N127" i="8"/>
  <c r="G38" i="8"/>
  <c r="K61" i="18"/>
  <c r="L127" i="8"/>
  <c r="J127" i="8"/>
  <c r="L38" i="8"/>
  <c r="U61" i="18"/>
  <c r="D61" i="18"/>
  <c r="N38" i="8"/>
  <c r="N210" i="8"/>
  <c r="F25" i="18"/>
  <c r="J38" i="8"/>
  <c r="C46" i="18"/>
  <c r="C27" i="18"/>
  <c r="M25" i="8"/>
  <c r="O25" i="8" s="1"/>
  <c r="H25" i="8"/>
  <c r="I25" i="8" s="1"/>
  <c r="K25" i="8" s="1"/>
  <c r="M135" i="8"/>
  <c r="O135" i="8" s="1"/>
  <c r="M137" i="8"/>
  <c r="O137" i="8" s="1"/>
  <c r="H135" i="8"/>
  <c r="I135" i="8" s="1"/>
  <c r="K135" i="8" s="1"/>
  <c r="H137" i="8"/>
  <c r="I137" i="8" s="1"/>
  <c r="K137" i="8" s="1"/>
  <c r="H133" i="8"/>
  <c r="H146" i="8"/>
  <c r="I146" i="8" s="1"/>
  <c r="K146" i="8" s="1"/>
  <c r="M146" i="8"/>
  <c r="O146" i="8" s="1"/>
  <c r="L212" i="8" l="1"/>
  <c r="L215" i="8" s="1"/>
  <c r="N212" i="8"/>
  <c r="N215" i="8" s="1"/>
  <c r="P146" i="8"/>
  <c r="P25" i="8"/>
  <c r="P137" i="8"/>
  <c r="P135" i="8"/>
  <c r="H80" i="8"/>
  <c r="I80" i="8" s="1"/>
  <c r="K80" i="8" s="1"/>
  <c r="M80" i="8"/>
  <c r="O80" i="8" s="1"/>
  <c r="P80" i="8" l="1"/>
  <c r="J199" i="8"/>
  <c r="D83" i="18"/>
  <c r="C83" i="18"/>
  <c r="J188" i="8" l="1"/>
  <c r="J196" i="8"/>
  <c r="M11" i="8"/>
  <c r="O11" i="8" s="1"/>
  <c r="I11" i="8"/>
  <c r="K11" i="8" s="1"/>
  <c r="J210" i="8" l="1"/>
  <c r="J212" i="8" s="1"/>
  <c r="P11" i="8"/>
  <c r="L9" i="13" l="1"/>
  <c r="U9" i="13"/>
  <c r="Y9" i="13"/>
  <c r="AC9" i="13"/>
  <c r="L10" i="13"/>
  <c r="N10" i="13"/>
  <c r="O10" i="13"/>
  <c r="P10" i="13"/>
  <c r="U10" i="13"/>
  <c r="Y10" i="13"/>
  <c r="AC10" i="13"/>
  <c r="C11" i="13"/>
  <c r="D11" i="13"/>
  <c r="E11" i="13"/>
  <c r="F11" i="13"/>
  <c r="L11" i="13"/>
  <c r="N11" i="13"/>
  <c r="O11" i="13"/>
  <c r="P11" i="13"/>
  <c r="U11" i="13"/>
  <c r="Y11" i="13"/>
  <c r="AC11" i="13"/>
  <c r="D12" i="13"/>
  <c r="E12" i="13"/>
  <c r="F12" i="13"/>
  <c r="L12" i="13"/>
  <c r="N12" i="13"/>
  <c r="O12" i="13"/>
  <c r="P12" i="13"/>
  <c r="U12" i="13"/>
  <c r="Y12" i="13"/>
  <c r="AC12" i="13"/>
  <c r="G14" i="13"/>
  <c r="L14" i="13"/>
  <c r="N14" i="13"/>
  <c r="O14" i="13"/>
  <c r="P14" i="13"/>
  <c r="U14" i="13"/>
  <c r="Y14" i="13"/>
  <c r="AC14" i="13"/>
  <c r="G15" i="13"/>
  <c r="L15" i="13"/>
  <c r="N15" i="13"/>
  <c r="O15" i="13"/>
  <c r="P15" i="13"/>
  <c r="U15" i="13"/>
  <c r="Y15" i="13"/>
  <c r="AC15" i="13"/>
  <c r="L16" i="13"/>
  <c r="U16" i="13"/>
  <c r="Y16" i="13"/>
  <c r="AC16" i="13"/>
  <c r="C17" i="13"/>
  <c r="D17" i="13"/>
  <c r="E17" i="13"/>
  <c r="F17" i="13"/>
  <c r="R17" i="13"/>
  <c r="S17" i="13"/>
  <c r="T17" i="13"/>
  <c r="V17" i="13"/>
  <c r="W17" i="13"/>
  <c r="X17" i="13"/>
  <c r="Z17" i="13"/>
  <c r="AA17" i="13"/>
  <c r="AB17" i="13"/>
  <c r="G18" i="13"/>
  <c r="L18" i="13"/>
  <c r="N18" i="13"/>
  <c r="N17" i="13" s="1"/>
  <c r="O18" i="13"/>
  <c r="O17" i="13" s="1"/>
  <c r="P18" i="13"/>
  <c r="P17" i="13" s="1"/>
  <c r="U18" i="13"/>
  <c r="U17" i="13" s="1"/>
  <c r="Y18" i="13"/>
  <c r="Y17" i="13" s="1"/>
  <c r="AC18" i="13"/>
  <c r="AC17" i="13" s="1"/>
  <c r="R19" i="13"/>
  <c r="S19" i="13"/>
  <c r="T19" i="13"/>
  <c r="V19" i="13"/>
  <c r="W19" i="13"/>
  <c r="X19" i="13"/>
  <c r="Z19" i="13"/>
  <c r="AA19" i="13"/>
  <c r="AB19" i="13"/>
  <c r="L20" i="13"/>
  <c r="U20" i="13"/>
  <c r="U19" i="13" s="1"/>
  <c r="Y20" i="13"/>
  <c r="Y19" i="13" s="1"/>
  <c r="AC20" i="13"/>
  <c r="AC19" i="13" s="1"/>
  <c r="R21" i="13"/>
  <c r="S21" i="13"/>
  <c r="T21" i="13"/>
  <c r="V21" i="13"/>
  <c r="W21" i="13"/>
  <c r="X21" i="13"/>
  <c r="Z21" i="13"/>
  <c r="AA21" i="13"/>
  <c r="AB21" i="13"/>
  <c r="L22" i="13"/>
  <c r="U22" i="13"/>
  <c r="U21" i="13" s="1"/>
  <c r="Y22" i="13"/>
  <c r="Y21" i="13" s="1"/>
  <c r="AC22" i="13"/>
  <c r="AC21" i="13" s="1"/>
  <c r="C23" i="13"/>
  <c r="D23" i="13"/>
  <c r="E23" i="13"/>
  <c r="F23" i="13"/>
  <c r="M23" i="13"/>
  <c r="N23" i="13"/>
  <c r="O23" i="13"/>
  <c r="P23" i="13"/>
  <c r="R23" i="13"/>
  <c r="S23" i="13"/>
  <c r="T23" i="13"/>
  <c r="V23" i="13"/>
  <c r="W23" i="13"/>
  <c r="X23" i="13"/>
  <c r="Z23" i="13"/>
  <c r="AA23" i="13"/>
  <c r="AB23" i="13"/>
  <c r="G24" i="13"/>
  <c r="L24" i="13"/>
  <c r="Q24" i="13"/>
  <c r="U24" i="13"/>
  <c r="Y24" i="13"/>
  <c r="AC24" i="13"/>
  <c r="G25" i="13"/>
  <c r="L25" i="13"/>
  <c r="Q25" i="13"/>
  <c r="U25" i="13"/>
  <c r="Y25" i="13"/>
  <c r="AC25" i="13"/>
  <c r="C26" i="13"/>
  <c r="D26" i="13"/>
  <c r="E26" i="13"/>
  <c r="F26" i="13"/>
  <c r="M26" i="13"/>
  <c r="N26" i="13"/>
  <c r="O26" i="13"/>
  <c r="P26" i="13"/>
  <c r="R26" i="13"/>
  <c r="S26" i="13"/>
  <c r="T26" i="13"/>
  <c r="V26" i="13"/>
  <c r="W26" i="13"/>
  <c r="X26" i="13"/>
  <c r="Z26" i="13"/>
  <c r="AA26" i="13"/>
  <c r="AB26" i="13"/>
  <c r="G27" i="13"/>
  <c r="L27" i="13"/>
  <c r="Q27" i="13"/>
  <c r="U27" i="13"/>
  <c r="U26" i="13" s="1"/>
  <c r="Y27" i="13"/>
  <c r="Y26" i="13" s="1"/>
  <c r="AC27" i="13"/>
  <c r="AC26" i="13" s="1"/>
  <c r="AD27" i="13" l="1"/>
  <c r="AD25" i="13"/>
  <c r="AD24" i="13"/>
  <c r="AC8" i="13"/>
  <c r="G11" i="13"/>
  <c r="Y23" i="13"/>
  <c r="G23" i="13"/>
  <c r="Y8" i="13"/>
  <c r="G26" i="13"/>
  <c r="U8" i="13"/>
  <c r="G17" i="13"/>
  <c r="U23" i="13"/>
  <c r="Q23" i="13"/>
  <c r="AC23" i="13"/>
  <c r="Q26" i="13"/>
  <c r="AD23" i="13" l="1"/>
  <c r="AD26" i="13"/>
  <c r="E172" i="10"/>
  <c r="F172" i="10"/>
  <c r="G172" i="10"/>
  <c r="E76" i="11"/>
  <c r="E75" i="11" s="1"/>
  <c r="F76" i="11"/>
  <c r="F75" i="11" s="1"/>
  <c r="G76" i="11"/>
  <c r="G75" i="11" s="1"/>
  <c r="E174" i="11"/>
  <c r="E173" i="11" s="1"/>
  <c r="F174" i="11"/>
  <c r="F173" i="11" s="1"/>
  <c r="G174" i="11"/>
  <c r="G173" i="11" s="1"/>
  <c r="D19" i="12"/>
  <c r="E19" i="12"/>
  <c r="F19" i="12"/>
  <c r="G19" i="12"/>
  <c r="D38" i="12"/>
  <c r="E38" i="12"/>
  <c r="F38" i="12"/>
  <c r="G38" i="12"/>
  <c r="H57" i="12" l="1"/>
  <c r="H19" i="12"/>
  <c r="H38" i="12"/>
  <c r="C79" i="11"/>
  <c r="S236" i="19"/>
  <c r="T236" i="19"/>
  <c r="U236" i="19"/>
  <c r="W236" i="19"/>
  <c r="X236" i="19"/>
  <c r="Y236" i="19"/>
  <c r="Z236" i="19"/>
  <c r="AA236" i="19"/>
  <c r="AB236" i="19"/>
  <c r="AC236" i="19"/>
  <c r="AD236" i="19"/>
  <c r="AE236" i="19"/>
  <c r="AG236" i="19"/>
  <c r="S231" i="19"/>
  <c r="T231" i="19"/>
  <c r="U231" i="19"/>
  <c r="W231" i="19"/>
  <c r="X231" i="19"/>
  <c r="Y231" i="19"/>
  <c r="Z231" i="19"/>
  <c r="AA231" i="19"/>
  <c r="AB231" i="19"/>
  <c r="AC231" i="19"/>
  <c r="AD231" i="19"/>
  <c r="AE231" i="19"/>
  <c r="AG231" i="19"/>
  <c r="S217" i="19"/>
  <c r="T217" i="19"/>
  <c r="U217" i="19"/>
  <c r="W217" i="19"/>
  <c r="X217" i="19"/>
  <c r="Y217" i="19"/>
  <c r="Z217" i="19"/>
  <c r="AA217" i="19"/>
  <c r="AB217" i="19"/>
  <c r="AC217" i="19"/>
  <c r="AD217" i="19"/>
  <c r="AE217" i="19"/>
  <c r="AG217" i="19"/>
  <c r="S212" i="19"/>
  <c r="T212" i="19"/>
  <c r="U212" i="19"/>
  <c r="W212" i="19"/>
  <c r="X212" i="19"/>
  <c r="Y212" i="19"/>
  <c r="Z212" i="19"/>
  <c r="AA212" i="19"/>
  <c r="AB212" i="19"/>
  <c r="AC212" i="19"/>
  <c r="AD212" i="19"/>
  <c r="AE212" i="19"/>
  <c r="AG212" i="19"/>
  <c r="S190" i="19"/>
  <c r="T190" i="19"/>
  <c r="U190" i="19"/>
  <c r="W190" i="19"/>
  <c r="X190" i="19"/>
  <c r="Y190" i="19"/>
  <c r="Z190" i="19"/>
  <c r="AA190" i="19"/>
  <c r="AB190" i="19"/>
  <c r="AC190" i="19"/>
  <c r="AD190" i="19"/>
  <c r="AE190" i="19"/>
  <c r="AG190" i="19"/>
  <c r="AB189" i="19" l="1"/>
  <c r="AE189" i="19"/>
  <c r="W189" i="19"/>
  <c r="W268" i="19" s="1"/>
  <c r="D23" i="22" s="1"/>
  <c r="F23" i="22" s="1"/>
  <c r="S189" i="19"/>
  <c r="T189" i="19"/>
  <c r="Y189" i="19"/>
  <c r="C76" i="11"/>
  <c r="E103" i="13" s="1"/>
  <c r="E102" i="13" s="1"/>
  <c r="AA189" i="19"/>
  <c r="X189" i="19"/>
  <c r="U189" i="19"/>
  <c r="AC189" i="19"/>
  <c r="AC268" i="19" s="1"/>
  <c r="AC270" i="19" s="1"/>
  <c r="AG189" i="19"/>
  <c r="AD189" i="19"/>
  <c r="Z189" i="19"/>
  <c r="D29" i="22" l="1"/>
  <c r="F29" i="22" s="1"/>
  <c r="C94" i="11"/>
  <c r="C75" i="11"/>
  <c r="D231" i="19"/>
  <c r="E231" i="19"/>
  <c r="F231" i="19"/>
  <c r="G231" i="19"/>
  <c r="I231" i="19"/>
  <c r="J231" i="19"/>
  <c r="K231" i="19"/>
  <c r="K189" i="19" s="1"/>
  <c r="K268" i="19" s="1"/>
  <c r="D15" i="22" s="1"/>
  <c r="F15" i="22" s="1"/>
  <c r="L231" i="19"/>
  <c r="L189" i="19" s="1"/>
  <c r="L268" i="19" s="1"/>
  <c r="D16" i="22" s="1"/>
  <c r="F16" i="22" s="1"/>
  <c r="M231" i="19"/>
  <c r="E30" i="19"/>
  <c r="F30" i="19"/>
  <c r="G30" i="19"/>
  <c r="K30" i="19"/>
  <c r="L30" i="19"/>
  <c r="E8" i="19"/>
  <c r="F8" i="19"/>
  <c r="G8" i="19"/>
  <c r="K8" i="19"/>
  <c r="L8" i="19"/>
  <c r="M8" i="19"/>
  <c r="E76" i="19"/>
  <c r="F76" i="19"/>
  <c r="G76" i="19"/>
  <c r="L76" i="19"/>
  <c r="E72" i="19"/>
  <c r="F72" i="19"/>
  <c r="G72" i="19"/>
  <c r="I72" i="19"/>
  <c r="K72" i="19"/>
  <c r="L72" i="19"/>
  <c r="M72" i="19"/>
  <c r="D70" i="19"/>
  <c r="E70" i="19"/>
  <c r="F70" i="19"/>
  <c r="G70" i="19"/>
  <c r="I70" i="19"/>
  <c r="J70" i="19"/>
  <c r="K70" i="19"/>
  <c r="L70" i="19"/>
  <c r="M70" i="19"/>
  <c r="D67" i="19"/>
  <c r="E67" i="19"/>
  <c r="E60" i="19" s="1"/>
  <c r="F67" i="19"/>
  <c r="F60" i="19" s="1"/>
  <c r="G67" i="19"/>
  <c r="G60" i="19" s="1"/>
  <c r="I67" i="19"/>
  <c r="I60" i="19" s="1"/>
  <c r="J67" i="19"/>
  <c r="J60" i="19" s="1"/>
  <c r="K67" i="19"/>
  <c r="K60" i="19" s="1"/>
  <c r="L67" i="19"/>
  <c r="L60" i="19" s="1"/>
  <c r="M67" i="19"/>
  <c r="M60" i="19" s="1"/>
  <c r="E50" i="19"/>
  <c r="F50" i="19"/>
  <c r="G50" i="19"/>
  <c r="K50" i="19"/>
  <c r="L50" i="19"/>
  <c r="M50" i="19"/>
  <c r="E35" i="19"/>
  <c r="F35" i="19"/>
  <c r="G35" i="19"/>
  <c r="K35" i="19"/>
  <c r="L35" i="19"/>
  <c r="M35" i="19"/>
  <c r="BB81" i="19"/>
  <c r="BD81" i="19" s="1"/>
  <c r="AU76" i="19"/>
  <c r="AU63" i="19"/>
  <c r="AU55" i="19"/>
  <c r="AU35" i="19"/>
  <c r="AU30" i="19"/>
  <c r="BB9" i="19"/>
  <c r="N9" i="19"/>
  <c r="BB13" i="19"/>
  <c r="BB14" i="19"/>
  <c r="BB15" i="19"/>
  <c r="BB16" i="19"/>
  <c r="BB17" i="19"/>
  <c r="BB18" i="19"/>
  <c r="BB19" i="19"/>
  <c r="BB20" i="19"/>
  <c r="BB22" i="19"/>
  <c r="BB23" i="19"/>
  <c r="BB24" i="19"/>
  <c r="BB25" i="19"/>
  <c r="BB26" i="19"/>
  <c r="BB27" i="19"/>
  <c r="BB28" i="19"/>
  <c r="BB29" i="19"/>
  <c r="BB31" i="19"/>
  <c r="BB32" i="19"/>
  <c r="BB33" i="19"/>
  <c r="BB34" i="19"/>
  <c r="BB36" i="19"/>
  <c r="BB37" i="19"/>
  <c r="BB38" i="19"/>
  <c r="BB39" i="19"/>
  <c r="BB40" i="19"/>
  <c r="BB41" i="19"/>
  <c r="BB42" i="19"/>
  <c r="BB43" i="19"/>
  <c r="BB44" i="19"/>
  <c r="BB45" i="19"/>
  <c r="BB46" i="19"/>
  <c r="BB47" i="19"/>
  <c r="BB48" i="19"/>
  <c r="BB49" i="19"/>
  <c r="BB51" i="19"/>
  <c r="BB52" i="19"/>
  <c r="BB53" i="19"/>
  <c r="BB54" i="19"/>
  <c r="BB56" i="19"/>
  <c r="BB57" i="19"/>
  <c r="BB58" i="19"/>
  <c r="BB59" i="19"/>
  <c r="BB64" i="19"/>
  <c r="BB65" i="19"/>
  <c r="BB66" i="19"/>
  <c r="BB68" i="19"/>
  <c r="BB71" i="19"/>
  <c r="BB73" i="19"/>
  <c r="BB74" i="19"/>
  <c r="BB75" i="19"/>
  <c r="BB77" i="19"/>
  <c r="BB78" i="19"/>
  <c r="AQ9" i="19"/>
  <c r="AQ12" i="19"/>
  <c r="BD12" i="19" s="1"/>
  <c r="AQ13" i="19"/>
  <c r="BD13" i="19" s="1"/>
  <c r="AQ14" i="19"/>
  <c r="AQ15" i="19"/>
  <c r="AQ16" i="19"/>
  <c r="AQ17" i="19"/>
  <c r="AQ18" i="19"/>
  <c r="AQ19" i="19"/>
  <c r="AQ20" i="19"/>
  <c r="AQ22" i="19"/>
  <c r="BD22" i="19" s="1"/>
  <c r="AQ23" i="19"/>
  <c r="AQ24" i="19"/>
  <c r="AQ25" i="19"/>
  <c r="AQ26" i="19"/>
  <c r="AQ27" i="19"/>
  <c r="AQ28" i="19"/>
  <c r="AQ29" i="19"/>
  <c r="BD29" i="19" s="1"/>
  <c r="AQ31" i="19"/>
  <c r="AQ32" i="19"/>
  <c r="AQ33" i="19"/>
  <c r="AQ34" i="19"/>
  <c r="AQ36" i="19"/>
  <c r="AQ37" i="19"/>
  <c r="AQ38" i="19"/>
  <c r="BD38" i="19" s="1"/>
  <c r="AQ39" i="19"/>
  <c r="AQ40" i="19"/>
  <c r="AQ41" i="19"/>
  <c r="AQ42" i="19"/>
  <c r="BD42" i="19" s="1"/>
  <c r="AQ43" i="19"/>
  <c r="AQ44" i="19"/>
  <c r="AQ45" i="19"/>
  <c r="AQ46" i="19"/>
  <c r="AQ47" i="19"/>
  <c r="AQ48" i="19"/>
  <c r="AQ49" i="19"/>
  <c r="AQ51" i="19"/>
  <c r="AQ52" i="19"/>
  <c r="AQ53" i="19"/>
  <c r="AQ54" i="19"/>
  <c r="AQ56" i="19"/>
  <c r="AQ57" i="19"/>
  <c r="AQ58" i="19"/>
  <c r="AQ59" i="19"/>
  <c r="AQ64" i="19"/>
  <c r="AQ65" i="19"/>
  <c r="AQ66" i="19"/>
  <c r="AQ68" i="19"/>
  <c r="AQ67" i="19" s="1"/>
  <c r="AQ71" i="19"/>
  <c r="AQ70" i="19" s="1"/>
  <c r="AQ73" i="19"/>
  <c r="AQ74" i="19"/>
  <c r="AQ75" i="19"/>
  <c r="AQ77" i="19"/>
  <c r="AQ78" i="19"/>
  <c r="D78" i="11" s="1"/>
  <c r="H78" i="11" s="1"/>
  <c r="AQ80" i="19"/>
  <c r="BD80" i="19" s="1"/>
  <c r="AW190" i="19"/>
  <c r="AX190" i="19"/>
  <c r="AY190" i="19"/>
  <c r="AZ190" i="19"/>
  <c r="BA190" i="19"/>
  <c r="S76" i="19"/>
  <c r="T76" i="19"/>
  <c r="U76" i="19"/>
  <c r="W76" i="19"/>
  <c r="X76" i="19"/>
  <c r="Y76" i="19"/>
  <c r="AB76" i="19"/>
  <c r="AC76" i="19"/>
  <c r="AD76" i="19"/>
  <c r="S72" i="19"/>
  <c r="T72" i="19"/>
  <c r="U72" i="19"/>
  <c r="W72" i="19"/>
  <c r="X72" i="19"/>
  <c r="Y72" i="19"/>
  <c r="AA72" i="19"/>
  <c r="AB72" i="19"/>
  <c r="AC72" i="19"/>
  <c r="AD72" i="19"/>
  <c r="AE72" i="19"/>
  <c r="AG72" i="19"/>
  <c r="S63" i="19"/>
  <c r="T63" i="19"/>
  <c r="U63" i="19"/>
  <c r="V63" i="19"/>
  <c r="W63" i="19"/>
  <c r="X63" i="19"/>
  <c r="Y63" i="19"/>
  <c r="Z63" i="19"/>
  <c r="AA63" i="19"/>
  <c r="AB63" i="19"/>
  <c r="AC63" i="19"/>
  <c r="AC60" i="19" s="1"/>
  <c r="AD63" i="19"/>
  <c r="AE63" i="19"/>
  <c r="AG63" i="19"/>
  <c r="U55" i="19"/>
  <c r="W55" i="19"/>
  <c r="X55" i="19"/>
  <c r="Y55" i="19"/>
  <c r="AA55" i="19"/>
  <c r="AB55" i="19"/>
  <c r="AC55" i="19"/>
  <c r="AD55" i="19"/>
  <c r="AE55" i="19"/>
  <c r="AG55" i="19"/>
  <c r="W50" i="19"/>
  <c r="X50" i="19"/>
  <c r="Y50" i="19"/>
  <c r="AA50" i="19"/>
  <c r="AB50" i="19"/>
  <c r="AB7" i="19" s="1"/>
  <c r="AC50" i="19"/>
  <c r="AD50" i="19"/>
  <c r="AD7" i="19" s="1"/>
  <c r="AE50" i="19"/>
  <c r="AG50" i="19"/>
  <c r="U7" i="19"/>
  <c r="W7" i="19"/>
  <c r="X7" i="19"/>
  <c r="AA7" i="19"/>
  <c r="C174" i="10"/>
  <c r="C175" i="10"/>
  <c r="D173" i="10"/>
  <c r="D174" i="10"/>
  <c r="D175" i="10"/>
  <c r="D172" i="10" s="1"/>
  <c r="D177" i="10"/>
  <c r="BD78" i="19" l="1"/>
  <c r="BD75" i="19"/>
  <c r="BD73" i="19"/>
  <c r="BD68" i="19"/>
  <c r="BD65" i="19"/>
  <c r="BD59" i="19"/>
  <c r="BD57" i="19"/>
  <c r="BD54" i="19"/>
  <c r="BD52" i="19"/>
  <c r="BD49" i="19"/>
  <c r="BD47" i="19"/>
  <c r="BD45" i="19"/>
  <c r="BD43" i="19"/>
  <c r="BD41" i="19"/>
  <c r="BD39" i="19"/>
  <c r="BD34" i="19"/>
  <c r="BD32" i="19"/>
  <c r="BD27" i="19"/>
  <c r="BD25" i="19"/>
  <c r="BD23" i="19"/>
  <c r="BD20" i="19"/>
  <c r="BD16" i="19"/>
  <c r="BD14" i="19"/>
  <c r="BD9" i="19"/>
  <c r="BD77" i="19"/>
  <c r="BD74" i="19"/>
  <c r="BD71" i="19"/>
  <c r="BD66" i="19"/>
  <c r="BD64" i="19"/>
  <c r="BD58" i="19"/>
  <c r="BD56" i="19"/>
  <c r="BD53" i="19"/>
  <c r="BD51" i="19"/>
  <c r="BD48" i="19"/>
  <c r="BD46" i="19"/>
  <c r="BD44" i="19"/>
  <c r="BD40" i="19"/>
  <c r="BD36" i="19"/>
  <c r="BD33" i="19"/>
  <c r="BD31" i="19"/>
  <c r="BD28" i="19"/>
  <c r="BD26" i="19"/>
  <c r="BD24" i="19"/>
  <c r="BD19" i="19"/>
  <c r="BD17" i="19"/>
  <c r="BD15" i="19"/>
  <c r="AC7" i="19"/>
  <c r="AJ8" i="19"/>
  <c r="BD18" i="19"/>
  <c r="BD37" i="19"/>
  <c r="AE7" i="19"/>
  <c r="D69" i="19"/>
  <c r="N70" i="19"/>
  <c r="N50" i="19"/>
  <c r="N67" i="19"/>
  <c r="D60" i="19"/>
  <c r="N60" i="19" s="1"/>
  <c r="N72" i="19"/>
  <c r="N30" i="19"/>
  <c r="Y7" i="19"/>
  <c r="N76" i="19"/>
  <c r="N35" i="19"/>
  <c r="N8" i="19"/>
  <c r="H175" i="10"/>
  <c r="H174" i="10"/>
  <c r="C177" i="10"/>
  <c r="H177" i="10" s="1"/>
  <c r="AQ76" i="19"/>
  <c r="M69" i="19"/>
  <c r="I69" i="19"/>
  <c r="AQ72" i="19"/>
  <c r="AQ69" i="19" s="1"/>
  <c r="K69" i="19"/>
  <c r="F69" i="19"/>
  <c r="J69" i="19"/>
  <c r="E69" i="19"/>
  <c r="E7" i="19"/>
  <c r="F7" i="19"/>
  <c r="BB55" i="19"/>
  <c r="BB63" i="19"/>
  <c r="BB30" i="19"/>
  <c r="AG7" i="19"/>
  <c r="BB35" i="19"/>
  <c r="K7" i="19"/>
  <c r="BB76" i="19"/>
  <c r="L69" i="19"/>
  <c r="G69" i="19"/>
  <c r="M7" i="19"/>
  <c r="L7" i="19"/>
  <c r="L87" i="19" s="1"/>
  <c r="G7" i="19"/>
  <c r="D87" i="19" l="1"/>
  <c r="N69" i="19"/>
  <c r="J87" i="19"/>
  <c r="E87" i="19"/>
  <c r="F87" i="19"/>
  <c r="M87" i="19"/>
  <c r="G87" i="19"/>
  <c r="K87" i="19"/>
  <c r="I87" i="19"/>
  <c r="N7" i="19"/>
  <c r="N87" i="19" s="1"/>
  <c r="O87" i="19" l="1"/>
  <c r="E31" i="18"/>
  <c r="J31" i="18"/>
  <c r="K31" i="18"/>
  <c r="L31" i="18"/>
  <c r="H44" i="8" l="1"/>
  <c r="M44" i="8"/>
  <c r="O44" i="8" s="1"/>
  <c r="H46" i="8"/>
  <c r="H48" i="8" s="1"/>
  <c r="M46" i="8"/>
  <c r="M48" i="8" s="1"/>
  <c r="G127" i="8"/>
  <c r="G212" i="8" s="1"/>
  <c r="G215" i="8" s="1"/>
  <c r="M49" i="8"/>
  <c r="H50" i="8"/>
  <c r="I50" i="8" s="1"/>
  <c r="K50" i="8" s="1"/>
  <c r="M50" i="8"/>
  <c r="H51" i="8"/>
  <c r="I51" i="8" s="1"/>
  <c r="K51" i="8" s="1"/>
  <c r="M51" i="8"/>
  <c r="O51" i="8" s="1"/>
  <c r="H52" i="8"/>
  <c r="I52" i="8" s="1"/>
  <c r="K52" i="8" s="1"/>
  <c r="M52" i="8"/>
  <c r="O52" i="8" s="1"/>
  <c r="H53" i="8"/>
  <c r="I53" i="8" s="1"/>
  <c r="K53" i="8" s="1"/>
  <c r="M53" i="8"/>
  <c r="O53" i="8" s="1"/>
  <c r="H55" i="8"/>
  <c r="M55" i="8"/>
  <c r="H56" i="8"/>
  <c r="I56" i="8" s="1"/>
  <c r="K56" i="8" s="1"/>
  <c r="M56" i="8"/>
  <c r="H57" i="8"/>
  <c r="I57" i="8" s="1"/>
  <c r="K57" i="8" s="1"/>
  <c r="M57" i="8"/>
  <c r="O57" i="8" s="1"/>
  <c r="H60" i="8"/>
  <c r="I60" i="8" s="1"/>
  <c r="K60" i="8" s="1"/>
  <c r="M60" i="8"/>
  <c r="O60" i="8" s="1"/>
  <c r="H61" i="8"/>
  <c r="I61" i="8" s="1"/>
  <c r="K61" i="8" s="1"/>
  <c r="M61" i="8"/>
  <c r="O61" i="8" s="1"/>
  <c r="H62" i="8"/>
  <c r="I62" i="8" s="1"/>
  <c r="K62" i="8" s="1"/>
  <c r="M62" i="8"/>
  <c r="O62" i="8" s="1"/>
  <c r="H63" i="8"/>
  <c r="I63" i="8" s="1"/>
  <c r="K63" i="8" s="1"/>
  <c r="M63" i="8"/>
  <c r="O63" i="8" s="1"/>
  <c r="H64" i="8"/>
  <c r="I64" i="8" s="1"/>
  <c r="K64" i="8" s="1"/>
  <c r="M64" i="8"/>
  <c r="O64" i="8" s="1"/>
  <c r="M67" i="8"/>
  <c r="I69" i="8"/>
  <c r="K69" i="8" s="1"/>
  <c r="M69" i="8"/>
  <c r="O69" i="8" s="1"/>
  <c r="H71" i="8"/>
  <c r="M71" i="8"/>
  <c r="H72" i="8"/>
  <c r="I72" i="8" s="1"/>
  <c r="K72" i="8" s="1"/>
  <c r="M72" i="8"/>
  <c r="O72" i="8" s="1"/>
  <c r="H74" i="8"/>
  <c r="H76" i="8" s="1"/>
  <c r="M74" i="8"/>
  <c r="M76" i="8" s="1"/>
  <c r="H77" i="8"/>
  <c r="M77" i="8"/>
  <c r="H78" i="8"/>
  <c r="I78" i="8" s="1"/>
  <c r="K78" i="8" s="1"/>
  <c r="M78" i="8"/>
  <c r="H79" i="8"/>
  <c r="I79" i="8" s="1"/>
  <c r="K79" i="8" s="1"/>
  <c r="M79" i="8"/>
  <c r="O79" i="8" s="1"/>
  <c r="H82" i="8"/>
  <c r="M82" i="8"/>
  <c r="H83" i="8"/>
  <c r="I83" i="8" s="1"/>
  <c r="K83" i="8" s="1"/>
  <c r="M83" i="8"/>
  <c r="O83" i="8" s="1"/>
  <c r="H88" i="8"/>
  <c r="H89" i="8" s="1"/>
  <c r="M88" i="8"/>
  <c r="H90" i="8"/>
  <c r="H100" i="8" s="1"/>
  <c r="M90" i="8"/>
  <c r="I91" i="8"/>
  <c r="K91" i="8" s="1"/>
  <c r="M91" i="8"/>
  <c r="M92" i="8"/>
  <c r="O92" i="8" s="1"/>
  <c r="I93" i="8"/>
  <c r="K93" i="8" s="1"/>
  <c r="M93" i="8"/>
  <c r="O93" i="8" s="1"/>
  <c r="I94" i="8"/>
  <c r="K94" i="8" s="1"/>
  <c r="M94" i="8"/>
  <c r="O94" i="8" s="1"/>
  <c r="H116" i="8"/>
  <c r="M116" i="8"/>
  <c r="H118" i="8"/>
  <c r="M118" i="8"/>
  <c r="AU50" i="19"/>
  <c r="D175" i="11"/>
  <c r="D177" i="11"/>
  <c r="H177" i="11" s="1"/>
  <c r="H81" i="8" l="1"/>
  <c r="M81" i="8"/>
  <c r="M54" i="8"/>
  <c r="H54" i="8"/>
  <c r="P67" i="8"/>
  <c r="H65" i="8"/>
  <c r="P57" i="8"/>
  <c r="P52" i="8"/>
  <c r="P50" i="8"/>
  <c r="O90" i="8"/>
  <c r="O77" i="8"/>
  <c r="M70" i="8"/>
  <c r="O49" i="8"/>
  <c r="P53" i="8"/>
  <c r="P51" i="8"/>
  <c r="M65" i="8"/>
  <c r="O55" i="8"/>
  <c r="W270" i="19"/>
  <c r="BB50" i="19"/>
  <c r="AU7" i="19"/>
  <c r="BB7" i="19" s="1"/>
  <c r="D174" i="11"/>
  <c r="O116" i="8"/>
  <c r="O117" i="8" s="1"/>
  <c r="T48" i="18" s="1"/>
  <c r="M117" i="8"/>
  <c r="I92" i="8"/>
  <c r="K92" i="8" s="1"/>
  <c r="O45" i="8"/>
  <c r="M45" i="8"/>
  <c r="O82" i="8"/>
  <c r="O84" i="8" s="1"/>
  <c r="M84" i="8"/>
  <c r="O118" i="8"/>
  <c r="O119" i="8" s="1"/>
  <c r="R57" i="18" s="1"/>
  <c r="M119" i="8"/>
  <c r="I82" i="8"/>
  <c r="H84" i="8"/>
  <c r="I77" i="8"/>
  <c r="O46" i="8"/>
  <c r="O48" i="8" s="1"/>
  <c r="I74" i="8"/>
  <c r="I71" i="8"/>
  <c r="K71" i="8" s="1"/>
  <c r="H73" i="8"/>
  <c r="I49" i="8"/>
  <c r="K49" i="8" s="1"/>
  <c r="I116" i="8"/>
  <c r="K116" i="8" s="1"/>
  <c r="H117" i="8"/>
  <c r="O88" i="8"/>
  <c r="O89" i="8" s="1"/>
  <c r="M89" i="8"/>
  <c r="I44" i="8"/>
  <c r="H45" i="8"/>
  <c r="I118" i="8"/>
  <c r="K118" i="8" s="1"/>
  <c r="H119" i="8"/>
  <c r="O74" i="8"/>
  <c r="O76" i="8" s="1"/>
  <c r="O71" i="8"/>
  <c r="O73" i="8" s="1"/>
  <c r="M73" i="8"/>
  <c r="I66" i="8"/>
  <c r="K66" i="8" s="1"/>
  <c r="I46" i="8"/>
  <c r="I90" i="8"/>
  <c r="K90" i="8" s="1"/>
  <c r="O91" i="8"/>
  <c r="O50" i="8"/>
  <c r="I55" i="8"/>
  <c r="K55" i="8" s="1"/>
  <c r="O78" i="8"/>
  <c r="O67" i="8"/>
  <c r="O56" i="8"/>
  <c r="I88" i="8"/>
  <c r="K88" i="8" s="1"/>
  <c r="P91" i="8"/>
  <c r="P69" i="8"/>
  <c r="K44" i="8" l="1"/>
  <c r="P44" i="8"/>
  <c r="I48" i="8"/>
  <c r="E45" i="18" s="1"/>
  <c r="K46" i="8"/>
  <c r="K48" i="8" s="1"/>
  <c r="I76" i="8"/>
  <c r="K74" i="8"/>
  <c r="P74" i="8" s="1"/>
  <c r="P76" i="8" s="1"/>
  <c r="I84" i="8"/>
  <c r="K82" i="8"/>
  <c r="I81" i="8"/>
  <c r="N45" i="18" s="1"/>
  <c r="K77" i="8"/>
  <c r="K81" i="8" s="1"/>
  <c r="O81" i="8"/>
  <c r="H127" i="8"/>
  <c r="C48" i="18"/>
  <c r="I73" i="8"/>
  <c r="J45" i="18" s="1"/>
  <c r="I70" i="8"/>
  <c r="I45" i="8"/>
  <c r="I117" i="8"/>
  <c r="T45" i="18" s="1"/>
  <c r="I54" i="8"/>
  <c r="O70" i="8"/>
  <c r="I48" i="18" s="1"/>
  <c r="O54" i="8"/>
  <c r="M45" i="18"/>
  <c r="I65" i="8"/>
  <c r="I119" i="8"/>
  <c r="R54" i="18" s="1"/>
  <c r="O65" i="8"/>
  <c r="BA89" i="19"/>
  <c r="BA270" i="19"/>
  <c r="BA271" i="19" s="1"/>
  <c r="K117" i="8"/>
  <c r="K73" i="8"/>
  <c r="K76" i="8"/>
  <c r="K119" i="8"/>
  <c r="R58" i="18" s="1"/>
  <c r="D173" i="11"/>
  <c r="P103" i="13"/>
  <c r="P102" i="13" s="1"/>
  <c r="K45" i="8"/>
  <c r="K54" i="8"/>
  <c r="K89" i="8"/>
  <c r="I89" i="8"/>
  <c r="P45" i="18" s="1"/>
  <c r="K84" i="8"/>
  <c r="K65" i="8"/>
  <c r="K70" i="8" l="1"/>
  <c r="I49" i="18" s="1"/>
  <c r="P66" i="8"/>
  <c r="K270" i="19"/>
  <c r="K271" i="19" s="1"/>
  <c r="K91" i="19"/>
  <c r="P118" i="8"/>
  <c r="C49" i="18"/>
  <c r="C45" i="18"/>
  <c r="T49" i="18"/>
  <c r="L91" i="19"/>
  <c r="L270" i="19"/>
  <c r="L271" i="19" s="1"/>
  <c r="P82" i="8"/>
  <c r="P55" i="8"/>
  <c r="P116" i="8"/>
  <c r="P46" i="8"/>
  <c r="P48" i="8" s="1"/>
  <c r="P49" i="8"/>
  <c r="P54" i="8" s="1"/>
  <c r="P77" i="8"/>
  <c r="P71" i="8"/>
  <c r="C50" i="18" l="1"/>
  <c r="C61" i="18" s="1"/>
  <c r="A5" i="11"/>
  <c r="A4" i="12" l="1"/>
  <c r="H64" i="5"/>
  <c r="I64" i="5" s="1"/>
  <c r="I59" i="5" s="1"/>
  <c r="H85" i="5" l="1"/>
  <c r="I112" i="18"/>
  <c r="M200" i="8"/>
  <c r="M203" i="8" l="1"/>
  <c r="I114" i="18" s="1"/>
  <c r="O200" i="8"/>
  <c r="O203" i="8" s="1"/>
  <c r="I200" i="8"/>
  <c r="C28" i="18"/>
  <c r="C14" i="18"/>
  <c r="N13" i="18"/>
  <c r="N16" i="18"/>
  <c r="C15" i="18"/>
  <c r="I203" i="8" l="1"/>
  <c r="I111" i="18" s="1"/>
  <c r="K200" i="8"/>
  <c r="C17" i="18"/>
  <c r="M205" i="8"/>
  <c r="O205" i="8" s="1"/>
  <c r="H205" i="8"/>
  <c r="I205" i="8" s="1"/>
  <c r="M204" i="8"/>
  <c r="J112" i="18"/>
  <c r="H204" i="8"/>
  <c r="P200" i="8" l="1"/>
  <c r="P203" i="8" s="1"/>
  <c r="K203" i="8"/>
  <c r="I115" i="18" s="1"/>
  <c r="I116" i="18" s="1"/>
  <c r="H206" i="8"/>
  <c r="M206" i="8"/>
  <c r="J114" i="18" s="1"/>
  <c r="I204" i="8"/>
  <c r="O204" i="8"/>
  <c r="O206" i="8" s="1"/>
  <c r="K205" i="8"/>
  <c r="P205" i="8" s="1"/>
  <c r="K12" i="18"/>
  <c r="M35" i="8"/>
  <c r="H35" i="8"/>
  <c r="L12" i="18"/>
  <c r="O37" i="8"/>
  <c r="M33" i="8"/>
  <c r="H33" i="8"/>
  <c r="I206" i="8" l="1"/>
  <c r="J111" i="18" s="1"/>
  <c r="K204" i="8"/>
  <c r="K206" i="8" s="1"/>
  <c r="I33" i="8"/>
  <c r="H34" i="8"/>
  <c r="M34" i="8"/>
  <c r="L14" i="18" s="1"/>
  <c r="I35" i="8"/>
  <c r="K35" i="8" s="1"/>
  <c r="H36" i="8"/>
  <c r="O35" i="8"/>
  <c r="O36" i="8" s="1"/>
  <c r="M36" i="8"/>
  <c r="O33" i="8"/>
  <c r="O34" i="8" s="1"/>
  <c r="M197" i="8"/>
  <c r="M190" i="8"/>
  <c r="M191" i="8"/>
  <c r="M192" i="8"/>
  <c r="M193" i="8"/>
  <c r="M194" i="8"/>
  <c r="M195" i="8"/>
  <c r="M189" i="8"/>
  <c r="M174" i="8"/>
  <c r="M172" i="8"/>
  <c r="M161" i="8"/>
  <c r="M162" i="8"/>
  <c r="M163" i="8"/>
  <c r="M164" i="8"/>
  <c r="M165" i="8"/>
  <c r="M166" i="8"/>
  <c r="M167" i="8"/>
  <c r="M160" i="8"/>
  <c r="I34" i="8" l="1"/>
  <c r="L11" i="18" s="1"/>
  <c r="K33" i="8"/>
  <c r="P33" i="8" s="1"/>
  <c r="P34" i="8" s="1"/>
  <c r="M176" i="8"/>
  <c r="M171" i="8"/>
  <c r="K36" i="8"/>
  <c r="K15" i="18" s="1"/>
  <c r="P204" i="8"/>
  <c r="P206" i="8" s="1"/>
  <c r="M199" i="8"/>
  <c r="M188" i="8"/>
  <c r="M196" i="8"/>
  <c r="K14" i="18"/>
  <c r="I36" i="8"/>
  <c r="K11" i="18" s="1"/>
  <c r="J115" i="18"/>
  <c r="J116" i="18" s="1"/>
  <c r="M150" i="8"/>
  <c r="M151" i="8"/>
  <c r="M152" i="8"/>
  <c r="M149" i="8"/>
  <c r="M134" i="8"/>
  <c r="M138" i="8"/>
  <c r="M139" i="8"/>
  <c r="M140" i="8"/>
  <c r="M141" i="8"/>
  <c r="M142" i="8"/>
  <c r="M143" i="8"/>
  <c r="M144" i="8"/>
  <c r="M145" i="8"/>
  <c r="M133" i="8"/>
  <c r="M153" i="8" l="1"/>
  <c r="M148" i="8"/>
  <c r="K17" i="18"/>
  <c r="K33" i="18" s="1"/>
  <c r="M210" i="8"/>
  <c r="P35" i="8"/>
  <c r="P36" i="8" s="1"/>
  <c r="K34" i="8"/>
  <c r="L15" i="18" s="1"/>
  <c r="L17" i="18" s="1"/>
  <c r="L33" i="18" s="1"/>
  <c r="M31" i="8"/>
  <c r="M28" i="8"/>
  <c r="M30" i="8" s="1"/>
  <c r="M24" i="8"/>
  <c r="M26" i="8" s="1"/>
  <c r="I27" i="18" s="1"/>
  <c r="M19" i="8"/>
  <c r="M17" i="8"/>
  <c r="M18" i="8" s="1"/>
  <c r="F27" i="18" s="1"/>
  <c r="M15" i="8"/>
  <c r="M14" i="8"/>
  <c r="M9" i="8"/>
  <c r="M12" i="8"/>
  <c r="M8" i="8"/>
  <c r="M154" i="8" l="1"/>
  <c r="M32" i="8"/>
  <c r="M14" i="18" s="1"/>
  <c r="M16" i="8"/>
  <c r="O8" i="8"/>
  <c r="M13" i="8"/>
  <c r="M21" i="8"/>
  <c r="H27" i="18" s="1"/>
  <c r="M38" i="8" l="1"/>
  <c r="D55" i="5"/>
  <c r="I55" i="5" s="1"/>
  <c r="D28" i="5"/>
  <c r="D27" i="5"/>
  <c r="I27" i="5" s="1"/>
  <c r="C28" i="6" l="1"/>
  <c r="I28" i="5"/>
  <c r="C55" i="6"/>
  <c r="H139" i="8" l="1"/>
  <c r="P92" i="8" l="1"/>
  <c r="H12" i="8"/>
  <c r="I12" i="8" l="1"/>
  <c r="K12" i="8" s="1"/>
  <c r="P12" i="8" l="1"/>
  <c r="R76" i="19"/>
  <c r="AJ76" i="19" s="1"/>
  <c r="BD76" i="19" s="1"/>
  <c r="AC69" i="19"/>
  <c r="AC87" i="19" l="1"/>
  <c r="AC271" i="19" s="1"/>
  <c r="H13" i="9"/>
  <c r="I13" i="9"/>
  <c r="H29" i="9"/>
  <c r="N29" i="18"/>
  <c r="C29" i="9" s="1"/>
  <c r="M11" i="13" s="1"/>
  <c r="Q11" i="13" s="1"/>
  <c r="AD11" i="13" s="1"/>
  <c r="J214" i="8"/>
  <c r="J215" i="8" s="1"/>
  <c r="O194" i="8"/>
  <c r="H194" i="8"/>
  <c r="I194" i="8" s="1"/>
  <c r="K194" i="8" s="1"/>
  <c r="P194" i="8" l="1"/>
  <c r="F81" i="5"/>
  <c r="F120" i="12"/>
  <c r="C25" i="18"/>
  <c r="I29" i="9"/>
  <c r="C11" i="14"/>
  <c r="G29" i="9"/>
  <c r="G13" i="9"/>
  <c r="F48" i="18"/>
  <c r="O24" i="8"/>
  <c r="O26" i="8" s="1"/>
  <c r="H24" i="8"/>
  <c r="H26" i="8" s="1"/>
  <c r="O134" i="8"/>
  <c r="H134" i="8"/>
  <c r="H167" i="8"/>
  <c r="I167" i="8" s="1"/>
  <c r="K167" i="8" s="1"/>
  <c r="O167" i="8"/>
  <c r="P167" i="8" l="1"/>
  <c r="I134" i="8"/>
  <c r="K134" i="8" s="1"/>
  <c r="O55" i="18"/>
  <c r="V55" i="18" s="1"/>
  <c r="I24" i="8"/>
  <c r="K24" i="8" s="1"/>
  <c r="O12" i="8"/>
  <c r="P134" i="8" l="1"/>
  <c r="I26" i="8"/>
  <c r="I21" i="18" s="1"/>
  <c r="R59" i="18"/>
  <c r="R61" i="18" s="1"/>
  <c r="K26" i="8"/>
  <c r="I28" i="18" s="1"/>
  <c r="P119" i="8"/>
  <c r="P79" i="8"/>
  <c r="P24" i="8" l="1"/>
  <c r="P26" i="8" s="1"/>
  <c r="I31" i="18"/>
  <c r="I33" i="18" s="1"/>
  <c r="E73" i="10"/>
  <c r="E70" i="10" s="1"/>
  <c r="F73" i="10"/>
  <c r="F70" i="10" s="1"/>
  <c r="G73" i="10"/>
  <c r="G70" i="10" s="1"/>
  <c r="E257" i="19"/>
  <c r="BB262" i="19"/>
  <c r="N262" i="19"/>
  <c r="C82" i="10" s="1"/>
  <c r="BB261" i="19"/>
  <c r="N261" i="19"/>
  <c r="C80" i="10" s="1"/>
  <c r="H80" i="10" s="1"/>
  <c r="BB259" i="19"/>
  <c r="N259" i="19"/>
  <c r="C79" i="10" s="1"/>
  <c r="BB258" i="19"/>
  <c r="N258" i="19"/>
  <c r="AU257" i="19"/>
  <c r="M257" i="19"/>
  <c r="J257" i="19"/>
  <c r="I257" i="19"/>
  <c r="G257" i="19"/>
  <c r="F257" i="19"/>
  <c r="D257" i="19"/>
  <c r="D82" i="10"/>
  <c r="D79" i="11"/>
  <c r="H79" i="11" s="1"/>
  <c r="D79" i="10"/>
  <c r="D77" i="11"/>
  <c r="D78" i="10"/>
  <c r="BD261" i="19" l="1"/>
  <c r="H82" i="10"/>
  <c r="C179" i="11"/>
  <c r="H179" i="11" s="1"/>
  <c r="BD262" i="19"/>
  <c r="BC257" i="19"/>
  <c r="H79" i="10"/>
  <c r="D103" i="13"/>
  <c r="D77" i="10"/>
  <c r="C78" i="10"/>
  <c r="N257" i="19"/>
  <c r="C175" i="11"/>
  <c r="BD258" i="19"/>
  <c r="BD259" i="19"/>
  <c r="C176" i="11"/>
  <c r="H176" i="11" s="1"/>
  <c r="D76" i="11"/>
  <c r="H76" i="11" s="1"/>
  <c r="H77" i="11"/>
  <c r="C173" i="10"/>
  <c r="C172" i="10" s="1"/>
  <c r="BB257" i="19"/>
  <c r="D102" i="13" l="1"/>
  <c r="C77" i="10"/>
  <c r="C103" i="13" s="1"/>
  <c r="C102" i="13" s="1"/>
  <c r="H78" i="10"/>
  <c r="H77" i="10" s="1"/>
  <c r="O103" i="13"/>
  <c r="O102" i="13" s="1"/>
  <c r="D75" i="11"/>
  <c r="H75" i="11" s="1"/>
  <c r="H173" i="10"/>
  <c r="C174" i="11"/>
  <c r="H174" i="11" s="1"/>
  <c r="H175" i="11"/>
  <c r="M103" i="13"/>
  <c r="C173" i="11" l="1"/>
  <c r="H173" i="11" s="1"/>
  <c r="F103" i="13"/>
  <c r="F102" i="13" s="1"/>
  <c r="F46" i="18"/>
  <c r="G103" i="13" l="1"/>
  <c r="G102" i="13" s="1"/>
  <c r="D25" i="18"/>
  <c r="AU72" i="19"/>
  <c r="BB72" i="19" s="1"/>
  <c r="R72" i="19"/>
  <c r="AJ72" i="19" s="1"/>
  <c r="BD72" i="19" s="1"/>
  <c r="N24" i="18" l="1"/>
  <c r="N26" i="18"/>
  <c r="N30" i="18"/>
  <c r="M12" i="13" s="1"/>
  <c r="Q12" i="13" s="1"/>
  <c r="I103" i="18"/>
  <c r="I104" i="18"/>
  <c r="E83" i="18"/>
  <c r="E25" i="9" s="1"/>
  <c r="O16" i="13" s="1"/>
  <c r="O13" i="13" s="1"/>
  <c r="E84" i="18"/>
  <c r="E75" i="18"/>
  <c r="J104" i="18" l="1"/>
  <c r="K104" i="18" s="1"/>
  <c r="J103" i="18"/>
  <c r="K103" i="18" s="1"/>
  <c r="O193" i="8"/>
  <c r="H193" i="8"/>
  <c r="I193" i="8" s="1"/>
  <c r="K193" i="8" s="1"/>
  <c r="O144" i="8"/>
  <c r="H144" i="8"/>
  <c r="I144" i="8" s="1"/>
  <c r="K144" i="8" s="1"/>
  <c r="P144" i="8" l="1"/>
  <c r="P193" i="8"/>
  <c r="P62" i="8"/>
  <c r="P60" i="8"/>
  <c r="F13" i="12" l="1"/>
  <c r="V103" i="13" s="1"/>
  <c r="D48" i="12"/>
  <c r="E48" i="12"/>
  <c r="F48" i="12"/>
  <c r="V112" i="13" s="1"/>
  <c r="G48" i="12"/>
  <c r="H48" i="12" l="1"/>
  <c r="AC70" i="13"/>
  <c r="Y70" i="13"/>
  <c r="U70" i="13"/>
  <c r="L70" i="13"/>
  <c r="H79" i="5"/>
  <c r="E79" i="5"/>
  <c r="E166" i="10" l="1"/>
  <c r="F166" i="10"/>
  <c r="G166" i="10"/>
  <c r="E168" i="10"/>
  <c r="F168" i="10"/>
  <c r="G168" i="10"/>
  <c r="E148" i="10"/>
  <c r="F148" i="10"/>
  <c r="G148" i="10"/>
  <c r="R50" i="19"/>
  <c r="AJ50" i="19" s="1"/>
  <c r="AC90" i="19" l="1"/>
  <c r="D146" i="10"/>
  <c r="N70" i="13" s="1"/>
  <c r="D51" i="10"/>
  <c r="P61" i="8"/>
  <c r="W70" i="19"/>
  <c r="W69" i="19" s="1"/>
  <c r="W60" i="19"/>
  <c r="W87" i="19" l="1"/>
  <c r="H51" i="10"/>
  <c r="M70" i="13"/>
  <c r="P64" i="8"/>
  <c r="T46" i="18" l="1"/>
  <c r="T50" i="18" s="1"/>
  <c r="T61" i="18" s="1"/>
  <c r="AE253" i="19"/>
  <c r="AD253" i="19"/>
  <c r="AE251" i="19"/>
  <c r="AE250" i="19" s="1"/>
  <c r="AD251" i="19"/>
  <c r="AD250" i="19" s="1"/>
  <c r="AE248" i="19"/>
  <c r="AD248" i="19"/>
  <c r="AE244" i="19"/>
  <c r="AD244" i="19"/>
  <c r="AE70" i="19"/>
  <c r="AE69" i="19" s="1"/>
  <c r="AE60" i="19"/>
  <c r="AD60" i="19"/>
  <c r="AE87" i="19" l="1"/>
  <c r="AD87" i="19"/>
  <c r="W90" i="19"/>
  <c r="W271" i="19"/>
  <c r="AD241" i="19"/>
  <c r="AD268" i="19" s="1"/>
  <c r="D30" i="22" s="1"/>
  <c r="F30" i="22" s="1"/>
  <c r="AE241" i="19"/>
  <c r="V106" i="13"/>
  <c r="AD270" i="19" l="1"/>
  <c r="AE268" i="19"/>
  <c r="AD90" i="19"/>
  <c r="AE270" i="19" l="1"/>
  <c r="AE271" i="19" s="1"/>
  <c r="D31" i="22"/>
  <c r="F31" i="22" s="1"/>
  <c r="AE90" i="19"/>
  <c r="AD271" i="19"/>
  <c r="P117" i="8"/>
  <c r="N25" i="18"/>
  <c r="O143" i="8"/>
  <c r="H143" i="8"/>
  <c r="I143" i="8" s="1"/>
  <c r="K143" i="8" s="1"/>
  <c r="O150" i="8"/>
  <c r="H150" i="8"/>
  <c r="I150" i="8" s="1"/>
  <c r="K150" i="8" s="1"/>
  <c r="P150" i="8" l="1"/>
  <c r="P143" i="8"/>
  <c r="H151" i="8"/>
  <c r="Y253" i="19"/>
  <c r="X253" i="19"/>
  <c r="U253" i="19"/>
  <c r="T253" i="19"/>
  <c r="Y251" i="19"/>
  <c r="Y250" i="19" s="1"/>
  <c r="X251" i="19"/>
  <c r="X250" i="19" s="1"/>
  <c r="U251" i="19"/>
  <c r="U250" i="19" s="1"/>
  <c r="T251" i="19"/>
  <c r="T250" i="19" s="1"/>
  <c r="Y248" i="19"/>
  <c r="X248" i="19"/>
  <c r="U248" i="19"/>
  <c r="T248" i="19"/>
  <c r="Y244" i="19"/>
  <c r="X244" i="19"/>
  <c r="U244" i="19"/>
  <c r="T244" i="19"/>
  <c r="Y70" i="19"/>
  <c r="Y69" i="19" s="1"/>
  <c r="X70" i="19"/>
  <c r="X69" i="19" s="1"/>
  <c r="U70" i="19"/>
  <c r="U69" i="19" s="1"/>
  <c r="T70" i="19"/>
  <c r="T69" i="19" s="1"/>
  <c r="Y60" i="19"/>
  <c r="X60" i="19"/>
  <c r="V60" i="19"/>
  <c r="U67" i="19"/>
  <c r="U60" i="19" s="1"/>
  <c r="T67" i="19"/>
  <c r="T60" i="19" s="1"/>
  <c r="V87" i="19" l="1"/>
  <c r="Y87" i="19"/>
  <c r="T87" i="19"/>
  <c r="U87" i="19"/>
  <c r="X87" i="19"/>
  <c r="Y241" i="19"/>
  <c r="Y268" i="19" s="1"/>
  <c r="D25" i="22" s="1"/>
  <c r="F25" i="22" s="1"/>
  <c r="U241" i="19"/>
  <c r="X241" i="19"/>
  <c r="T241" i="19"/>
  <c r="T268" i="19" s="1"/>
  <c r="D20" i="22" s="1"/>
  <c r="F20" i="22" s="1"/>
  <c r="P78" i="8"/>
  <c r="P81" i="8" s="1"/>
  <c r="U268" i="19" l="1"/>
  <c r="T270" i="19"/>
  <c r="Y270" i="19"/>
  <c r="X268" i="19"/>
  <c r="Y90" i="19"/>
  <c r="T90" i="19"/>
  <c r="N194" i="19"/>
  <c r="J253" i="19"/>
  <c r="I253" i="19"/>
  <c r="J251" i="19"/>
  <c r="I251" i="19"/>
  <c r="J248" i="19"/>
  <c r="I248" i="19"/>
  <c r="J244" i="19"/>
  <c r="I244" i="19"/>
  <c r="I241" i="19" s="1"/>
  <c r="J236" i="19"/>
  <c r="I236" i="19"/>
  <c r="J217" i="19"/>
  <c r="I217" i="19"/>
  <c r="J212" i="19"/>
  <c r="I212" i="19"/>
  <c r="V56" i="18"/>
  <c r="J241" i="19" l="1"/>
  <c r="X270" i="19"/>
  <c r="X271" i="19" s="1"/>
  <c r="D24" i="22"/>
  <c r="F24" i="22" s="1"/>
  <c r="V90" i="19"/>
  <c r="D22" i="22"/>
  <c r="F22" i="22" s="1"/>
  <c r="U270" i="19"/>
  <c r="U271" i="19" s="1"/>
  <c r="D21" i="22"/>
  <c r="F21" i="22" s="1"/>
  <c r="U90" i="19"/>
  <c r="V270" i="19"/>
  <c r="V271" i="19" s="1"/>
  <c r="X90" i="19"/>
  <c r="Y271" i="19"/>
  <c r="T271" i="19"/>
  <c r="I250" i="19"/>
  <c r="J250" i="19"/>
  <c r="J189" i="19"/>
  <c r="I189" i="19"/>
  <c r="O145" i="8"/>
  <c r="H152" i="8"/>
  <c r="J268" i="19" l="1"/>
  <c r="D14" i="22" s="1"/>
  <c r="F14" i="22" s="1"/>
  <c r="I268" i="19"/>
  <c r="D13" i="22" s="1"/>
  <c r="F13" i="22" s="1"/>
  <c r="O191" i="8"/>
  <c r="H145" i="8"/>
  <c r="I145" i="8" s="1"/>
  <c r="K145" i="8" s="1"/>
  <c r="H191" i="8"/>
  <c r="I191" i="8" s="1"/>
  <c r="K191" i="8" s="1"/>
  <c r="P145" i="8" l="1"/>
  <c r="P191" i="8"/>
  <c r="I270" i="19"/>
  <c r="I271" i="19" s="1"/>
  <c r="J91" i="19"/>
  <c r="J270" i="19"/>
  <c r="J271" i="19" s="1"/>
  <c r="I91" i="19"/>
  <c r="H142" i="8"/>
  <c r="N46" i="18"/>
  <c r="M46" i="18"/>
  <c r="E46" i="18"/>
  <c r="H31" i="8"/>
  <c r="H32" i="8" s="1"/>
  <c r="J12" i="18"/>
  <c r="H28" i="8"/>
  <c r="H30" i="8" s="1"/>
  <c r="I28" i="8" l="1"/>
  <c r="N48" i="18"/>
  <c r="E48" i="18"/>
  <c r="O31" i="8"/>
  <c r="O32" i="8" s="1"/>
  <c r="I31" i="8"/>
  <c r="O28" i="8"/>
  <c r="O30" i="8" s="1"/>
  <c r="I32" i="8" l="1"/>
  <c r="M11" i="18" s="1"/>
  <c r="K31" i="8"/>
  <c r="I30" i="8"/>
  <c r="J11" i="18" s="1"/>
  <c r="K28" i="8"/>
  <c r="K30" i="8" s="1"/>
  <c r="J14" i="18"/>
  <c r="E49" i="18"/>
  <c r="E50" i="18" s="1"/>
  <c r="E61" i="18" s="1"/>
  <c r="K32" i="8" l="1"/>
  <c r="M15" i="18" s="1"/>
  <c r="M17" i="18" s="1"/>
  <c r="P31" i="8"/>
  <c r="P32" i="8" s="1"/>
  <c r="M31" i="18"/>
  <c r="J15" i="18"/>
  <c r="J17" i="18" s="1"/>
  <c r="J33" i="18" s="1"/>
  <c r="P45" i="8"/>
  <c r="P28" i="8"/>
  <c r="P30" i="8" s="1"/>
  <c r="M33" i="18" l="1"/>
  <c r="N49" i="18"/>
  <c r="N50" i="18" s="1"/>
  <c r="O152" i="8"/>
  <c r="O140" i="8"/>
  <c r="O141" i="8"/>
  <c r="O142" i="8"/>
  <c r="H172" i="8"/>
  <c r="I142" i="8"/>
  <c r="K142" i="8" s="1"/>
  <c r="H141" i="8"/>
  <c r="I141" i="8" s="1"/>
  <c r="K141" i="8" s="1"/>
  <c r="H140" i="8"/>
  <c r="I152" i="8"/>
  <c r="K152" i="8" s="1"/>
  <c r="P142" i="8" l="1"/>
  <c r="P152" i="8"/>
  <c r="P141" i="8"/>
  <c r="N61" i="18"/>
  <c r="I140" i="8"/>
  <c r="K140" i="8" s="1"/>
  <c r="I172" i="8"/>
  <c r="K172" i="8" s="1"/>
  <c r="O172" i="8"/>
  <c r="M48" i="18"/>
  <c r="P94" i="8"/>
  <c r="V110" i="13"/>
  <c r="V104" i="13"/>
  <c r="G88" i="12"/>
  <c r="P140" i="8" l="1"/>
  <c r="P93" i="8"/>
  <c r="D76" i="5"/>
  <c r="E76" i="5"/>
  <c r="H76" i="5"/>
  <c r="P172" i="8" l="1"/>
  <c r="M49" i="18"/>
  <c r="M50" i="18" s="1"/>
  <c r="M61" i="18" s="1"/>
  <c r="D81" i="12" l="1"/>
  <c r="E81" i="12"/>
  <c r="E88" i="12" s="1"/>
  <c r="F81" i="12"/>
  <c r="F88" i="12" s="1"/>
  <c r="G81" i="12"/>
  <c r="H81" i="12" l="1"/>
  <c r="H88" i="12" s="1"/>
  <c r="D88" i="12"/>
  <c r="H14" i="9"/>
  <c r="C14" i="9"/>
  <c r="C12" i="13" s="1"/>
  <c r="G12" i="13" s="1"/>
  <c r="AD12" i="13" s="1"/>
  <c r="E13" i="12"/>
  <c r="G13" i="12"/>
  <c r="D13" i="12"/>
  <c r="H13" i="12" l="1"/>
  <c r="I14" i="9"/>
  <c r="G14" i="9"/>
  <c r="P46" i="18" l="1"/>
  <c r="O138" i="8" l="1"/>
  <c r="H138" i="8"/>
  <c r="H148" i="8" s="1"/>
  <c r="I138" i="8" l="1"/>
  <c r="K138" i="8" s="1"/>
  <c r="P72" i="8"/>
  <c r="P138" i="8" l="1"/>
  <c r="P48" i="18"/>
  <c r="P49" i="18" l="1"/>
  <c r="P50" i="18" s="1"/>
  <c r="P61" i="18" s="1"/>
  <c r="P88" i="8" l="1"/>
  <c r="P89" i="8" s="1"/>
  <c r="X118" i="13"/>
  <c r="K118" i="13"/>
  <c r="X85" i="13"/>
  <c r="D109" i="12"/>
  <c r="D107" i="12" s="1"/>
  <c r="E109" i="12"/>
  <c r="E107" i="12" s="1"/>
  <c r="F109" i="12"/>
  <c r="F107" i="12" s="1"/>
  <c r="G109" i="12"/>
  <c r="G107" i="12" s="1"/>
  <c r="X117" i="13" l="1"/>
  <c r="X116" i="13" s="1"/>
  <c r="Y118" i="13"/>
  <c r="D235" i="8"/>
  <c r="C76" i="5" l="1"/>
  <c r="O9" i="8"/>
  <c r="O13" i="8" s="1"/>
  <c r="H9" i="8"/>
  <c r="I9" i="8" s="1"/>
  <c r="K9" i="8" s="1"/>
  <c r="H197" i="8"/>
  <c r="H199" i="8" s="1"/>
  <c r="P9" i="8" l="1"/>
  <c r="H46" i="18"/>
  <c r="H112" i="18"/>
  <c r="I197" i="8"/>
  <c r="K197" i="8" s="1"/>
  <c r="O197" i="8"/>
  <c r="K199" i="8" l="1"/>
  <c r="H115" i="18" s="1"/>
  <c r="I199" i="8"/>
  <c r="H111" i="18" s="1"/>
  <c r="O199" i="8"/>
  <c r="H114" i="18" s="1"/>
  <c r="H116" i="18" l="1"/>
  <c r="P197" i="8"/>
  <c r="P199" i="8" s="1"/>
  <c r="C23" i="18" l="1"/>
  <c r="C31" i="18" s="1"/>
  <c r="C33" i="18" s="1"/>
  <c r="H107" i="18"/>
  <c r="H118" i="18" s="1"/>
  <c r="N23" i="18" l="1"/>
  <c r="O151" i="8"/>
  <c r="I151" i="8"/>
  <c r="K151" i="8" s="1"/>
  <c r="P151" i="8" l="1"/>
  <c r="M115" i="13"/>
  <c r="Q115" i="13" s="1"/>
  <c r="H105" i="12"/>
  <c r="H106" i="12"/>
  <c r="O166" i="8"/>
  <c r="O164" i="8"/>
  <c r="Q125" i="13"/>
  <c r="Q111" i="13"/>
  <c r="Q113" i="13"/>
  <c r="Q114" i="13"/>
  <c r="Q85" i="13"/>
  <c r="Q84" i="13"/>
  <c r="N83" i="13"/>
  <c r="O83" i="13"/>
  <c r="P83" i="13"/>
  <c r="M83" i="13"/>
  <c r="F100" i="13"/>
  <c r="E100" i="13"/>
  <c r="D129" i="11"/>
  <c r="P53" i="13" s="1"/>
  <c r="D109" i="11"/>
  <c r="P31" i="13" s="1"/>
  <c r="BB246" i="19"/>
  <c r="C162" i="11" s="1"/>
  <c r="BB247" i="19"/>
  <c r="BB245" i="19"/>
  <c r="BB238" i="19"/>
  <c r="BB239" i="19"/>
  <c r="BB240" i="19"/>
  <c r="BB237" i="19"/>
  <c r="C153" i="11" s="1"/>
  <c r="F78" i="13" s="1"/>
  <c r="BB233" i="19"/>
  <c r="BB234" i="19"/>
  <c r="BB235" i="19"/>
  <c r="BB232" i="19"/>
  <c r="BB219" i="19"/>
  <c r="BB220" i="19"/>
  <c r="BB221" i="19"/>
  <c r="BB222" i="19"/>
  <c r="BB223" i="19"/>
  <c r="BB224" i="19"/>
  <c r="BB225" i="19"/>
  <c r="BB226" i="19"/>
  <c r="C142" i="11" s="1"/>
  <c r="F66" i="13" s="1"/>
  <c r="BB227" i="19"/>
  <c r="C143" i="11" s="1"/>
  <c r="F67" i="13" s="1"/>
  <c r="BB228" i="19"/>
  <c r="C144" i="11" s="1"/>
  <c r="F68" i="13" s="1"/>
  <c r="BB229" i="19"/>
  <c r="BB230" i="19"/>
  <c r="BB218" i="19"/>
  <c r="BB214" i="19"/>
  <c r="C130" i="11" s="1"/>
  <c r="F54" i="13" s="1"/>
  <c r="BB215" i="19"/>
  <c r="C131" i="11" s="1"/>
  <c r="BB216" i="19"/>
  <c r="C132" i="11" s="1"/>
  <c r="BB213" i="19"/>
  <c r="C129" i="11" s="1"/>
  <c r="BB206" i="19"/>
  <c r="BB207" i="19"/>
  <c r="BB208" i="19"/>
  <c r="BB209" i="19"/>
  <c r="BB210" i="19"/>
  <c r="BB211" i="19"/>
  <c r="BB193" i="19"/>
  <c r="BB194" i="19"/>
  <c r="BB196" i="19"/>
  <c r="BB197" i="19"/>
  <c r="BB198" i="19"/>
  <c r="BB199" i="19"/>
  <c r="BB200" i="19"/>
  <c r="BB201" i="19"/>
  <c r="BB202" i="19"/>
  <c r="BB191" i="19"/>
  <c r="BB205" i="19"/>
  <c r="C121" i="11" s="1"/>
  <c r="BB204" i="19"/>
  <c r="R205" i="19"/>
  <c r="AJ205" i="19" s="1"/>
  <c r="BB195" i="19"/>
  <c r="R195" i="19"/>
  <c r="AJ195" i="19" s="1"/>
  <c r="H192" i="8"/>
  <c r="I192" i="8" s="1"/>
  <c r="K192" i="8" s="1"/>
  <c r="H190" i="8"/>
  <c r="I190" i="8" s="1"/>
  <c r="K190" i="8" s="1"/>
  <c r="H163" i="8"/>
  <c r="I163" i="8" s="1"/>
  <c r="K163" i="8" s="1"/>
  <c r="H162" i="8"/>
  <c r="I162" i="8" s="1"/>
  <c r="K162" i="8" s="1"/>
  <c r="H15" i="8"/>
  <c r="H149" i="8"/>
  <c r="H153" i="8" s="1"/>
  <c r="H161" i="8"/>
  <c r="I161" i="8" s="1"/>
  <c r="K161" i="8" s="1"/>
  <c r="H165" i="8"/>
  <c r="I165" i="8" s="1"/>
  <c r="K165" i="8" s="1"/>
  <c r="H160" i="8"/>
  <c r="H189" i="8"/>
  <c r="H195" i="8"/>
  <c r="I195" i="8" s="1"/>
  <c r="K195" i="8" s="1"/>
  <c r="O15" i="8"/>
  <c r="O161" i="8"/>
  <c r="O162" i="8"/>
  <c r="O163" i="8"/>
  <c r="O165" i="8"/>
  <c r="O160" i="8"/>
  <c r="O189" i="8"/>
  <c r="O190" i="8"/>
  <c r="O195" i="8"/>
  <c r="H22" i="9"/>
  <c r="H23" i="9"/>
  <c r="H24" i="9"/>
  <c r="H26" i="9"/>
  <c r="H30" i="9"/>
  <c r="C23" i="9"/>
  <c r="M14" i="13" s="1"/>
  <c r="C24" i="9"/>
  <c r="M15" i="13" s="1"/>
  <c r="Q15" i="13" s="1"/>
  <c r="AD15" i="13" s="1"/>
  <c r="H47" i="18"/>
  <c r="V47" i="18" s="1"/>
  <c r="F10" i="9"/>
  <c r="F16" i="13" s="1"/>
  <c r="F13" i="13" s="1"/>
  <c r="F9" i="9"/>
  <c r="F10" i="13" s="1"/>
  <c r="E9" i="9"/>
  <c r="E10" i="13" s="1"/>
  <c r="O139" i="8"/>
  <c r="O57" i="18"/>
  <c r="H19" i="8"/>
  <c r="H21" i="8" s="1"/>
  <c r="H184" i="11"/>
  <c r="H183" i="11" s="1"/>
  <c r="H182" i="11" s="1"/>
  <c r="H190" i="11"/>
  <c r="H189" i="11" s="1"/>
  <c r="H188" i="11" s="1"/>
  <c r="G108" i="11"/>
  <c r="G128" i="11"/>
  <c r="G133" i="11"/>
  <c r="G152" i="11"/>
  <c r="G147" i="11" s="1"/>
  <c r="G160" i="11"/>
  <c r="G157" i="11" s="1"/>
  <c r="G164" i="11"/>
  <c r="G169" i="11"/>
  <c r="G167" i="11" s="1"/>
  <c r="G166" i="11" s="1"/>
  <c r="G183" i="11"/>
  <c r="G182" i="11" s="1"/>
  <c r="G189" i="11"/>
  <c r="G188" i="11" s="1"/>
  <c r="F108" i="11"/>
  <c r="F128" i="11"/>
  <c r="F133" i="11"/>
  <c r="F152" i="11"/>
  <c r="F147" i="11" s="1"/>
  <c r="F160" i="11"/>
  <c r="F164" i="11"/>
  <c r="F169" i="11"/>
  <c r="F167" i="11" s="1"/>
  <c r="F166" i="11" s="1"/>
  <c r="F183" i="11"/>
  <c r="F182" i="11" s="1"/>
  <c r="F189" i="11"/>
  <c r="F188" i="11" s="1"/>
  <c r="E108" i="11"/>
  <c r="E128" i="11"/>
  <c r="E133" i="11"/>
  <c r="E152" i="11"/>
  <c r="E147" i="11" s="1"/>
  <c r="E160" i="11"/>
  <c r="E157" i="11" s="1"/>
  <c r="E164" i="11"/>
  <c r="E169" i="11"/>
  <c r="E167" i="11" s="1"/>
  <c r="E166" i="11" s="1"/>
  <c r="E183" i="11"/>
  <c r="E182" i="11" s="1"/>
  <c r="E189" i="11"/>
  <c r="E188" i="11" s="1"/>
  <c r="D183" i="11"/>
  <c r="D182" i="11" s="1"/>
  <c r="D189" i="11"/>
  <c r="D188" i="11" s="1"/>
  <c r="C183" i="11"/>
  <c r="F99" i="13" s="1"/>
  <c r="C189" i="11"/>
  <c r="C188" i="11" s="1"/>
  <c r="A101" i="11"/>
  <c r="A100" i="11"/>
  <c r="BB252" i="19"/>
  <c r="BB254" i="19"/>
  <c r="C170" i="11" s="1"/>
  <c r="BB255" i="19"/>
  <c r="BB256" i="19"/>
  <c r="AU251" i="19"/>
  <c r="BC251" i="19" s="1"/>
  <c r="AU253" i="19"/>
  <c r="BC253" i="19" s="1"/>
  <c r="AU244" i="19"/>
  <c r="BC244" i="19" s="1"/>
  <c r="AU248" i="19"/>
  <c r="BC248" i="19" s="1"/>
  <c r="AU190" i="19"/>
  <c r="AU212" i="19"/>
  <c r="BC212" i="19" s="1"/>
  <c r="AU217" i="19"/>
  <c r="BC217" i="19" s="1"/>
  <c r="AU231" i="19"/>
  <c r="BC231" i="19" s="1"/>
  <c r="AU236" i="19"/>
  <c r="BC236" i="19" s="1"/>
  <c r="C72" i="11"/>
  <c r="C73" i="11"/>
  <c r="E96" i="13" s="1"/>
  <c r="E95" i="13" s="1"/>
  <c r="C74" i="11"/>
  <c r="C64" i="11"/>
  <c r="E85" i="13" s="1"/>
  <c r="C65" i="11"/>
  <c r="C13" i="11"/>
  <c r="C14" i="11"/>
  <c r="C15" i="11"/>
  <c r="C16" i="11"/>
  <c r="E35" i="13" s="1"/>
  <c r="C17" i="11"/>
  <c r="E36" i="13" s="1"/>
  <c r="C18" i="11"/>
  <c r="E37" i="13" s="1"/>
  <c r="C19" i="11"/>
  <c r="E38" i="13" s="1"/>
  <c r="C21" i="11"/>
  <c r="E40" i="13" s="1"/>
  <c r="C22" i="11"/>
  <c r="C23" i="11"/>
  <c r="E42" i="13" s="1"/>
  <c r="C24" i="11"/>
  <c r="C26" i="11"/>
  <c r="E46" i="13" s="1"/>
  <c r="C27" i="11"/>
  <c r="E47" i="13" s="1"/>
  <c r="C28" i="11"/>
  <c r="E48" i="13" s="1"/>
  <c r="C29" i="11"/>
  <c r="C30" i="11"/>
  <c r="E50" i="13" s="1"/>
  <c r="C31" i="11"/>
  <c r="E51" i="13" s="1"/>
  <c r="C33" i="11"/>
  <c r="C35" i="11"/>
  <c r="E55" i="13" s="1"/>
  <c r="C36" i="11"/>
  <c r="E56" i="13" s="1"/>
  <c r="C38" i="11"/>
  <c r="E58" i="13" s="1"/>
  <c r="C40" i="11"/>
  <c r="E60" i="13" s="1"/>
  <c r="C41" i="11"/>
  <c r="E61" i="13" s="1"/>
  <c r="C42" i="11"/>
  <c r="E62" i="13" s="1"/>
  <c r="C43" i="11"/>
  <c r="E63" i="13" s="1"/>
  <c r="C44" i="11"/>
  <c r="E64" i="13" s="1"/>
  <c r="C45" i="11"/>
  <c r="C46" i="11"/>
  <c r="E66" i="13" s="1"/>
  <c r="C47" i="11"/>
  <c r="E67" i="13" s="1"/>
  <c r="C48" i="11"/>
  <c r="C50" i="11"/>
  <c r="E71" i="13" s="1"/>
  <c r="C53" i="11"/>
  <c r="C55" i="11"/>
  <c r="E76" i="13" s="1"/>
  <c r="C57" i="11"/>
  <c r="E78" i="13" s="1"/>
  <c r="C58" i="11"/>
  <c r="E79" i="13" s="1"/>
  <c r="C60" i="11"/>
  <c r="E81" i="13" s="1"/>
  <c r="C169" i="10"/>
  <c r="C170" i="10"/>
  <c r="C171" i="10"/>
  <c r="C160" i="10"/>
  <c r="D89" i="13" s="1"/>
  <c r="C161" i="10"/>
  <c r="D90" i="13" s="1"/>
  <c r="C162" i="10"/>
  <c r="R248" i="19"/>
  <c r="S248" i="19"/>
  <c r="Z248" i="19"/>
  <c r="AA248" i="19"/>
  <c r="AB248" i="19"/>
  <c r="AG248" i="19"/>
  <c r="C109" i="10"/>
  <c r="D33" i="13" s="1"/>
  <c r="C110" i="10"/>
  <c r="D34" i="13" s="1"/>
  <c r="C113" i="10"/>
  <c r="C114" i="10"/>
  <c r="C115" i="10"/>
  <c r="C117" i="10"/>
  <c r="D41" i="13" s="1"/>
  <c r="C118" i="10"/>
  <c r="D42" i="13" s="1"/>
  <c r="C120" i="10"/>
  <c r="C122" i="10"/>
  <c r="C123" i="10"/>
  <c r="C124" i="10"/>
  <c r="C125" i="10"/>
  <c r="D49" i="13" s="1"/>
  <c r="C126" i="10"/>
  <c r="D50" i="13" s="1"/>
  <c r="C127" i="10"/>
  <c r="D51" i="13" s="1"/>
  <c r="C129" i="10"/>
  <c r="D53" i="13" s="1"/>
  <c r="C131" i="10"/>
  <c r="D55" i="13" s="1"/>
  <c r="C132" i="10"/>
  <c r="C134" i="10"/>
  <c r="C136" i="10"/>
  <c r="C137" i="10"/>
  <c r="C138" i="10"/>
  <c r="C139" i="10"/>
  <c r="C140" i="10"/>
  <c r="C141" i="10"/>
  <c r="D65" i="13" s="1"/>
  <c r="C142" i="10"/>
  <c r="D66" i="13" s="1"/>
  <c r="C143" i="10"/>
  <c r="C144" i="10"/>
  <c r="C147" i="10"/>
  <c r="C149" i="10"/>
  <c r="C150" i="10"/>
  <c r="C151" i="10"/>
  <c r="C152" i="10"/>
  <c r="D76" i="13" s="1"/>
  <c r="C154" i="10"/>
  <c r="D78" i="13" s="1"/>
  <c r="C155" i="10"/>
  <c r="D79" i="13" s="1"/>
  <c r="C156" i="10"/>
  <c r="D80" i="13" s="1"/>
  <c r="C157" i="10"/>
  <c r="D81" i="13" s="1"/>
  <c r="AG251" i="19"/>
  <c r="AG250" i="19" s="1"/>
  <c r="AG244" i="19"/>
  <c r="AB251" i="19"/>
  <c r="AB250" i="19" s="1"/>
  <c r="AB244" i="19"/>
  <c r="AA251" i="19"/>
  <c r="AA250" i="19" s="1"/>
  <c r="AA244" i="19"/>
  <c r="Z251" i="19"/>
  <c r="Z250" i="19" s="1"/>
  <c r="Z244" i="19"/>
  <c r="S251" i="19"/>
  <c r="S250" i="19" s="1"/>
  <c r="S244" i="19"/>
  <c r="R251" i="19"/>
  <c r="R253" i="19"/>
  <c r="R244" i="19"/>
  <c r="R212" i="19"/>
  <c r="AJ212" i="19" s="1"/>
  <c r="R217" i="19"/>
  <c r="AJ217" i="19" s="1"/>
  <c r="R231" i="19"/>
  <c r="AJ231" i="19" s="1"/>
  <c r="R236" i="19"/>
  <c r="AJ236" i="19" s="1"/>
  <c r="N252" i="19"/>
  <c r="N254" i="19"/>
  <c r="N255" i="19"/>
  <c r="N256" i="19"/>
  <c r="N245" i="19"/>
  <c r="N246" i="19"/>
  <c r="N247" i="19"/>
  <c r="N249" i="19"/>
  <c r="C69" i="10" s="1"/>
  <c r="N191" i="19"/>
  <c r="C13" i="10" s="1"/>
  <c r="C31" i="13" s="1"/>
  <c r="N193" i="19"/>
  <c r="C14" i="10" s="1"/>
  <c r="C15" i="10"/>
  <c r="N195" i="19"/>
  <c r="C16" i="10" s="1"/>
  <c r="N196" i="19"/>
  <c r="C17" i="10" s="1"/>
  <c r="N197" i="19"/>
  <c r="C18" i="10" s="1"/>
  <c r="N198" i="19"/>
  <c r="C19" i="10" s="1"/>
  <c r="N199" i="19"/>
  <c r="C20" i="10" s="1"/>
  <c r="N200" i="19"/>
  <c r="C21" i="10" s="1"/>
  <c r="N201" i="19"/>
  <c r="C22" i="10" s="1"/>
  <c r="N202" i="19"/>
  <c r="C23" i="10" s="1"/>
  <c r="N204" i="19"/>
  <c r="C25" i="10" s="1"/>
  <c r="N206" i="19"/>
  <c r="N207" i="19"/>
  <c r="C28" i="10" s="1"/>
  <c r="N208" i="19"/>
  <c r="C29" i="10" s="1"/>
  <c r="N209" i="19"/>
  <c r="C30" i="10" s="1"/>
  <c r="C49" i="13" s="1"/>
  <c r="N210" i="19"/>
  <c r="N211" i="19"/>
  <c r="C32" i="10" s="1"/>
  <c r="N213" i="19"/>
  <c r="N214" i="19"/>
  <c r="N215" i="19"/>
  <c r="N216" i="19"/>
  <c r="N218" i="19"/>
  <c r="N219" i="19"/>
  <c r="N220" i="19"/>
  <c r="C41" i="10" s="1"/>
  <c r="N221" i="19"/>
  <c r="N222" i="19"/>
  <c r="N223" i="19"/>
  <c r="N224" i="19"/>
  <c r="N225" i="19"/>
  <c r="C46" i="10" s="1"/>
  <c r="N226" i="19"/>
  <c r="C47" i="10" s="1"/>
  <c r="N227" i="19"/>
  <c r="C48" i="10" s="1"/>
  <c r="N228" i="19"/>
  <c r="C49" i="10" s="1"/>
  <c r="N229" i="19"/>
  <c r="C50" i="10" s="1"/>
  <c r="N230" i="19"/>
  <c r="N232" i="19"/>
  <c r="N233" i="19"/>
  <c r="C55" i="10" s="1"/>
  <c r="N234" i="19"/>
  <c r="N235" i="19"/>
  <c r="N237" i="19"/>
  <c r="C59" i="10" s="1"/>
  <c r="N238" i="19"/>
  <c r="C60" i="10" s="1"/>
  <c r="N239" i="19"/>
  <c r="C61" i="10" s="1"/>
  <c r="N240" i="19"/>
  <c r="C62" i="10" s="1"/>
  <c r="M251" i="19"/>
  <c r="M244" i="19"/>
  <c r="M241" i="19" s="1"/>
  <c r="M248" i="19"/>
  <c r="M212" i="19"/>
  <c r="M217" i="19"/>
  <c r="M236" i="19"/>
  <c r="G251" i="19"/>
  <c r="G244" i="19"/>
  <c r="G248" i="19"/>
  <c r="G212" i="19"/>
  <c r="G217" i="19"/>
  <c r="G236" i="19"/>
  <c r="F251" i="19"/>
  <c r="F244" i="19"/>
  <c r="F241" i="19" s="1"/>
  <c r="F248" i="19"/>
  <c r="F212" i="19"/>
  <c r="F217" i="19"/>
  <c r="F236" i="19"/>
  <c r="E251" i="19"/>
  <c r="E244" i="19"/>
  <c r="E241" i="19" s="1"/>
  <c r="E248" i="19"/>
  <c r="E212" i="19"/>
  <c r="E217" i="19"/>
  <c r="E236" i="19"/>
  <c r="D251" i="19"/>
  <c r="D244" i="19"/>
  <c r="D241" i="19" s="1"/>
  <c r="D248" i="19"/>
  <c r="D212" i="19"/>
  <c r="D217" i="19"/>
  <c r="D236" i="19"/>
  <c r="AG253" i="19"/>
  <c r="AB253" i="19"/>
  <c r="AA253" i="19"/>
  <c r="Z253" i="19"/>
  <c r="S253" i="19"/>
  <c r="M253" i="19"/>
  <c r="G253" i="19"/>
  <c r="F253" i="19"/>
  <c r="E253" i="19"/>
  <c r="D253" i="19"/>
  <c r="C67" i="11"/>
  <c r="C164" i="10"/>
  <c r="D93" i="13" s="1"/>
  <c r="D92" i="13" s="1"/>
  <c r="D172" i="11"/>
  <c r="P100" i="13" s="1"/>
  <c r="D73" i="11"/>
  <c r="O99" i="13" s="1"/>
  <c r="D74" i="11"/>
  <c r="O100" i="13" s="1"/>
  <c r="D64" i="11"/>
  <c r="O90" i="13" s="1"/>
  <c r="D65" i="11"/>
  <c r="D14" i="11"/>
  <c r="O33" i="13" s="1"/>
  <c r="D15" i="11"/>
  <c r="O34" i="13" s="1"/>
  <c r="D17" i="11"/>
  <c r="D18" i="11"/>
  <c r="D19" i="11"/>
  <c r="D22" i="11"/>
  <c r="D23" i="11"/>
  <c r="D24" i="11"/>
  <c r="O44" i="13" s="1"/>
  <c r="D25" i="11"/>
  <c r="O45" i="13" s="1"/>
  <c r="D26" i="11"/>
  <c r="O46" i="13" s="1"/>
  <c r="D27" i="11"/>
  <c r="O47" i="13" s="1"/>
  <c r="D28" i="11"/>
  <c r="D29" i="11"/>
  <c r="O49" i="13" s="1"/>
  <c r="D30" i="11"/>
  <c r="O50" i="13" s="1"/>
  <c r="D31" i="11"/>
  <c r="D34" i="11"/>
  <c r="O54" i="13" s="1"/>
  <c r="D35" i="11"/>
  <c r="O55" i="13" s="1"/>
  <c r="D36" i="11"/>
  <c r="O56" i="13" s="1"/>
  <c r="D39" i="11"/>
  <c r="D40" i="11"/>
  <c r="O60" i="13" s="1"/>
  <c r="D41" i="11"/>
  <c r="D42" i="11"/>
  <c r="O62" i="13" s="1"/>
  <c r="D43" i="11"/>
  <c r="O63" i="13" s="1"/>
  <c r="D44" i="11"/>
  <c r="D45" i="11"/>
  <c r="O65" i="13" s="1"/>
  <c r="D46" i="11"/>
  <c r="D47" i="11"/>
  <c r="D48" i="11"/>
  <c r="O68" i="13" s="1"/>
  <c r="D49" i="11"/>
  <c r="D50" i="11"/>
  <c r="D53" i="11"/>
  <c r="O74" i="13" s="1"/>
  <c r="D54" i="11"/>
  <c r="O75" i="13" s="1"/>
  <c r="D55" i="11"/>
  <c r="O76" i="13" s="1"/>
  <c r="D58" i="11"/>
  <c r="O79" i="13" s="1"/>
  <c r="D59" i="11"/>
  <c r="O80" i="13" s="1"/>
  <c r="D60" i="11"/>
  <c r="O81" i="13" s="1"/>
  <c r="D171" i="10"/>
  <c r="D161" i="10"/>
  <c r="D162" i="10"/>
  <c r="N91" i="13" s="1"/>
  <c r="D109" i="10"/>
  <c r="D110" i="10"/>
  <c r="D112" i="10"/>
  <c r="D113" i="10"/>
  <c r="N37" i="13" s="1"/>
  <c r="D114" i="10"/>
  <c r="N38" i="13" s="1"/>
  <c r="D115" i="10"/>
  <c r="N39" i="13" s="1"/>
  <c r="D116" i="10"/>
  <c r="N40" i="13" s="1"/>
  <c r="D117" i="10"/>
  <c r="D118" i="10"/>
  <c r="D121" i="10"/>
  <c r="N45" i="13" s="1"/>
  <c r="D122" i="10"/>
  <c r="N46" i="13" s="1"/>
  <c r="D123" i="10"/>
  <c r="N47" i="13" s="1"/>
  <c r="D124" i="10"/>
  <c r="N48" i="13" s="1"/>
  <c r="D125" i="10"/>
  <c r="D127" i="10"/>
  <c r="D130" i="10"/>
  <c r="D132" i="10"/>
  <c r="N56" i="13" s="1"/>
  <c r="D135" i="10"/>
  <c r="N59" i="13" s="1"/>
  <c r="D136" i="10"/>
  <c r="N60" i="13" s="1"/>
  <c r="D137" i="10"/>
  <c r="D138" i="10"/>
  <c r="N62" i="13" s="1"/>
  <c r="D139" i="10"/>
  <c r="N63" i="13" s="1"/>
  <c r="D140" i="10"/>
  <c r="N64" i="13" s="1"/>
  <c r="D141" i="10"/>
  <c r="D142" i="10"/>
  <c r="D143" i="10"/>
  <c r="N67" i="13" s="1"/>
  <c r="D145" i="10"/>
  <c r="N69" i="13" s="1"/>
  <c r="D147" i="10"/>
  <c r="N71" i="13" s="1"/>
  <c r="D150" i="10"/>
  <c r="N74" i="13" s="1"/>
  <c r="D151" i="10"/>
  <c r="N75" i="13" s="1"/>
  <c r="D152" i="10"/>
  <c r="D155" i="10"/>
  <c r="D156" i="10"/>
  <c r="D74" i="10"/>
  <c r="H74" i="10" s="1"/>
  <c r="D75" i="10"/>
  <c r="H75" i="10" s="1"/>
  <c r="D65" i="10"/>
  <c r="D69" i="10"/>
  <c r="D68" i="10" s="1"/>
  <c r="D13" i="10"/>
  <c r="D39" i="10"/>
  <c r="D40" i="10"/>
  <c r="D41" i="10"/>
  <c r="D42" i="10"/>
  <c r="D44" i="10"/>
  <c r="D45" i="10"/>
  <c r="D46" i="10"/>
  <c r="D47" i="10"/>
  <c r="D48" i="10"/>
  <c r="D49" i="10"/>
  <c r="D50" i="10"/>
  <c r="D52" i="10"/>
  <c r="D54" i="10"/>
  <c r="D55" i="10"/>
  <c r="D56" i="10"/>
  <c r="D57" i="10"/>
  <c r="D59" i="10"/>
  <c r="D60" i="10"/>
  <c r="D61" i="10"/>
  <c r="D62" i="10"/>
  <c r="H174" i="8"/>
  <c r="H176" i="8" s="1"/>
  <c r="H8" i="8"/>
  <c r="H13" i="8" s="1"/>
  <c r="H14" i="8"/>
  <c r="H17" i="8"/>
  <c r="I139" i="8"/>
  <c r="K139" i="8" s="1"/>
  <c r="AU70" i="19"/>
  <c r="AU67" i="19"/>
  <c r="AU60" i="19" s="1"/>
  <c r="AP63" i="19"/>
  <c r="AP60" i="19" s="1"/>
  <c r="AP87" i="19" s="1"/>
  <c r="AQ55" i="19"/>
  <c r="AQ30" i="19"/>
  <c r="BD30" i="19" s="1"/>
  <c r="AQ8" i="19"/>
  <c r="BD8" i="19" s="1"/>
  <c r="H172" i="10"/>
  <c r="AG70" i="19"/>
  <c r="AG69" i="19" s="1"/>
  <c r="AG60" i="19"/>
  <c r="AB70" i="19"/>
  <c r="AB69" i="19" s="1"/>
  <c r="AA70" i="19"/>
  <c r="AA69" i="19" s="1"/>
  <c r="AA60" i="19"/>
  <c r="S70" i="19"/>
  <c r="S69" i="19" s="1"/>
  <c r="S67" i="19"/>
  <c r="S60" i="19" s="1"/>
  <c r="R70" i="19"/>
  <c r="AJ70" i="19" s="1"/>
  <c r="AB60" i="19"/>
  <c r="Z60" i="19"/>
  <c r="R67" i="19"/>
  <c r="AJ67" i="19" s="1"/>
  <c r="R63" i="19"/>
  <c r="AJ63" i="19" s="1"/>
  <c r="R55" i="19"/>
  <c r="AJ55" i="19" s="1"/>
  <c r="K85" i="13"/>
  <c r="L85" i="13" s="1"/>
  <c r="M110" i="13"/>
  <c r="Q110" i="13" s="1"/>
  <c r="M104" i="13"/>
  <c r="D51" i="12"/>
  <c r="D46" i="12"/>
  <c r="M109" i="13"/>
  <c r="M106" i="13"/>
  <c r="Q106" i="13" s="1"/>
  <c r="M112" i="13"/>
  <c r="Q112" i="13" s="1"/>
  <c r="D54" i="12"/>
  <c r="D17" i="12"/>
  <c r="M108" i="13"/>
  <c r="J108" i="13"/>
  <c r="E17" i="12"/>
  <c r="V109" i="13"/>
  <c r="U106" i="13"/>
  <c r="Y106" i="13"/>
  <c r="AC106" i="13"/>
  <c r="U105" i="13"/>
  <c r="Y105" i="13"/>
  <c r="AC105" i="13"/>
  <c r="I109" i="13"/>
  <c r="I115" i="13"/>
  <c r="I111" i="13"/>
  <c r="L111" i="13" s="1"/>
  <c r="U111" i="13"/>
  <c r="Y111" i="13"/>
  <c r="AC111" i="13"/>
  <c r="I110" i="13"/>
  <c r="L110" i="13" s="1"/>
  <c r="I103" i="13"/>
  <c r="L103" i="13" s="1"/>
  <c r="L106" i="13"/>
  <c r="I112" i="13"/>
  <c r="L112" i="13" s="1"/>
  <c r="I105" i="13"/>
  <c r="L105" i="13" s="1"/>
  <c r="C83" i="6"/>
  <c r="H110" i="12"/>
  <c r="L118" i="13"/>
  <c r="K84" i="13"/>
  <c r="L84" i="13" s="1"/>
  <c r="L88" i="13"/>
  <c r="L92" i="13"/>
  <c r="D104" i="12"/>
  <c r="D103" i="12" s="1"/>
  <c r="D102" i="12" s="1"/>
  <c r="D113" i="12" s="1"/>
  <c r="E104" i="12"/>
  <c r="E103" i="12" s="1"/>
  <c r="E102" i="12" s="1"/>
  <c r="E113" i="12" s="1"/>
  <c r="G104" i="12"/>
  <c r="H108" i="12"/>
  <c r="H111" i="12"/>
  <c r="H112" i="12"/>
  <c r="G102" i="12"/>
  <c r="G113" i="12" s="1"/>
  <c r="U103" i="13"/>
  <c r="Y103" i="13"/>
  <c r="AC103" i="13"/>
  <c r="E51" i="12"/>
  <c r="E46" i="12"/>
  <c r="E54" i="12"/>
  <c r="V115" i="13"/>
  <c r="Y115" i="13" s="1"/>
  <c r="F51" i="12"/>
  <c r="F46" i="12"/>
  <c r="F54" i="12"/>
  <c r="G51" i="12"/>
  <c r="G46" i="12"/>
  <c r="G54" i="12"/>
  <c r="U84" i="13"/>
  <c r="Y85" i="13"/>
  <c r="AC84" i="13"/>
  <c r="U85" i="13"/>
  <c r="AC85" i="13"/>
  <c r="D83" i="13"/>
  <c r="H83" i="13"/>
  <c r="H82" i="13" s="1"/>
  <c r="H128" i="13" s="1"/>
  <c r="H129" i="13" s="1"/>
  <c r="I83" i="13"/>
  <c r="I82" i="13" s="1"/>
  <c r="J83" i="13"/>
  <c r="J82" i="13" s="1"/>
  <c r="R83" i="13"/>
  <c r="R82" i="13" s="1"/>
  <c r="S83" i="13"/>
  <c r="S82" i="13" s="1"/>
  <c r="T83" i="13"/>
  <c r="T82" i="13" s="1"/>
  <c r="V83" i="13"/>
  <c r="V82" i="13" s="1"/>
  <c r="W83" i="13"/>
  <c r="W82" i="13" s="1"/>
  <c r="Z83" i="13"/>
  <c r="AA83" i="13"/>
  <c r="AB83" i="13"/>
  <c r="C83" i="13"/>
  <c r="E82" i="5"/>
  <c r="R57" i="13"/>
  <c r="S57" i="13"/>
  <c r="T57" i="13"/>
  <c r="U58" i="13"/>
  <c r="U59" i="13"/>
  <c r="U60" i="13"/>
  <c r="U61" i="13"/>
  <c r="U62" i="13"/>
  <c r="U63" i="13"/>
  <c r="U64" i="13"/>
  <c r="U65" i="13"/>
  <c r="U66" i="13"/>
  <c r="U67" i="13"/>
  <c r="U68" i="13"/>
  <c r="U69" i="13"/>
  <c r="U71" i="13"/>
  <c r="U31" i="13"/>
  <c r="U33" i="13"/>
  <c r="U34" i="13"/>
  <c r="U35" i="13"/>
  <c r="U36" i="13"/>
  <c r="U37" i="13"/>
  <c r="U38" i="13"/>
  <c r="U39" i="13"/>
  <c r="U40" i="13"/>
  <c r="U41" i="13"/>
  <c r="U42" i="13"/>
  <c r="U44" i="13"/>
  <c r="U45" i="13"/>
  <c r="U46" i="13"/>
  <c r="U47" i="13"/>
  <c r="U48" i="13"/>
  <c r="U49" i="13"/>
  <c r="U50" i="13"/>
  <c r="U51" i="13"/>
  <c r="U104" i="13"/>
  <c r="U108" i="13"/>
  <c r="U109" i="13"/>
  <c r="U110" i="13"/>
  <c r="U112" i="13"/>
  <c r="U113" i="13"/>
  <c r="U114" i="13"/>
  <c r="U116" i="13"/>
  <c r="U123" i="13"/>
  <c r="U94" i="13"/>
  <c r="V57" i="13"/>
  <c r="W57" i="13"/>
  <c r="X57" i="13"/>
  <c r="Y58" i="13"/>
  <c r="Y59" i="13"/>
  <c r="Y60" i="13"/>
  <c r="Y61" i="13"/>
  <c r="Y62" i="13"/>
  <c r="Y63" i="13"/>
  <c r="Y64" i="13"/>
  <c r="Y65" i="13"/>
  <c r="Y66" i="13"/>
  <c r="Y67" i="13"/>
  <c r="Y68" i="13"/>
  <c r="Y69" i="13"/>
  <c r="Y71" i="13"/>
  <c r="Z57" i="13"/>
  <c r="AA57" i="13"/>
  <c r="AB57" i="13"/>
  <c r="AC58" i="13"/>
  <c r="AC59" i="13"/>
  <c r="AC60" i="13"/>
  <c r="AC61" i="13"/>
  <c r="AC62" i="13"/>
  <c r="AC63" i="13"/>
  <c r="AC64" i="13"/>
  <c r="AC65" i="13"/>
  <c r="AC66" i="13"/>
  <c r="AC67" i="13"/>
  <c r="AC68" i="13"/>
  <c r="AC69" i="13"/>
  <c r="AC71" i="13"/>
  <c r="AC31" i="13"/>
  <c r="AC33" i="13"/>
  <c r="AC34" i="13"/>
  <c r="AC35" i="13"/>
  <c r="AC36" i="13"/>
  <c r="AC37" i="13"/>
  <c r="AC38" i="13"/>
  <c r="AC39" i="13"/>
  <c r="AC40" i="13"/>
  <c r="AC41" i="13"/>
  <c r="AC42" i="13"/>
  <c r="AC44" i="13"/>
  <c r="AC45" i="13"/>
  <c r="AC46" i="13"/>
  <c r="AC47" i="13"/>
  <c r="AC48" i="13"/>
  <c r="AC49" i="13"/>
  <c r="AC50" i="13"/>
  <c r="AC51" i="13"/>
  <c r="AC116" i="13"/>
  <c r="AC123" i="13"/>
  <c r="AC94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1" i="13"/>
  <c r="R30" i="13"/>
  <c r="S30" i="13"/>
  <c r="T30" i="13"/>
  <c r="V30" i="13"/>
  <c r="W30" i="13"/>
  <c r="X30" i="13"/>
  <c r="Y31" i="13"/>
  <c r="Y33" i="13"/>
  <c r="Y34" i="13"/>
  <c r="Y35" i="13"/>
  <c r="Y36" i="13"/>
  <c r="Y37" i="13"/>
  <c r="Y38" i="13"/>
  <c r="Y39" i="13"/>
  <c r="Y40" i="13"/>
  <c r="Y41" i="13"/>
  <c r="Y42" i="13"/>
  <c r="Y44" i="13"/>
  <c r="Y45" i="13"/>
  <c r="Y46" i="13"/>
  <c r="Y47" i="13"/>
  <c r="Y48" i="13"/>
  <c r="Y49" i="13"/>
  <c r="Y50" i="13"/>
  <c r="Y51" i="13"/>
  <c r="Y116" i="13"/>
  <c r="Y94" i="13"/>
  <c r="Z30" i="13"/>
  <c r="AA30" i="13"/>
  <c r="AB30" i="13"/>
  <c r="AB29" i="13" s="1"/>
  <c r="AB128" i="13" s="1"/>
  <c r="AB129" i="13" s="1"/>
  <c r="L31" i="13"/>
  <c r="L33" i="13"/>
  <c r="L34" i="13"/>
  <c r="L35" i="13"/>
  <c r="L36" i="13"/>
  <c r="L37" i="13"/>
  <c r="L38" i="13"/>
  <c r="L39" i="13"/>
  <c r="L40" i="13"/>
  <c r="L41" i="13"/>
  <c r="L42" i="13"/>
  <c r="L44" i="13"/>
  <c r="L45" i="13"/>
  <c r="L46" i="13"/>
  <c r="L47" i="13"/>
  <c r="L48" i="13"/>
  <c r="L49" i="13"/>
  <c r="L50" i="13"/>
  <c r="L51" i="13"/>
  <c r="H82" i="5"/>
  <c r="H78" i="5" s="1"/>
  <c r="L123" i="13"/>
  <c r="AD123" i="13" s="1"/>
  <c r="U125" i="13"/>
  <c r="AC125" i="13"/>
  <c r="U118" i="13"/>
  <c r="AC118" i="13"/>
  <c r="Y108" i="13"/>
  <c r="AC108" i="13"/>
  <c r="AC109" i="13"/>
  <c r="Y110" i="13"/>
  <c r="AC110" i="13"/>
  <c r="Y112" i="13"/>
  <c r="AC112" i="13"/>
  <c r="Y113" i="13"/>
  <c r="AC113" i="13"/>
  <c r="Y114" i="13"/>
  <c r="AC114" i="13"/>
  <c r="L96" i="13"/>
  <c r="K98" i="13"/>
  <c r="U99" i="13"/>
  <c r="Y99" i="13"/>
  <c r="AC99" i="13"/>
  <c r="L100" i="13"/>
  <c r="U100" i="13"/>
  <c r="Y100" i="13"/>
  <c r="AC100" i="13"/>
  <c r="L89" i="13"/>
  <c r="U89" i="13"/>
  <c r="Y89" i="13"/>
  <c r="AC89" i="13"/>
  <c r="L90" i="13"/>
  <c r="U90" i="13"/>
  <c r="Y90" i="13"/>
  <c r="AC90" i="13"/>
  <c r="L91" i="13"/>
  <c r="U91" i="13"/>
  <c r="Y91" i="13"/>
  <c r="AC91" i="13"/>
  <c r="L93" i="13"/>
  <c r="U93" i="13"/>
  <c r="Y93" i="13"/>
  <c r="AC93" i="13"/>
  <c r="L53" i="13"/>
  <c r="U53" i="13"/>
  <c r="Y53" i="13"/>
  <c r="AC53" i="13"/>
  <c r="L54" i="13"/>
  <c r="U54" i="13"/>
  <c r="Y54" i="13"/>
  <c r="AC54" i="13"/>
  <c r="L55" i="13"/>
  <c r="U55" i="13"/>
  <c r="Y55" i="13"/>
  <c r="AC55" i="13"/>
  <c r="L56" i="13"/>
  <c r="U56" i="13"/>
  <c r="Y56" i="13"/>
  <c r="AC56" i="13"/>
  <c r="L73" i="13"/>
  <c r="U73" i="13"/>
  <c r="Y73" i="13"/>
  <c r="AC73" i="13"/>
  <c r="L74" i="13"/>
  <c r="U74" i="13"/>
  <c r="Y74" i="13"/>
  <c r="AC74" i="13"/>
  <c r="L95" i="13"/>
  <c r="U88" i="13"/>
  <c r="Y88" i="13"/>
  <c r="AC88" i="13"/>
  <c r="U92" i="13"/>
  <c r="Y92" i="13"/>
  <c r="AC92" i="13"/>
  <c r="U95" i="13"/>
  <c r="Y95" i="13"/>
  <c r="AC95" i="13"/>
  <c r="Y104" i="13"/>
  <c r="AC104" i="13"/>
  <c r="U117" i="13"/>
  <c r="Y117" i="13"/>
  <c r="AC117" i="13"/>
  <c r="U124" i="13"/>
  <c r="AD124" i="13" s="1"/>
  <c r="AC124" i="13"/>
  <c r="E12" i="11"/>
  <c r="F12" i="11"/>
  <c r="G12" i="11"/>
  <c r="H71" i="11"/>
  <c r="C85" i="11"/>
  <c r="E99" i="13" s="1"/>
  <c r="C91" i="11"/>
  <c r="C90" i="11" s="1"/>
  <c r="E66" i="11"/>
  <c r="F66" i="11"/>
  <c r="G66" i="11"/>
  <c r="E56" i="11"/>
  <c r="E51" i="11" s="1"/>
  <c r="F56" i="11"/>
  <c r="F51" i="11" s="1"/>
  <c r="G56" i="11"/>
  <c r="G51" i="11" s="1"/>
  <c r="G187" i="10"/>
  <c r="G186" i="10" s="1"/>
  <c r="G181" i="10"/>
  <c r="G180" i="10" s="1"/>
  <c r="G165" i="10"/>
  <c r="G159" i="10"/>
  <c r="G163" i="10"/>
  <c r="G106" i="10"/>
  <c r="G128" i="10"/>
  <c r="G133" i="10"/>
  <c r="G153" i="10"/>
  <c r="F187" i="10"/>
  <c r="F186" i="10" s="1"/>
  <c r="F181" i="10"/>
  <c r="F180" i="10" s="1"/>
  <c r="F165" i="10"/>
  <c r="F159" i="10"/>
  <c r="F163" i="10"/>
  <c r="F106" i="10"/>
  <c r="F128" i="10"/>
  <c r="F133" i="10"/>
  <c r="F153" i="10"/>
  <c r="E187" i="10"/>
  <c r="E186" i="10" s="1"/>
  <c r="E181" i="10"/>
  <c r="E180" i="10" s="1"/>
  <c r="E165" i="10"/>
  <c r="E159" i="10"/>
  <c r="E163" i="10"/>
  <c r="E106" i="10"/>
  <c r="E128" i="10"/>
  <c r="E133" i="10"/>
  <c r="E153" i="10"/>
  <c r="D187" i="10"/>
  <c r="D186" i="10" s="1"/>
  <c r="D181" i="10"/>
  <c r="D180" i="10" s="1"/>
  <c r="C187" i="10"/>
  <c r="C181" i="10"/>
  <c r="E12" i="10"/>
  <c r="E33" i="10"/>
  <c r="E38" i="10"/>
  <c r="F12" i="10"/>
  <c r="F33" i="10"/>
  <c r="F38" i="10"/>
  <c r="G12" i="10"/>
  <c r="G33" i="10"/>
  <c r="G38" i="10"/>
  <c r="H92" i="11"/>
  <c r="H91" i="11" s="1"/>
  <c r="H90" i="11" s="1"/>
  <c r="G91" i="11"/>
  <c r="G90" i="11" s="1"/>
  <c r="F91" i="11"/>
  <c r="F90" i="11" s="1"/>
  <c r="E91" i="11"/>
  <c r="E90" i="11" s="1"/>
  <c r="D91" i="11"/>
  <c r="D90" i="11" s="1"/>
  <c r="H86" i="11"/>
  <c r="H85" i="11" s="1"/>
  <c r="H84" i="11" s="1"/>
  <c r="G85" i="11"/>
  <c r="G84" i="11" s="1"/>
  <c r="F85" i="11"/>
  <c r="F84" i="11" s="1"/>
  <c r="E85" i="11"/>
  <c r="E84" i="11" s="1"/>
  <c r="D85" i="11"/>
  <c r="D84" i="11" s="1"/>
  <c r="G71" i="11"/>
  <c r="G69" i="11" s="1"/>
  <c r="G68" i="11" s="1"/>
  <c r="F71" i="11"/>
  <c r="F69" i="11" s="1"/>
  <c r="F68" i="11" s="1"/>
  <c r="E71" i="11"/>
  <c r="E69" i="11" s="1"/>
  <c r="E68" i="11" s="1"/>
  <c r="G62" i="11"/>
  <c r="F62" i="11"/>
  <c r="E62" i="11"/>
  <c r="G37" i="11"/>
  <c r="F37" i="11"/>
  <c r="E37" i="11"/>
  <c r="G32" i="11"/>
  <c r="F32" i="11"/>
  <c r="E32" i="11"/>
  <c r="A4" i="11"/>
  <c r="A2" i="17"/>
  <c r="C15" i="17"/>
  <c r="H164" i="8"/>
  <c r="H166" i="8"/>
  <c r="I166" i="8" s="1"/>
  <c r="K166" i="8" s="1"/>
  <c r="K117" i="13"/>
  <c r="L117" i="13" s="1"/>
  <c r="G66" i="12" l="1"/>
  <c r="AD111" i="13"/>
  <c r="C110" i="14" s="1"/>
  <c r="AD106" i="13"/>
  <c r="AD117" i="13"/>
  <c r="F66" i="12"/>
  <c r="AD118" i="13"/>
  <c r="AD112" i="13"/>
  <c r="BD67" i="19"/>
  <c r="BD55" i="19"/>
  <c r="E41" i="13"/>
  <c r="H22" i="11"/>
  <c r="E34" i="13"/>
  <c r="H15" i="11"/>
  <c r="E31" i="13"/>
  <c r="F157" i="11"/>
  <c r="AD125" i="13"/>
  <c r="AD110" i="13"/>
  <c r="C109" i="14" s="1"/>
  <c r="AD105" i="13"/>
  <c r="E66" i="12"/>
  <c r="E121" i="12" s="1"/>
  <c r="D66" i="12"/>
  <c r="D121" i="12" s="1"/>
  <c r="N61" i="13"/>
  <c r="Z87" i="19"/>
  <c r="AG87" i="19"/>
  <c r="S87" i="19"/>
  <c r="C65" i="10"/>
  <c r="N242" i="19"/>
  <c r="AA87" i="19"/>
  <c r="G241" i="19"/>
  <c r="L98" i="13"/>
  <c r="K97" i="13"/>
  <c r="K94" i="13" s="1"/>
  <c r="AB87" i="19"/>
  <c r="C66" i="10"/>
  <c r="H51" i="12"/>
  <c r="H17" i="12"/>
  <c r="H46" i="12"/>
  <c r="A3" i="12"/>
  <c r="A3" i="14" s="1"/>
  <c r="AJ244" i="19"/>
  <c r="AJ253" i="19"/>
  <c r="AJ251" i="19"/>
  <c r="AJ248" i="19"/>
  <c r="C104" i="14"/>
  <c r="D104" i="14" s="1"/>
  <c r="H44" i="11"/>
  <c r="AC107" i="13"/>
  <c r="AC102" i="13" s="1"/>
  <c r="AA29" i="13"/>
  <c r="AA128" i="13" s="1"/>
  <c r="AA129" i="13" s="1"/>
  <c r="V107" i="13"/>
  <c r="V102" i="13" s="1"/>
  <c r="C111" i="14"/>
  <c r="L108" i="13"/>
  <c r="U107" i="13"/>
  <c r="U102" i="13" s="1"/>
  <c r="C124" i="14"/>
  <c r="D123" i="14" s="1"/>
  <c r="E122" i="14" s="1"/>
  <c r="Q108" i="13"/>
  <c r="M107" i="13"/>
  <c r="M102" i="13" s="1"/>
  <c r="C186" i="10"/>
  <c r="H186" i="10" s="1"/>
  <c r="H187" i="10"/>
  <c r="C180" i="10"/>
  <c r="H180" i="10" s="1"/>
  <c r="H181" i="10"/>
  <c r="Q104" i="13"/>
  <c r="L109" i="13"/>
  <c r="H16" i="8"/>
  <c r="O171" i="8"/>
  <c r="D67" i="10"/>
  <c r="M91" i="13" s="1"/>
  <c r="H59" i="10"/>
  <c r="C68" i="10"/>
  <c r="H69" i="10"/>
  <c r="H68" i="10" s="1"/>
  <c r="H171" i="8"/>
  <c r="H154" i="8"/>
  <c r="P192" i="8"/>
  <c r="P166" i="8"/>
  <c r="P139" i="8"/>
  <c r="D66" i="10"/>
  <c r="H66" i="10" s="1"/>
  <c r="H62" i="10"/>
  <c r="C67" i="10"/>
  <c r="BD220" i="19"/>
  <c r="H61" i="10"/>
  <c r="BD254" i="19"/>
  <c r="N253" i="19"/>
  <c r="P165" i="8"/>
  <c r="P162" i="8"/>
  <c r="D76" i="10"/>
  <c r="H76" i="10" s="1"/>
  <c r="H60" i="10"/>
  <c r="H65" i="10"/>
  <c r="BC190" i="19"/>
  <c r="AU189" i="19"/>
  <c r="BD252" i="19"/>
  <c r="P161" i="8"/>
  <c r="P163" i="8"/>
  <c r="P190" i="8"/>
  <c r="BD193" i="19"/>
  <c r="N248" i="19"/>
  <c r="BD191" i="19"/>
  <c r="C93" i="13"/>
  <c r="C92" i="13" s="1"/>
  <c r="M81" i="13"/>
  <c r="H47" i="10"/>
  <c r="C56" i="10"/>
  <c r="H56" i="10" s="1"/>
  <c r="H50" i="10"/>
  <c r="H46" i="10"/>
  <c r="C42" i="10"/>
  <c r="H42" i="10" s="1"/>
  <c r="C57" i="10"/>
  <c r="H57" i="10" s="1"/>
  <c r="C43" i="10"/>
  <c r="H55" i="10"/>
  <c r="H49" i="10"/>
  <c r="C45" i="10"/>
  <c r="H45" i="10" s="1"/>
  <c r="H41" i="10"/>
  <c r="BD215" i="19"/>
  <c r="D43" i="10"/>
  <c r="D38" i="10" s="1"/>
  <c r="C52" i="10"/>
  <c r="H52" i="10" s="1"/>
  <c r="C39" i="10"/>
  <c r="H39" i="10" s="1"/>
  <c r="D58" i="10"/>
  <c r="D53" i="10"/>
  <c r="C54" i="10"/>
  <c r="H48" i="10"/>
  <c r="C44" i="10"/>
  <c r="H44" i="10" s="1"/>
  <c r="C40" i="10"/>
  <c r="H40" i="10" s="1"/>
  <c r="AZ189" i="19"/>
  <c r="J114" i="13"/>
  <c r="J107" i="13" s="1"/>
  <c r="J102" i="13" s="1"/>
  <c r="J128" i="13" s="1"/>
  <c r="Q105" i="13"/>
  <c r="AQ63" i="19"/>
  <c r="BD63" i="19" s="1"/>
  <c r="L83" i="13"/>
  <c r="I15" i="8"/>
  <c r="K15" i="8" s="1"/>
  <c r="D16" i="11"/>
  <c r="O35" i="13" s="1"/>
  <c r="G250" i="19"/>
  <c r="C171" i="11"/>
  <c r="F96" i="13" s="1"/>
  <c r="F95" i="13" s="1"/>
  <c r="BD255" i="19"/>
  <c r="C126" i="11"/>
  <c r="F50" i="13" s="1"/>
  <c r="BD210" i="19"/>
  <c r="C140" i="11"/>
  <c r="F64" i="13" s="1"/>
  <c r="BD224" i="19"/>
  <c r="C150" i="11"/>
  <c r="F75" i="13" s="1"/>
  <c r="BD234" i="19"/>
  <c r="C155" i="11"/>
  <c r="F80" i="13" s="1"/>
  <c r="BD239" i="19"/>
  <c r="AU69" i="19"/>
  <c r="BB70" i="19"/>
  <c r="BD70" i="19" s="1"/>
  <c r="C112" i="11"/>
  <c r="C109" i="11"/>
  <c r="H109" i="11" s="1"/>
  <c r="C116" i="11"/>
  <c r="F39" i="13" s="1"/>
  <c r="BD199" i="19"/>
  <c r="C111" i="11"/>
  <c r="BD194" i="19"/>
  <c r="C125" i="11"/>
  <c r="F49" i="13" s="1"/>
  <c r="BD209" i="19"/>
  <c r="C134" i="11"/>
  <c r="F58" i="13" s="1"/>
  <c r="BD218" i="19"/>
  <c r="C139" i="11"/>
  <c r="F63" i="13" s="1"/>
  <c r="BD223" i="19"/>
  <c r="C149" i="11"/>
  <c r="F74" i="13" s="1"/>
  <c r="BD233" i="19"/>
  <c r="C154" i="11"/>
  <c r="F79" i="13" s="1"/>
  <c r="BD238" i="19"/>
  <c r="BB67" i="19"/>
  <c r="BB60" i="19"/>
  <c r="BD195" i="19"/>
  <c r="C122" i="11"/>
  <c r="F46" i="13" s="1"/>
  <c r="BD206" i="19"/>
  <c r="D15" i="17"/>
  <c r="BD228" i="19"/>
  <c r="C121" i="10"/>
  <c r="C119" i="11"/>
  <c r="F42" i="13" s="1"/>
  <c r="BD202" i="19"/>
  <c r="C115" i="11"/>
  <c r="F38" i="13" s="1"/>
  <c r="BD198" i="19"/>
  <c r="C110" i="11"/>
  <c r="F33" i="13" s="1"/>
  <c r="C146" i="11"/>
  <c r="F71" i="13" s="1"/>
  <c r="BD230" i="19"/>
  <c r="C138" i="11"/>
  <c r="F62" i="13" s="1"/>
  <c r="BD222" i="19"/>
  <c r="C148" i="11"/>
  <c r="F73" i="13" s="1"/>
  <c r="BD232" i="19"/>
  <c r="C161" i="11"/>
  <c r="F84" i="13" s="1"/>
  <c r="BD245" i="19"/>
  <c r="C136" i="11"/>
  <c r="F60" i="13" s="1"/>
  <c r="F158" i="10"/>
  <c r="AQ35" i="19"/>
  <c r="BD35" i="19" s="1"/>
  <c r="C172" i="11"/>
  <c r="BD256" i="19"/>
  <c r="C120" i="11"/>
  <c r="F44" i="13" s="1"/>
  <c r="BD204" i="19"/>
  <c r="BD201" i="19"/>
  <c r="BD197" i="19"/>
  <c r="C127" i="11"/>
  <c r="F51" i="13" s="1"/>
  <c r="BD211" i="19"/>
  <c r="C145" i="11"/>
  <c r="F70" i="13" s="1"/>
  <c r="BD229" i="19"/>
  <c r="BD221" i="19"/>
  <c r="BD235" i="19"/>
  <c r="C163" i="11"/>
  <c r="BD247" i="19"/>
  <c r="C124" i="11"/>
  <c r="F48" i="13" s="1"/>
  <c r="BD208" i="19"/>
  <c r="C113" i="11"/>
  <c r="F36" i="13" s="1"/>
  <c r="BD196" i="19"/>
  <c r="D82" i="6"/>
  <c r="C117" i="11"/>
  <c r="F40" i="13" s="1"/>
  <c r="BD200" i="19"/>
  <c r="C66" i="13"/>
  <c r="G66" i="13" s="1"/>
  <c r="BD226" i="19"/>
  <c r="C65" i="13"/>
  <c r="BD225" i="19"/>
  <c r="C67" i="13"/>
  <c r="BD227" i="19"/>
  <c r="C37" i="10"/>
  <c r="C56" i="13" s="1"/>
  <c r="BD216" i="19"/>
  <c r="M66" i="13"/>
  <c r="M65" i="13"/>
  <c r="M64" i="13"/>
  <c r="M60" i="13"/>
  <c r="M63" i="13"/>
  <c r="M59" i="13"/>
  <c r="D37" i="10"/>
  <c r="M56" i="13" s="1"/>
  <c r="D26" i="10"/>
  <c r="M45" i="13" s="1"/>
  <c r="D31" i="10"/>
  <c r="M50" i="13" s="1"/>
  <c r="D17" i="10"/>
  <c r="H17" i="10" s="1"/>
  <c r="D30" i="10"/>
  <c r="M49" i="13" s="1"/>
  <c r="D29" i="10"/>
  <c r="H29" i="10" s="1"/>
  <c r="C34" i="10"/>
  <c r="C53" i="13" s="1"/>
  <c r="BD213" i="19"/>
  <c r="P195" i="8"/>
  <c r="P214" i="8"/>
  <c r="H196" i="8"/>
  <c r="I17" i="8"/>
  <c r="K17" i="8" s="1"/>
  <c r="H18" i="8"/>
  <c r="H188" i="8"/>
  <c r="Q14" i="13"/>
  <c r="AD14" i="13" s="1"/>
  <c r="C35" i="10"/>
  <c r="C54" i="13" s="1"/>
  <c r="BD214" i="19"/>
  <c r="C123" i="11"/>
  <c r="F47" i="13" s="1"/>
  <c r="BD207" i="19"/>
  <c r="C78" i="13"/>
  <c r="BD237" i="19"/>
  <c r="C90" i="13"/>
  <c r="BD246" i="19"/>
  <c r="C135" i="11"/>
  <c r="F59" i="13" s="1"/>
  <c r="BD219" i="19"/>
  <c r="M68" i="13"/>
  <c r="C81" i="13"/>
  <c r="BD240" i="19"/>
  <c r="R69" i="19"/>
  <c r="AJ69" i="19" s="1"/>
  <c r="D170" i="11"/>
  <c r="P98" i="13" s="1"/>
  <c r="D168" i="11"/>
  <c r="P96" i="13" s="1"/>
  <c r="P95" i="13" s="1"/>
  <c r="D33" i="11"/>
  <c r="D32" i="11" s="1"/>
  <c r="D72" i="10"/>
  <c r="M89" i="13"/>
  <c r="D64" i="10"/>
  <c r="D63" i="10" s="1"/>
  <c r="M80" i="13"/>
  <c r="M79" i="13"/>
  <c r="M74" i="13"/>
  <c r="D131" i="10"/>
  <c r="H131" i="10" s="1"/>
  <c r="M99" i="13"/>
  <c r="D38" i="11"/>
  <c r="O58" i="13" s="1"/>
  <c r="D13" i="11"/>
  <c r="O31" i="13" s="1"/>
  <c r="D157" i="10"/>
  <c r="N81" i="13" s="1"/>
  <c r="D170" i="10"/>
  <c r="N99" i="13" s="1"/>
  <c r="M58" i="13"/>
  <c r="D134" i="10"/>
  <c r="N58" i="13" s="1"/>
  <c r="N103" i="13"/>
  <c r="D111" i="10"/>
  <c r="W29" i="13"/>
  <c r="W128" i="13" s="1"/>
  <c r="W129" i="13" s="1"/>
  <c r="I19" i="8"/>
  <c r="K19" i="8" s="1"/>
  <c r="I189" i="8"/>
  <c r="K189" i="8" s="1"/>
  <c r="I160" i="8"/>
  <c r="K160" i="8" s="1"/>
  <c r="O192" i="8"/>
  <c r="H45" i="18"/>
  <c r="H48" i="18"/>
  <c r="C48" i="13"/>
  <c r="C42" i="13"/>
  <c r="C38" i="13"/>
  <c r="G61" i="11"/>
  <c r="D250" i="19"/>
  <c r="C51" i="13"/>
  <c r="C47" i="13"/>
  <c r="C41" i="13"/>
  <c r="C37" i="13"/>
  <c r="C33" i="13"/>
  <c r="F82" i="5"/>
  <c r="F79" i="5"/>
  <c r="F250" i="19"/>
  <c r="C40" i="13"/>
  <c r="C36" i="13"/>
  <c r="C96" i="13"/>
  <c r="E61" i="11"/>
  <c r="M98" i="13"/>
  <c r="E250" i="19"/>
  <c r="M250" i="19"/>
  <c r="C44" i="13"/>
  <c r="C39" i="13"/>
  <c r="C35" i="13"/>
  <c r="E12" i="18"/>
  <c r="O69" i="13"/>
  <c r="O70" i="13"/>
  <c r="C69" i="13"/>
  <c r="C70" i="13"/>
  <c r="M69" i="13"/>
  <c r="R7" i="19"/>
  <c r="AJ7" i="19" s="1"/>
  <c r="X29" i="13"/>
  <c r="R29" i="13"/>
  <c r="R128" i="13" s="1"/>
  <c r="R129" i="13" s="1"/>
  <c r="E78" i="5"/>
  <c r="E85" i="5" s="1"/>
  <c r="C11" i="17" s="1"/>
  <c r="C167" i="10"/>
  <c r="C166" i="10" s="1"/>
  <c r="C59" i="11"/>
  <c r="E80" i="13" s="1"/>
  <c r="E77" i="13" s="1"/>
  <c r="C49" i="11"/>
  <c r="H49" i="11" s="1"/>
  <c r="C168" i="11"/>
  <c r="C145" i="10"/>
  <c r="H145" i="10" s="1"/>
  <c r="C146" i="10"/>
  <c r="C54" i="11"/>
  <c r="H54" i="11" s="1"/>
  <c r="D143" i="11"/>
  <c r="P67" i="13" s="1"/>
  <c r="D154" i="11"/>
  <c r="P79" i="13" s="1"/>
  <c r="BB212" i="19"/>
  <c r="D117" i="11"/>
  <c r="P40" i="13" s="1"/>
  <c r="N251" i="19"/>
  <c r="BB244" i="19"/>
  <c r="BB253" i="19"/>
  <c r="E11" i="11"/>
  <c r="D130" i="11"/>
  <c r="P54" i="13" s="1"/>
  <c r="D144" i="11"/>
  <c r="G158" i="10"/>
  <c r="D100" i="13"/>
  <c r="H171" i="10"/>
  <c r="C84" i="11"/>
  <c r="E98" i="13" s="1"/>
  <c r="E97" i="13" s="1"/>
  <c r="E94" i="13" s="1"/>
  <c r="E158" i="10"/>
  <c r="AQ50" i="19"/>
  <c r="BD50" i="19" s="1"/>
  <c r="D107" i="10"/>
  <c r="D169" i="10"/>
  <c r="N98" i="13" s="1"/>
  <c r="R190" i="19"/>
  <c r="AJ190" i="19" s="1"/>
  <c r="S241" i="19"/>
  <c r="D99" i="13"/>
  <c r="D120" i="11"/>
  <c r="P44" i="13" s="1"/>
  <c r="D126" i="11"/>
  <c r="P50" i="13" s="1"/>
  <c r="D116" i="11"/>
  <c r="P39" i="13" s="1"/>
  <c r="D150" i="11"/>
  <c r="P75" i="13" s="1"/>
  <c r="D156" i="11"/>
  <c r="P81" i="13" s="1"/>
  <c r="D163" i="11"/>
  <c r="P91" i="13" s="1"/>
  <c r="D149" i="10"/>
  <c r="N73" i="13" s="1"/>
  <c r="C153" i="10"/>
  <c r="O64" i="13"/>
  <c r="H45" i="11"/>
  <c r="C128" i="11"/>
  <c r="H27" i="11"/>
  <c r="E65" i="13"/>
  <c r="H35" i="11"/>
  <c r="O91" i="13"/>
  <c r="H65" i="11"/>
  <c r="H36" i="11"/>
  <c r="AC57" i="13"/>
  <c r="C182" i="11"/>
  <c r="F98" i="13" s="1"/>
  <c r="F97" i="13" s="1"/>
  <c r="F11" i="11"/>
  <c r="AC30" i="13"/>
  <c r="F61" i="11"/>
  <c r="S29" i="13"/>
  <c r="S128" i="13" s="1"/>
  <c r="S129" i="13" s="1"/>
  <c r="G107" i="11"/>
  <c r="Z29" i="13"/>
  <c r="Z128" i="13" s="1"/>
  <c r="Z129" i="13" s="1"/>
  <c r="G11" i="10"/>
  <c r="G92" i="10" s="1"/>
  <c r="F105" i="10"/>
  <c r="G11" i="11"/>
  <c r="C27" i="14"/>
  <c r="D26" i="14" s="1"/>
  <c r="V29" i="13"/>
  <c r="T29" i="13"/>
  <c r="T128" i="13" s="1"/>
  <c r="T129" i="13" s="1"/>
  <c r="R250" i="19"/>
  <c r="AJ250" i="19" s="1"/>
  <c r="AU250" i="19"/>
  <c r="AX189" i="19"/>
  <c r="AY189" i="19"/>
  <c r="F11" i="10"/>
  <c r="F92" i="10" s="1"/>
  <c r="E11" i="10"/>
  <c r="E92" i="10" s="1"/>
  <c r="U57" i="13"/>
  <c r="Q83" i="13"/>
  <c r="D161" i="11"/>
  <c r="Y57" i="13"/>
  <c r="AC83" i="13"/>
  <c r="C135" i="10"/>
  <c r="H135" i="10" s="1"/>
  <c r="C130" i="10"/>
  <c r="D54" i="13" s="1"/>
  <c r="C116" i="10"/>
  <c r="D40" i="13" s="1"/>
  <c r="C112" i="10"/>
  <c r="D36" i="13" s="1"/>
  <c r="C107" i="10"/>
  <c r="D31" i="13" s="1"/>
  <c r="C52" i="11"/>
  <c r="E73" i="13" s="1"/>
  <c r="C39" i="11"/>
  <c r="E59" i="13" s="1"/>
  <c r="C34" i="11"/>
  <c r="H34" i="11" s="1"/>
  <c r="E49" i="13"/>
  <c r="H29" i="11"/>
  <c r="C20" i="11"/>
  <c r="E39" i="13" s="1"/>
  <c r="C63" i="11"/>
  <c r="C70" i="11"/>
  <c r="C69" i="11" s="1"/>
  <c r="D149" i="11"/>
  <c r="P74" i="13" s="1"/>
  <c r="O48" i="13"/>
  <c r="H28" i="11"/>
  <c r="E90" i="13"/>
  <c r="C66" i="11"/>
  <c r="E89" i="13" s="1"/>
  <c r="C79" i="13"/>
  <c r="N236" i="19"/>
  <c r="C74" i="13"/>
  <c r="N217" i="19"/>
  <c r="C36" i="10"/>
  <c r="C55" i="13" s="1"/>
  <c r="N212" i="19"/>
  <c r="C31" i="10"/>
  <c r="C27" i="10"/>
  <c r="C89" i="13"/>
  <c r="N244" i="19"/>
  <c r="C118" i="11"/>
  <c r="F41" i="13" s="1"/>
  <c r="C114" i="11"/>
  <c r="F37" i="13" s="1"/>
  <c r="BB190" i="19"/>
  <c r="F55" i="13"/>
  <c r="C141" i="11"/>
  <c r="C137" i="11"/>
  <c r="F61" i="13" s="1"/>
  <c r="BB217" i="19"/>
  <c r="C151" i="11"/>
  <c r="C156" i="11"/>
  <c r="F81" i="13" s="1"/>
  <c r="BB236" i="19"/>
  <c r="D122" i="11"/>
  <c r="P46" i="13" s="1"/>
  <c r="D111" i="11"/>
  <c r="D131" i="11"/>
  <c r="H131" i="11" s="1"/>
  <c r="D145" i="11"/>
  <c r="D141" i="11"/>
  <c r="P65" i="13" s="1"/>
  <c r="D137" i="11"/>
  <c r="P61" i="13" s="1"/>
  <c r="D155" i="11"/>
  <c r="P80" i="13" s="1"/>
  <c r="D151" i="11"/>
  <c r="P76" i="13" s="1"/>
  <c r="Y30" i="13"/>
  <c r="U30" i="13"/>
  <c r="D129" i="10"/>
  <c r="O66" i="13"/>
  <c r="H46" i="11"/>
  <c r="D171" i="11"/>
  <c r="H64" i="11"/>
  <c r="E105" i="10"/>
  <c r="G105" i="10"/>
  <c r="D112" i="11"/>
  <c r="P35" i="13" s="1"/>
  <c r="D127" i="11"/>
  <c r="P51" i="13" s="1"/>
  <c r="D123" i="11"/>
  <c r="P47" i="13" s="1"/>
  <c r="D132" i="11"/>
  <c r="P56" i="13" s="1"/>
  <c r="D146" i="11"/>
  <c r="D142" i="11"/>
  <c r="D138" i="11"/>
  <c r="D162" i="11"/>
  <c r="P90" i="13" s="1"/>
  <c r="F107" i="11"/>
  <c r="D121" i="11"/>
  <c r="P45" i="13" s="1"/>
  <c r="D125" i="11"/>
  <c r="P49" i="13" s="1"/>
  <c r="D119" i="11"/>
  <c r="P42" i="13" s="1"/>
  <c r="D115" i="11"/>
  <c r="P38" i="13" s="1"/>
  <c r="D110" i="11"/>
  <c r="P33" i="13" s="1"/>
  <c r="D140" i="11"/>
  <c r="P64" i="13" s="1"/>
  <c r="D136" i="11"/>
  <c r="P60" i="13" s="1"/>
  <c r="E107" i="11"/>
  <c r="D124" i="11"/>
  <c r="D118" i="11"/>
  <c r="P41" i="13" s="1"/>
  <c r="D134" i="11"/>
  <c r="D139" i="11"/>
  <c r="P63" i="13" s="1"/>
  <c r="D135" i="11"/>
  <c r="M67" i="13"/>
  <c r="I113" i="13"/>
  <c r="L113" i="13" s="1"/>
  <c r="AD113" i="13" s="1"/>
  <c r="D144" i="10"/>
  <c r="N68" i="13" s="1"/>
  <c r="D36" i="10"/>
  <c r="M55" i="13" s="1"/>
  <c r="D35" i="10"/>
  <c r="M54" i="13" s="1"/>
  <c r="D34" i="10"/>
  <c r="D126" i="10"/>
  <c r="H126" i="10" s="1"/>
  <c r="D120" i="10"/>
  <c r="N44" i="13" s="1"/>
  <c r="D21" i="11"/>
  <c r="O40" i="13" s="1"/>
  <c r="D20" i="11"/>
  <c r="O39" i="13" s="1"/>
  <c r="D114" i="11"/>
  <c r="D113" i="11"/>
  <c r="D15" i="10"/>
  <c r="M34" i="13" s="1"/>
  <c r="E112" i="18"/>
  <c r="R60" i="19"/>
  <c r="AJ60" i="19" s="1"/>
  <c r="AN60" i="19"/>
  <c r="AA241" i="19"/>
  <c r="AG241" i="19"/>
  <c r="AG268" i="19" s="1"/>
  <c r="D33" i="22" s="1"/>
  <c r="F33" i="22" s="1"/>
  <c r="H55" i="11"/>
  <c r="G189" i="19"/>
  <c r="AW189" i="19"/>
  <c r="O37" i="13"/>
  <c r="H18" i="11"/>
  <c r="BB231" i="19"/>
  <c r="C25" i="11"/>
  <c r="F45" i="13"/>
  <c r="O51" i="13"/>
  <c r="H31" i="11"/>
  <c r="O38" i="13"/>
  <c r="H19" i="11"/>
  <c r="O36" i="13"/>
  <c r="H17" i="11"/>
  <c r="C71" i="11"/>
  <c r="M73" i="13"/>
  <c r="H26" i="11"/>
  <c r="R241" i="19"/>
  <c r="Z241" i="19"/>
  <c r="AB241" i="19"/>
  <c r="D189" i="19"/>
  <c r="M189" i="19"/>
  <c r="H30" i="11"/>
  <c r="H24" i="11"/>
  <c r="BB249" i="19"/>
  <c r="C165" i="11" s="1"/>
  <c r="N205" i="19"/>
  <c r="H42" i="11"/>
  <c r="H40" i="11"/>
  <c r="H60" i="11"/>
  <c r="H58" i="11"/>
  <c r="E44" i="13"/>
  <c r="C163" i="10"/>
  <c r="H43" i="11"/>
  <c r="E189" i="19"/>
  <c r="F53" i="13"/>
  <c r="H129" i="11"/>
  <c r="O67" i="13"/>
  <c r="H47" i="11"/>
  <c r="E74" i="13"/>
  <c r="H53" i="11"/>
  <c r="E68" i="13"/>
  <c r="H48" i="11"/>
  <c r="E53" i="13"/>
  <c r="E33" i="13"/>
  <c r="H14" i="11"/>
  <c r="F56" i="13"/>
  <c r="F85" i="13"/>
  <c r="G85" i="13" s="1"/>
  <c r="AD85" i="13" s="1"/>
  <c r="N231" i="19"/>
  <c r="AU241" i="19"/>
  <c r="BC241" i="19" s="1"/>
  <c r="BB251" i="19"/>
  <c r="A2" i="16"/>
  <c r="A1" i="17" s="1"/>
  <c r="D77" i="13"/>
  <c r="N22" i="18"/>
  <c r="C26" i="9"/>
  <c r="M71" i="13"/>
  <c r="F189" i="19"/>
  <c r="H143" i="10"/>
  <c r="D67" i="13"/>
  <c r="N79" i="13"/>
  <c r="H155" i="10"/>
  <c r="N76" i="13"/>
  <c r="H152" i="10"/>
  <c r="N90" i="13"/>
  <c r="H161" i="10"/>
  <c r="D68" i="13"/>
  <c r="H142" i="10"/>
  <c r="N66" i="13"/>
  <c r="N54" i="13"/>
  <c r="H127" i="10"/>
  <c r="N51" i="13"/>
  <c r="N49" i="13"/>
  <c r="H125" i="10"/>
  <c r="N42" i="13"/>
  <c r="H118" i="10"/>
  <c r="N36" i="13"/>
  <c r="N34" i="13"/>
  <c r="H110" i="10"/>
  <c r="N80" i="13"/>
  <c r="H156" i="10"/>
  <c r="N65" i="13"/>
  <c r="H141" i="10"/>
  <c r="H117" i="10"/>
  <c r="N41" i="13"/>
  <c r="H109" i="10"/>
  <c r="N33" i="13"/>
  <c r="N100" i="13"/>
  <c r="H151" i="10"/>
  <c r="D75" i="13"/>
  <c r="C148" i="10"/>
  <c r="D73" i="13"/>
  <c r="D63" i="13"/>
  <c r="H139" i="10"/>
  <c r="H137" i="10"/>
  <c r="D61" i="13"/>
  <c r="D56" i="13"/>
  <c r="H132" i="10"/>
  <c r="D47" i="13"/>
  <c r="H123" i="10"/>
  <c r="D38" i="13"/>
  <c r="H114" i="10"/>
  <c r="D98" i="13"/>
  <c r="C168" i="10"/>
  <c r="D74" i="13"/>
  <c r="H150" i="10"/>
  <c r="D71" i="13"/>
  <c r="H147" i="10"/>
  <c r="H140" i="10"/>
  <c r="D64" i="13"/>
  <c r="D62" i="13"/>
  <c r="H138" i="10"/>
  <c r="H136" i="10"/>
  <c r="D60" i="13"/>
  <c r="D58" i="13"/>
  <c r="H124" i="10"/>
  <c r="D48" i="13"/>
  <c r="D46" i="13"/>
  <c r="H122" i="10"/>
  <c r="D44" i="13"/>
  <c r="D39" i="13"/>
  <c r="H115" i="10"/>
  <c r="D37" i="13"/>
  <c r="H113" i="10"/>
  <c r="D91" i="13"/>
  <c r="D88" i="13" s="1"/>
  <c r="D82" i="13" s="1"/>
  <c r="H162" i="10"/>
  <c r="C159" i="10"/>
  <c r="O41" i="13"/>
  <c r="H50" i="11"/>
  <c r="O71" i="13"/>
  <c r="M61" i="13"/>
  <c r="O61" i="13"/>
  <c r="H41" i="11"/>
  <c r="H23" i="11"/>
  <c r="O42" i="13"/>
  <c r="O14" i="8"/>
  <c r="O16" i="8" s="1"/>
  <c r="D10" i="13"/>
  <c r="H9" i="9"/>
  <c r="O17" i="8"/>
  <c r="I8" i="8"/>
  <c r="O19" i="8"/>
  <c r="I174" i="8"/>
  <c r="M31" i="13"/>
  <c r="H13" i="10"/>
  <c r="C34" i="13"/>
  <c r="P63" i="8"/>
  <c r="C12" i="14"/>
  <c r="G30" i="9"/>
  <c r="I30" i="9"/>
  <c r="G24" i="9"/>
  <c r="C15" i="14"/>
  <c r="I24" i="9"/>
  <c r="J48" i="18"/>
  <c r="F112" i="18"/>
  <c r="I23" i="9"/>
  <c r="G23" i="9"/>
  <c r="I14" i="8"/>
  <c r="K14" i="8" s="1"/>
  <c r="P70" i="8"/>
  <c r="I164" i="8"/>
  <c r="K164" i="8" s="1"/>
  <c r="O174" i="8"/>
  <c r="O176" i="8" s="1"/>
  <c r="O133" i="8"/>
  <c r="O148" i="8" s="1"/>
  <c r="O149" i="8"/>
  <c r="O153" i="8" s="1"/>
  <c r="I149" i="8"/>
  <c r="H104" i="12"/>
  <c r="H109" i="12"/>
  <c r="L115" i="13"/>
  <c r="AD115" i="13" s="1"/>
  <c r="Q109" i="13"/>
  <c r="K116" i="13"/>
  <c r="Y109" i="13"/>
  <c r="Y107" i="13" s="1"/>
  <c r="Y102" i="13" s="1"/>
  <c r="H107" i="12"/>
  <c r="K83" i="13"/>
  <c r="K82" i="13" s="1"/>
  <c r="I104" i="13"/>
  <c r="L104" i="13" s="1"/>
  <c r="AD104" i="13" s="1"/>
  <c r="O59" i="13"/>
  <c r="C25" i="14"/>
  <c r="C24" i="14"/>
  <c r="I133" i="8"/>
  <c r="F103" i="12"/>
  <c r="X84" i="13"/>
  <c r="U83" i="13"/>
  <c r="U82" i="13" s="1"/>
  <c r="N53" i="13" l="1"/>
  <c r="D128" i="10"/>
  <c r="AJ87" i="19"/>
  <c r="AD108" i="13"/>
  <c r="C107" i="14" s="1"/>
  <c r="BC189" i="19"/>
  <c r="F93" i="13"/>
  <c r="F92" i="13" s="1"/>
  <c r="H168" i="11"/>
  <c r="H167" i="11" s="1"/>
  <c r="H166" i="11" s="1"/>
  <c r="F34" i="13"/>
  <c r="G34" i="13" s="1"/>
  <c r="H111" i="11"/>
  <c r="F35" i="13"/>
  <c r="H112" i="11"/>
  <c r="H13" i="11"/>
  <c r="L82" i="13"/>
  <c r="AD109" i="13"/>
  <c r="C108" i="14" s="1"/>
  <c r="D133" i="10"/>
  <c r="N31" i="13"/>
  <c r="Q31" i="13" s="1"/>
  <c r="AD31" i="13" s="1"/>
  <c r="D106" i="10"/>
  <c r="BD60" i="19"/>
  <c r="I148" i="8"/>
  <c r="K133" i="8"/>
  <c r="I153" i="8"/>
  <c r="K149" i="8"/>
  <c r="K153" i="8" s="1"/>
  <c r="I176" i="8"/>
  <c r="D111" i="18" s="1"/>
  <c r="K174" i="8"/>
  <c r="I13" i="8"/>
  <c r="K8" i="8"/>
  <c r="R87" i="19"/>
  <c r="AK88" i="19" s="1"/>
  <c r="H38" i="8"/>
  <c r="H210" i="8"/>
  <c r="AJ241" i="19"/>
  <c r="K128" i="13"/>
  <c r="V128" i="13"/>
  <c r="V129" i="13" s="1"/>
  <c r="E189" i="10"/>
  <c r="G189" i="10"/>
  <c r="F189" i="10"/>
  <c r="C14" i="14"/>
  <c r="C102" i="14"/>
  <c r="D102" i="14" s="1"/>
  <c r="C114" i="14"/>
  <c r="Q107" i="13"/>
  <c r="D268" i="19"/>
  <c r="D8" i="22" s="1"/>
  <c r="F8" i="22" s="1"/>
  <c r="M268" i="19"/>
  <c r="D17" i="22" s="1"/>
  <c r="F17" i="22" s="1"/>
  <c r="E268" i="19"/>
  <c r="D9" i="22" s="1"/>
  <c r="F9" i="22" s="1"/>
  <c r="F268" i="19"/>
  <c r="D10" i="22" s="1"/>
  <c r="F10" i="22" s="1"/>
  <c r="G268" i="19"/>
  <c r="D11" i="22" s="1"/>
  <c r="F11" i="22" s="1"/>
  <c r="C84" i="14"/>
  <c r="Q103" i="13"/>
  <c r="N102" i="13"/>
  <c r="C103" i="14"/>
  <c r="D103" i="14" s="1"/>
  <c r="AU87" i="19"/>
  <c r="BC87" i="19" s="1"/>
  <c r="AY268" i="19"/>
  <c r="AB268" i="19"/>
  <c r="AB90" i="19" s="1"/>
  <c r="AG270" i="19"/>
  <c r="AG271" i="19" s="1"/>
  <c r="AN87" i="19"/>
  <c r="AR87" i="19" s="1"/>
  <c r="BC88" i="19" s="1"/>
  <c r="AA268" i="19"/>
  <c r="Z268" i="19"/>
  <c r="D36" i="22"/>
  <c r="F36" i="22" s="1"/>
  <c r="BC250" i="19"/>
  <c r="AU268" i="19"/>
  <c r="D39" i="22" s="1"/>
  <c r="F39" i="22" s="1"/>
  <c r="S268" i="19"/>
  <c r="AW268" i="19"/>
  <c r="AW89" i="19" s="1"/>
  <c r="AZ268" i="19"/>
  <c r="AX268" i="19"/>
  <c r="AX89" i="19" s="1"/>
  <c r="N241" i="19"/>
  <c r="F191" i="11"/>
  <c r="M62" i="13"/>
  <c r="M57" i="13" s="1"/>
  <c r="G191" i="11"/>
  <c r="F31" i="13"/>
  <c r="G31" i="13" s="1"/>
  <c r="M90" i="13"/>
  <c r="M88" i="13" s="1"/>
  <c r="M100" i="13"/>
  <c r="M97" i="13" s="1"/>
  <c r="H67" i="10"/>
  <c r="H64" i="10" s="1"/>
  <c r="H63" i="10" s="1"/>
  <c r="I16" i="8"/>
  <c r="E11" i="18" s="1"/>
  <c r="C64" i="10"/>
  <c r="C63" i="10" s="1"/>
  <c r="C91" i="13"/>
  <c r="C88" i="13" s="1"/>
  <c r="C82" i="13" s="1"/>
  <c r="D85" i="18"/>
  <c r="I21" i="8"/>
  <c r="H21" i="18" s="1"/>
  <c r="M96" i="13"/>
  <c r="M95" i="13" s="1"/>
  <c r="D71" i="10"/>
  <c r="P164" i="8"/>
  <c r="BB189" i="19"/>
  <c r="I171" i="8"/>
  <c r="P15" i="8"/>
  <c r="E191" i="11"/>
  <c r="E93" i="11"/>
  <c r="C58" i="10"/>
  <c r="H16" i="11"/>
  <c r="H58" i="10"/>
  <c r="G93" i="11"/>
  <c r="C76" i="13"/>
  <c r="C63" i="13"/>
  <c r="G63" i="13" s="1"/>
  <c r="AD63" i="13" s="1"/>
  <c r="M36" i="13"/>
  <c r="M48" i="13"/>
  <c r="C80" i="13"/>
  <c r="C77" i="13" s="1"/>
  <c r="C58" i="13"/>
  <c r="G58" i="13" s="1"/>
  <c r="C59" i="13"/>
  <c r="H54" i="10"/>
  <c r="H53" i="10" s="1"/>
  <c r="C53" i="10"/>
  <c r="C64" i="13"/>
  <c r="G64" i="13" s="1"/>
  <c r="H43" i="10"/>
  <c r="H38" i="10" s="1"/>
  <c r="C73" i="13"/>
  <c r="G73" i="13" s="1"/>
  <c r="C71" i="13"/>
  <c r="G71" i="13" s="1"/>
  <c r="C62" i="13"/>
  <c r="G62" i="13" s="1"/>
  <c r="C61" i="13"/>
  <c r="G61" i="13" s="1"/>
  <c r="C75" i="13"/>
  <c r="Q60" i="13"/>
  <c r="C14" i="15"/>
  <c r="F93" i="11"/>
  <c r="G67" i="13"/>
  <c r="AD67" i="13" s="1"/>
  <c r="AG90" i="19"/>
  <c r="AQ7" i="19"/>
  <c r="BD7" i="19" s="1"/>
  <c r="G79" i="13"/>
  <c r="F69" i="13"/>
  <c r="C128" i="10"/>
  <c r="BD205" i="19"/>
  <c r="AQ60" i="19"/>
  <c r="H130" i="10"/>
  <c r="H37" i="10"/>
  <c r="O21" i="8"/>
  <c r="D45" i="13"/>
  <c r="H121" i="10"/>
  <c r="D11" i="17"/>
  <c r="BB69" i="19"/>
  <c r="BB87" i="19" s="1"/>
  <c r="C169" i="11"/>
  <c r="BB248" i="19"/>
  <c r="BB241" i="19" s="1"/>
  <c r="BD249" i="19"/>
  <c r="C160" i="11"/>
  <c r="H34" i="10"/>
  <c r="R189" i="19"/>
  <c r="AJ189" i="19" s="1"/>
  <c r="G78" i="13"/>
  <c r="C111" i="10"/>
  <c r="D35" i="13" s="1"/>
  <c r="G35" i="13" s="1"/>
  <c r="C69" i="5"/>
  <c r="H112" i="10"/>
  <c r="Q63" i="13"/>
  <c r="G49" i="13"/>
  <c r="AD49" i="13" s="1"/>
  <c r="F94" i="13"/>
  <c r="H30" i="10"/>
  <c r="C117" i="14"/>
  <c r="D116" i="14" s="1"/>
  <c r="E115" i="14" s="1"/>
  <c r="L116" i="13"/>
  <c r="AD116" i="13" s="1"/>
  <c r="C112" i="14"/>
  <c r="C91" i="19"/>
  <c r="K176" i="8"/>
  <c r="O18" i="8"/>
  <c r="P17" i="8"/>
  <c r="P18" i="8" s="1"/>
  <c r="I18" i="8"/>
  <c r="F21" i="18" s="1"/>
  <c r="O196" i="8"/>
  <c r="F114" i="18" s="1"/>
  <c r="K196" i="8"/>
  <c r="I196" i="8"/>
  <c r="F111" i="18" s="1"/>
  <c r="D114" i="18"/>
  <c r="O188" i="8"/>
  <c r="I188" i="8"/>
  <c r="E111" i="18" s="1"/>
  <c r="P19" i="8"/>
  <c r="I26" i="9"/>
  <c r="M18" i="13"/>
  <c r="D37" i="11"/>
  <c r="H38" i="11"/>
  <c r="M93" i="13"/>
  <c r="M92" i="13" s="1"/>
  <c r="G26" i="9"/>
  <c r="D69" i="13"/>
  <c r="M76" i="13"/>
  <c r="Q76" i="13" s="1"/>
  <c r="H154" i="11"/>
  <c r="O53" i="13"/>
  <c r="O52" i="13" s="1"/>
  <c r="G55" i="13"/>
  <c r="D63" i="11"/>
  <c r="O89" i="13" s="1"/>
  <c r="O88" i="13" s="1"/>
  <c r="H33" i="11"/>
  <c r="H32" i="11" s="1"/>
  <c r="D67" i="11"/>
  <c r="O93" i="13" s="1"/>
  <c r="O92" i="13" s="1"/>
  <c r="H157" i="10"/>
  <c r="D164" i="10"/>
  <c r="E54" i="13"/>
  <c r="G54" i="13" s="1"/>
  <c r="AD54" i="13" s="1"/>
  <c r="H163" i="11"/>
  <c r="C95" i="13"/>
  <c r="H143" i="11"/>
  <c r="M78" i="13"/>
  <c r="M77" i="13" s="1"/>
  <c r="N55" i="13"/>
  <c r="N52" i="13" s="1"/>
  <c r="D73" i="10"/>
  <c r="M53" i="13"/>
  <c r="M52" i="13" s="1"/>
  <c r="G48" i="13"/>
  <c r="G47" i="13"/>
  <c r="D59" i="13"/>
  <c r="G41" i="13"/>
  <c r="H134" i="10"/>
  <c r="D72" i="11"/>
  <c r="H170" i="10"/>
  <c r="H107" i="10"/>
  <c r="N35" i="13"/>
  <c r="N12" i="18"/>
  <c r="C25" i="9" s="1"/>
  <c r="M16" i="13" s="1"/>
  <c r="M13" i="13" s="1"/>
  <c r="F45" i="18"/>
  <c r="C114" i="18"/>
  <c r="D27" i="18"/>
  <c r="O54" i="18"/>
  <c r="O58" i="18"/>
  <c r="K13" i="8"/>
  <c r="K148" i="8"/>
  <c r="P90" i="8"/>
  <c r="D48" i="5"/>
  <c r="I48" i="5" s="1"/>
  <c r="D52" i="5"/>
  <c r="I52" i="5" s="1"/>
  <c r="D33" i="5"/>
  <c r="I33" i="5" s="1"/>
  <c r="D38" i="5"/>
  <c r="I38" i="5" s="1"/>
  <c r="D42" i="5"/>
  <c r="I42" i="5" s="1"/>
  <c r="D54" i="5"/>
  <c r="I54" i="5" s="1"/>
  <c r="I53" i="5" s="1"/>
  <c r="D18" i="5"/>
  <c r="I18" i="5" s="1"/>
  <c r="D32" i="5"/>
  <c r="I32" i="5" s="1"/>
  <c r="D37" i="5"/>
  <c r="I37" i="5" s="1"/>
  <c r="D43" i="5"/>
  <c r="I43" i="5" s="1"/>
  <c r="D29" i="5"/>
  <c r="I29" i="5" s="1"/>
  <c r="G42" i="13"/>
  <c r="Q79" i="13"/>
  <c r="AD79" i="13" s="1"/>
  <c r="G36" i="13"/>
  <c r="G51" i="13"/>
  <c r="D96" i="13"/>
  <c r="D95" i="13" s="1"/>
  <c r="G38" i="13"/>
  <c r="H72" i="10"/>
  <c r="H71" i="10" s="1"/>
  <c r="H125" i="11"/>
  <c r="F78" i="5"/>
  <c r="D112" i="18"/>
  <c r="C46" i="13"/>
  <c r="G46" i="13" s="1"/>
  <c r="C33" i="10"/>
  <c r="H36" i="10"/>
  <c r="AC29" i="13"/>
  <c r="AC128" i="13" s="1"/>
  <c r="AC129" i="13" s="1"/>
  <c r="C100" i="13"/>
  <c r="G100" i="13" s="1"/>
  <c r="C50" i="13"/>
  <c r="G50" i="13" s="1"/>
  <c r="H31" i="10"/>
  <c r="N250" i="19"/>
  <c r="N243" i="19" s="1"/>
  <c r="H35" i="10"/>
  <c r="H15" i="10"/>
  <c r="D23" i="14"/>
  <c r="H49" i="18"/>
  <c r="H50" i="18" s="1"/>
  <c r="H61" i="18" s="1"/>
  <c r="D15" i="5"/>
  <c r="I15" i="5" s="1"/>
  <c r="D20" i="5"/>
  <c r="I20" i="5" s="1"/>
  <c r="D34" i="5"/>
  <c r="I34" i="5" s="1"/>
  <c r="D39" i="5"/>
  <c r="I39" i="5" s="1"/>
  <c r="D57" i="5"/>
  <c r="I57" i="5" s="1"/>
  <c r="D45" i="5"/>
  <c r="I45" i="5" s="1"/>
  <c r="D16" i="5"/>
  <c r="I16" i="5" s="1"/>
  <c r="D21" i="5"/>
  <c r="I21" i="5" s="1"/>
  <c r="D26" i="5"/>
  <c r="I26" i="5" s="1"/>
  <c r="D31" i="5"/>
  <c r="I31" i="5" s="1"/>
  <c r="D49" i="5"/>
  <c r="I49" i="5" s="1"/>
  <c r="D44" i="5"/>
  <c r="I44" i="5" s="1"/>
  <c r="D14" i="5"/>
  <c r="I14" i="5" s="1"/>
  <c r="D24" i="5"/>
  <c r="I24" i="5" s="1"/>
  <c r="D51" i="5"/>
  <c r="I51" i="5" s="1"/>
  <c r="D13" i="5"/>
  <c r="I13" i="5" s="1"/>
  <c r="D40" i="5"/>
  <c r="I40" i="5" s="1"/>
  <c r="D50" i="5"/>
  <c r="I50" i="5" s="1"/>
  <c r="D41" i="5"/>
  <c r="I41" i="5" s="1"/>
  <c r="D58" i="5"/>
  <c r="I58" i="5" s="1"/>
  <c r="H117" i="11"/>
  <c r="H146" i="10"/>
  <c r="D70" i="13"/>
  <c r="H169" i="10"/>
  <c r="E69" i="13"/>
  <c r="E70" i="13"/>
  <c r="P69" i="13"/>
  <c r="Q69" i="13" s="1"/>
  <c r="P70" i="13"/>
  <c r="Q70" i="13" s="1"/>
  <c r="H116" i="11"/>
  <c r="M75" i="13"/>
  <c r="Q75" i="13" s="1"/>
  <c r="H126" i="11"/>
  <c r="Q81" i="13"/>
  <c r="Q67" i="13"/>
  <c r="U29" i="13"/>
  <c r="U128" i="13" s="1"/>
  <c r="U129" i="13" s="1"/>
  <c r="Q91" i="13"/>
  <c r="C133" i="10"/>
  <c r="F83" i="13"/>
  <c r="E75" i="13"/>
  <c r="C167" i="11"/>
  <c r="C56" i="11"/>
  <c r="C51" i="11" s="1"/>
  <c r="C26" i="10"/>
  <c r="C12" i="10" s="1"/>
  <c r="C133" i="11"/>
  <c r="H150" i="11"/>
  <c r="H156" i="11"/>
  <c r="G44" i="13"/>
  <c r="BB250" i="19"/>
  <c r="H130" i="11"/>
  <c r="H59" i="11"/>
  <c r="H120" i="11"/>
  <c r="Y29" i="13"/>
  <c r="D154" i="10"/>
  <c r="D153" i="10" s="1"/>
  <c r="P68" i="13"/>
  <c r="Q68" i="13" s="1"/>
  <c r="H144" i="11"/>
  <c r="D168" i="10"/>
  <c r="H149" i="10"/>
  <c r="H148" i="10" s="1"/>
  <c r="D148" i="10"/>
  <c r="N72" i="13"/>
  <c r="H119" i="11"/>
  <c r="Q65" i="13"/>
  <c r="H116" i="10"/>
  <c r="Q64" i="13"/>
  <c r="AD64" i="13" s="1"/>
  <c r="F77" i="13"/>
  <c r="H21" i="11"/>
  <c r="H140" i="11"/>
  <c r="H110" i="11"/>
  <c r="H137" i="11"/>
  <c r="Q45" i="13"/>
  <c r="H121" i="11"/>
  <c r="H123" i="11"/>
  <c r="H118" i="11"/>
  <c r="D12" i="11"/>
  <c r="C68" i="11"/>
  <c r="E91" i="13" s="1"/>
  <c r="E88" i="13" s="1"/>
  <c r="G74" i="13"/>
  <c r="N97" i="13"/>
  <c r="H129" i="10"/>
  <c r="H115" i="11"/>
  <c r="H139" i="11"/>
  <c r="H122" i="11"/>
  <c r="E93" i="13"/>
  <c r="E92" i="13" s="1"/>
  <c r="G92" i="13" s="1"/>
  <c r="G39" i="13"/>
  <c r="G40" i="13"/>
  <c r="H20" i="11"/>
  <c r="C32" i="11"/>
  <c r="C152" i="11"/>
  <c r="C147" i="11" s="1"/>
  <c r="H127" i="11"/>
  <c r="H136" i="11"/>
  <c r="G37" i="13"/>
  <c r="H120" i="10"/>
  <c r="H144" i="10"/>
  <c r="H149" i="11"/>
  <c r="C108" i="11"/>
  <c r="D17" i="5"/>
  <c r="I17" i="5" s="1"/>
  <c r="D35" i="5"/>
  <c r="I35" i="5" s="1"/>
  <c r="D19" i="5"/>
  <c r="I19" i="5" s="1"/>
  <c r="D25" i="5"/>
  <c r="I25" i="5" s="1"/>
  <c r="D30" i="5"/>
  <c r="I30" i="5" s="1"/>
  <c r="D133" i="11"/>
  <c r="D108" i="11"/>
  <c r="F52" i="13"/>
  <c r="P59" i="13"/>
  <c r="Q59" i="13" s="1"/>
  <c r="H135" i="11"/>
  <c r="P48" i="13"/>
  <c r="H124" i="11"/>
  <c r="P66" i="13"/>
  <c r="Q66" i="13" s="1"/>
  <c r="AD66" i="13" s="1"/>
  <c r="H142" i="11"/>
  <c r="F65" i="13"/>
  <c r="H141" i="11"/>
  <c r="D33" i="10"/>
  <c r="H39" i="11"/>
  <c r="C158" i="10"/>
  <c r="G56" i="13"/>
  <c r="AD56" i="13" s="1"/>
  <c r="H162" i="11"/>
  <c r="H155" i="11"/>
  <c r="H132" i="11"/>
  <c r="P58" i="13"/>
  <c r="Q58" i="13" s="1"/>
  <c r="AD58" i="13" s="1"/>
  <c r="C68" i="13"/>
  <c r="G68" i="13" s="1"/>
  <c r="AD68" i="13" s="1"/>
  <c r="H151" i="11"/>
  <c r="F76" i="13"/>
  <c r="H134" i="11"/>
  <c r="C37" i="11"/>
  <c r="H145" i="11"/>
  <c r="P34" i="13"/>
  <c r="Q34" i="13" s="1"/>
  <c r="C60" i="13"/>
  <c r="C38" i="10"/>
  <c r="C62" i="11"/>
  <c r="C61" i="11" s="1"/>
  <c r="E84" i="13"/>
  <c r="E83" i="13" s="1"/>
  <c r="D160" i="11"/>
  <c r="H161" i="11"/>
  <c r="P89" i="13"/>
  <c r="P88" i="13" s="1"/>
  <c r="Q56" i="13"/>
  <c r="N50" i="13"/>
  <c r="Q50" i="13" s="1"/>
  <c r="Q54" i="13"/>
  <c r="Q80" i="13"/>
  <c r="P62" i="13"/>
  <c r="H138" i="11"/>
  <c r="P71" i="13"/>
  <c r="Q71" i="13" s="1"/>
  <c r="AD71" i="13" s="1"/>
  <c r="H146" i="11"/>
  <c r="P99" i="13"/>
  <c r="D167" i="11"/>
  <c r="D166" i="11" s="1"/>
  <c r="P55" i="13"/>
  <c r="P52" i="13" s="1"/>
  <c r="D128" i="11"/>
  <c r="P37" i="13"/>
  <c r="H114" i="11"/>
  <c r="P36" i="13"/>
  <c r="H113" i="11"/>
  <c r="N190" i="19"/>
  <c r="H25" i="11"/>
  <c r="E45" i="13"/>
  <c r="C12" i="11"/>
  <c r="Q61" i="13"/>
  <c r="D52" i="13"/>
  <c r="G33" i="13"/>
  <c r="C165" i="10"/>
  <c r="G81" i="13"/>
  <c r="G53" i="13"/>
  <c r="F90" i="13"/>
  <c r="G90" i="13" s="1"/>
  <c r="C164" i="11"/>
  <c r="C10" i="13"/>
  <c r="G10" i="13" s="1"/>
  <c r="Q49" i="13"/>
  <c r="D97" i="13"/>
  <c r="D72" i="13"/>
  <c r="N57" i="13"/>
  <c r="O30" i="13"/>
  <c r="C112" i="18"/>
  <c r="P56" i="8"/>
  <c r="P65" i="8" s="1"/>
  <c r="C52" i="13"/>
  <c r="Q74" i="13"/>
  <c r="O57" i="13"/>
  <c r="Y84" i="13"/>
  <c r="X83" i="13"/>
  <c r="X82" i="13" s="1"/>
  <c r="F102" i="12"/>
  <c r="F113" i="12" s="1"/>
  <c r="H103" i="12"/>
  <c r="H102" i="12" s="1"/>
  <c r="H113" i="12" s="1"/>
  <c r="H133" i="11" l="1"/>
  <c r="AD74" i="13"/>
  <c r="AD50" i="13"/>
  <c r="C157" i="11"/>
  <c r="BD69" i="19"/>
  <c r="AD81" i="13"/>
  <c r="AD34" i="13"/>
  <c r="AD61" i="13"/>
  <c r="AD103" i="13"/>
  <c r="C101" i="14" s="1"/>
  <c r="D101" i="14" s="1"/>
  <c r="BJ102" i="19"/>
  <c r="BI82" i="19"/>
  <c r="F121" i="12"/>
  <c r="F122" i="12" s="1"/>
  <c r="X121" i="13"/>
  <c r="Y121" i="13" s="1"/>
  <c r="H108" i="11"/>
  <c r="C55" i="14"/>
  <c r="AQ87" i="19"/>
  <c r="BD87" i="19" s="1"/>
  <c r="BD268" i="19"/>
  <c r="N93" i="13"/>
  <c r="N92" i="13" s="1"/>
  <c r="D163" i="10"/>
  <c r="C73" i="14"/>
  <c r="I56" i="5"/>
  <c r="O38" i="8"/>
  <c r="H212" i="8"/>
  <c r="H215" i="8" s="1"/>
  <c r="C70" i="14"/>
  <c r="C82" i="18"/>
  <c r="I154" i="8"/>
  <c r="I38" i="8"/>
  <c r="I210" i="8"/>
  <c r="C85" i="18"/>
  <c r="E85" i="18" s="1"/>
  <c r="E27" i="9" s="1"/>
  <c r="O20" i="13" s="1"/>
  <c r="O19" i="13" s="1"/>
  <c r="O154" i="8"/>
  <c r="O210" i="8"/>
  <c r="P174" i="8"/>
  <c r="P176" i="8" s="1"/>
  <c r="I47" i="5"/>
  <c r="C48" i="14"/>
  <c r="C49" i="14"/>
  <c r="C60" i="14"/>
  <c r="C62" i="14"/>
  <c r="C63" i="14"/>
  <c r="C30" i="14"/>
  <c r="C67" i="14"/>
  <c r="C66" i="14"/>
  <c r="C53" i="14"/>
  <c r="C80" i="14"/>
  <c r="AZ270" i="19"/>
  <c r="AZ271" i="19" s="1"/>
  <c r="D43" i="22"/>
  <c r="F43" i="22" s="1"/>
  <c r="AY89" i="19"/>
  <c r="D42" i="22"/>
  <c r="F42" i="22" s="1"/>
  <c r="C33" i="14"/>
  <c r="AW270" i="19"/>
  <c r="AW271" i="19" s="1"/>
  <c r="D40" i="22"/>
  <c r="F40" i="22" s="1"/>
  <c r="AX270" i="19"/>
  <c r="AX271" i="19" s="1"/>
  <c r="D41" i="22"/>
  <c r="F41" i="22" s="1"/>
  <c r="S270" i="19"/>
  <c r="S271" i="19" s="1"/>
  <c r="D19" i="22"/>
  <c r="F19" i="22" s="1"/>
  <c r="Z270" i="19"/>
  <c r="Z271" i="19" s="1"/>
  <c r="D26" i="22"/>
  <c r="F26" i="22" s="1"/>
  <c r="AB270" i="19"/>
  <c r="AB271" i="19" s="1"/>
  <c r="D28" i="22"/>
  <c r="F28" i="22" s="1"/>
  <c r="AA270" i="19"/>
  <c r="AA271" i="19" s="1"/>
  <c r="D27" i="22"/>
  <c r="F27" i="22" s="1"/>
  <c r="Q102" i="13"/>
  <c r="Z90" i="19"/>
  <c r="BJ99" i="19" s="1"/>
  <c r="S90" i="19"/>
  <c r="BB268" i="19"/>
  <c r="BB89" i="19" s="1"/>
  <c r="AA90" i="19"/>
  <c r="AJ268" i="19"/>
  <c r="C190" i="10" s="1"/>
  <c r="AY270" i="19"/>
  <c r="AY271" i="19" s="1"/>
  <c r="AZ89" i="19"/>
  <c r="R268" i="19"/>
  <c r="Q62" i="13"/>
  <c r="AD62" i="13" s="1"/>
  <c r="D53" i="5"/>
  <c r="K171" i="8"/>
  <c r="F30" i="13"/>
  <c r="N11" i="18"/>
  <c r="Q90" i="13"/>
  <c r="AD90" i="13" s="1"/>
  <c r="M94" i="13"/>
  <c r="K16" i="8"/>
  <c r="P189" i="8"/>
  <c r="P196" i="8" s="1"/>
  <c r="Q100" i="13"/>
  <c r="AD100" i="13" s="1"/>
  <c r="AN270" i="19"/>
  <c r="AN271" i="19" s="1"/>
  <c r="M82" i="13"/>
  <c r="C166" i="11"/>
  <c r="F91" i="13" s="1"/>
  <c r="G91" i="13" s="1"/>
  <c r="AD91" i="13" s="1"/>
  <c r="F270" i="19"/>
  <c r="F271" i="19" s="1"/>
  <c r="D70" i="10"/>
  <c r="G75" i="13"/>
  <c r="AD75" i="13" s="1"/>
  <c r="AU270" i="19"/>
  <c r="AU271" i="19" s="1"/>
  <c r="BC268" i="19"/>
  <c r="P8" i="8"/>
  <c r="P13" i="8" s="1"/>
  <c r="P133" i="8"/>
  <c r="P148" i="8" s="1"/>
  <c r="D86" i="18"/>
  <c r="P14" i="8"/>
  <c r="P16" i="8" s="1"/>
  <c r="P160" i="8"/>
  <c r="P171" i="8" s="1"/>
  <c r="P149" i="8"/>
  <c r="P153" i="8" s="1"/>
  <c r="G59" i="13"/>
  <c r="AD59" i="13" s="1"/>
  <c r="D91" i="19"/>
  <c r="D270" i="19"/>
  <c r="D271" i="19" s="1"/>
  <c r="E270" i="19"/>
  <c r="E271" i="19" s="1"/>
  <c r="G91" i="19"/>
  <c r="G270" i="19"/>
  <c r="G271" i="19" s="1"/>
  <c r="M91" i="19"/>
  <c r="M270" i="19"/>
  <c r="M271" i="19" s="1"/>
  <c r="Q48" i="13"/>
  <c r="AD48" i="13" s="1"/>
  <c r="N189" i="19"/>
  <c r="N268" i="19" s="1"/>
  <c r="BD190" i="19"/>
  <c r="Q36" i="13"/>
  <c r="AD36" i="13" s="1"/>
  <c r="G80" i="13"/>
  <c r="AD80" i="13" s="1"/>
  <c r="C78" i="14"/>
  <c r="C72" i="13"/>
  <c r="E91" i="19"/>
  <c r="C106" i="10"/>
  <c r="C105" i="10" s="1"/>
  <c r="F91" i="19"/>
  <c r="AU89" i="19"/>
  <c r="F20" i="16"/>
  <c r="G19" i="16" s="1"/>
  <c r="D82" i="18"/>
  <c r="AN90" i="19"/>
  <c r="D30" i="13"/>
  <c r="H111" i="10"/>
  <c r="H106" i="10" s="1"/>
  <c r="H37" i="11"/>
  <c r="H128" i="10"/>
  <c r="K188" i="8"/>
  <c r="K21" i="8"/>
  <c r="D66" i="11"/>
  <c r="E14" i="18"/>
  <c r="N14" i="18" s="1"/>
  <c r="G77" i="13"/>
  <c r="E82" i="13"/>
  <c r="C57" i="13"/>
  <c r="C65" i="14"/>
  <c r="C31" i="15"/>
  <c r="C16" i="15"/>
  <c r="D47" i="5"/>
  <c r="D21" i="18"/>
  <c r="N21" i="18" s="1"/>
  <c r="K18" i="8"/>
  <c r="F28" i="18" s="1"/>
  <c r="F31" i="18" s="1"/>
  <c r="F33" i="18" s="1"/>
  <c r="K112" i="18"/>
  <c r="F25" i="9" s="1"/>
  <c r="O59" i="18"/>
  <c r="O61" i="18" s="1"/>
  <c r="M17" i="13"/>
  <c r="Q18" i="13"/>
  <c r="AD18" i="13" s="1"/>
  <c r="E52" i="13"/>
  <c r="G52" i="13" s="1"/>
  <c r="H67" i="11"/>
  <c r="H66" i="11" s="1"/>
  <c r="AK270" i="19"/>
  <c r="G69" i="13"/>
  <c r="AD69" i="13" s="1"/>
  <c r="D165" i="11"/>
  <c r="P93" i="13" s="1"/>
  <c r="P92" i="13" s="1"/>
  <c r="P82" i="13" s="1"/>
  <c r="H164" i="10"/>
  <c r="H163" i="10" s="1"/>
  <c r="O82" i="13"/>
  <c r="Q53" i="13"/>
  <c r="AD53" i="13" s="1"/>
  <c r="H63" i="11"/>
  <c r="H62" i="11" s="1"/>
  <c r="D62" i="11"/>
  <c r="D52" i="11"/>
  <c r="O73" i="13" s="1"/>
  <c r="O72" i="13" s="1"/>
  <c r="D70" i="11"/>
  <c r="D69" i="11" s="1"/>
  <c r="D68" i="11" s="1"/>
  <c r="D57" i="13"/>
  <c r="E57" i="13"/>
  <c r="O98" i="13"/>
  <c r="H168" i="10"/>
  <c r="C54" i="6"/>
  <c r="D53" i="6" s="1"/>
  <c r="P83" i="8"/>
  <c r="P84" i="8" s="1"/>
  <c r="F49" i="18"/>
  <c r="F50" i="18" s="1"/>
  <c r="F61" i="18" s="1"/>
  <c r="C111" i="18"/>
  <c r="I50" i="18"/>
  <c r="I61" i="18" s="1"/>
  <c r="G96" i="13"/>
  <c r="E114" i="18"/>
  <c r="K114" i="18" s="1"/>
  <c r="G93" i="13"/>
  <c r="P21" i="8"/>
  <c r="F115" i="18"/>
  <c r="F116" i="18" s="1"/>
  <c r="E76" i="18"/>
  <c r="E11" i="9" s="1"/>
  <c r="E20" i="13" s="1"/>
  <c r="E19" i="13" s="1"/>
  <c r="M72" i="13"/>
  <c r="E72" i="13"/>
  <c r="C99" i="13"/>
  <c r="G99" i="13" s="1"/>
  <c r="G83" i="13"/>
  <c r="C45" i="13"/>
  <c r="C30" i="13" s="1"/>
  <c r="H26" i="10"/>
  <c r="H133" i="10"/>
  <c r="I102" i="18"/>
  <c r="E74" i="18"/>
  <c r="E10" i="9" s="1"/>
  <c r="E16" i="13" s="1"/>
  <c r="E13" i="13" s="1"/>
  <c r="E77" i="18"/>
  <c r="I105" i="18"/>
  <c r="C33" i="6"/>
  <c r="C58" i="6"/>
  <c r="F76" i="5"/>
  <c r="C24" i="6"/>
  <c r="C15" i="6"/>
  <c r="C44" i="6"/>
  <c r="C14" i="6"/>
  <c r="C31" i="6"/>
  <c r="G70" i="13"/>
  <c r="AD70" i="13" s="1"/>
  <c r="H33" i="10"/>
  <c r="C11" i="10"/>
  <c r="H128" i="11"/>
  <c r="D57" i="11"/>
  <c r="D105" i="10"/>
  <c r="H154" i="10"/>
  <c r="H153" i="10" s="1"/>
  <c r="N78" i="13"/>
  <c r="N77" i="13" s="1"/>
  <c r="D153" i="11"/>
  <c r="H12" i="11"/>
  <c r="C52" i="6"/>
  <c r="D148" i="11"/>
  <c r="D167" i="10"/>
  <c r="D160" i="10"/>
  <c r="D159" i="10" s="1"/>
  <c r="C107" i="11"/>
  <c r="H160" i="11"/>
  <c r="N30" i="13"/>
  <c r="C11" i="11"/>
  <c r="C93" i="11" s="1"/>
  <c r="C51" i="6"/>
  <c r="C45" i="6"/>
  <c r="C40" i="6"/>
  <c r="C30" i="6"/>
  <c r="C25" i="6"/>
  <c r="C18" i="6"/>
  <c r="D12" i="5"/>
  <c r="I12" i="5" s="1"/>
  <c r="I11" i="5" s="1"/>
  <c r="I10" i="5" s="1"/>
  <c r="C50" i="6"/>
  <c r="C43" i="6"/>
  <c r="C39" i="6"/>
  <c r="C35" i="6"/>
  <c r="C29" i="6"/>
  <c r="C17" i="6"/>
  <c r="G60" i="13"/>
  <c r="AD60" i="13" s="1"/>
  <c r="C57" i="6"/>
  <c r="D56" i="5"/>
  <c r="C49" i="6"/>
  <c r="C42" i="6"/>
  <c r="C38" i="6"/>
  <c r="C34" i="6"/>
  <c r="C27" i="6"/>
  <c r="C21" i="6"/>
  <c r="C19" i="6"/>
  <c r="C16" i="6"/>
  <c r="C48" i="6"/>
  <c r="C41" i="6"/>
  <c r="C37" i="6"/>
  <c r="C32" i="6"/>
  <c r="C26" i="6"/>
  <c r="C20" i="6"/>
  <c r="C13" i="6"/>
  <c r="P73" i="8"/>
  <c r="G65" i="13"/>
  <c r="AD65" i="13" s="1"/>
  <c r="F57" i="13"/>
  <c r="P97" i="13"/>
  <c r="P94" i="13" s="1"/>
  <c r="Q99" i="13"/>
  <c r="G84" i="13"/>
  <c r="AD84" i="13" s="1"/>
  <c r="Q55" i="13"/>
  <c r="AD55" i="13" s="1"/>
  <c r="F72" i="13"/>
  <c r="G76" i="13"/>
  <c r="AD76" i="13" s="1"/>
  <c r="P57" i="13"/>
  <c r="P30" i="13"/>
  <c r="G9" i="9"/>
  <c r="C22" i="9"/>
  <c r="M10" i="13" s="1"/>
  <c r="Q10" i="13" s="1"/>
  <c r="AD10" i="13" s="1"/>
  <c r="E30" i="13"/>
  <c r="F89" i="13"/>
  <c r="I9" i="9"/>
  <c r="D94" i="13"/>
  <c r="G95" i="13"/>
  <c r="D107" i="18"/>
  <c r="Y83" i="13"/>
  <c r="AD83" i="13" s="1"/>
  <c r="H157" i="11" l="1"/>
  <c r="X128" i="13"/>
  <c r="BD189" i="19"/>
  <c r="BI94" i="19"/>
  <c r="K210" i="8"/>
  <c r="C93" i="10"/>
  <c r="N91" i="19"/>
  <c r="AJ90" i="19"/>
  <c r="BD269" i="19"/>
  <c r="C192" i="11"/>
  <c r="I46" i="5"/>
  <c r="P154" i="8"/>
  <c r="K38" i="8"/>
  <c r="K154" i="8"/>
  <c r="P210" i="8"/>
  <c r="P38" i="8"/>
  <c r="C21" i="9"/>
  <c r="C83" i="14"/>
  <c r="D82" i="14" s="1"/>
  <c r="C75" i="14"/>
  <c r="C79" i="14"/>
  <c r="C68" i="14"/>
  <c r="C90" i="14"/>
  <c r="C74" i="14"/>
  <c r="AJ270" i="19"/>
  <c r="AJ271" i="19" s="1"/>
  <c r="R270" i="19"/>
  <c r="R271" i="19" s="1"/>
  <c r="D18" i="22"/>
  <c r="C47" i="14"/>
  <c r="C99" i="14"/>
  <c r="C35" i="14"/>
  <c r="C89" i="14"/>
  <c r="C61" i="14"/>
  <c r="Q57" i="13"/>
  <c r="C33" i="15"/>
  <c r="D87" i="18"/>
  <c r="R90" i="19"/>
  <c r="C57" i="14"/>
  <c r="AP90" i="19"/>
  <c r="AP271" i="19"/>
  <c r="AQ270" i="19"/>
  <c r="AQ271" i="19" s="1"/>
  <c r="E115" i="18"/>
  <c r="E116" i="18" s="1"/>
  <c r="BB270" i="19"/>
  <c r="BB271" i="19" s="1"/>
  <c r="E82" i="18"/>
  <c r="D46" i="5"/>
  <c r="D61" i="11"/>
  <c r="D29" i="13"/>
  <c r="H28" i="18"/>
  <c r="H31" i="18" s="1"/>
  <c r="H33" i="18" s="1"/>
  <c r="C191" i="11"/>
  <c r="C86" i="18"/>
  <c r="E86" i="18" s="1"/>
  <c r="E28" i="9" s="1"/>
  <c r="O22" i="13" s="1"/>
  <c r="O21" i="13" s="1"/>
  <c r="E15" i="18"/>
  <c r="E17" i="18" s="1"/>
  <c r="E33" i="18" s="1"/>
  <c r="C69" i="14"/>
  <c r="J102" i="18"/>
  <c r="K102" i="18" s="1"/>
  <c r="G57" i="13"/>
  <c r="C59" i="14"/>
  <c r="C64" i="14"/>
  <c r="C54" i="14"/>
  <c r="J105" i="18"/>
  <c r="K105" i="18" s="1"/>
  <c r="C52" i="14"/>
  <c r="P16" i="13"/>
  <c r="K111" i="18"/>
  <c r="F21" i="9" s="1"/>
  <c r="F27" i="9"/>
  <c r="P20" i="13" s="1"/>
  <c r="P19" i="13" s="1"/>
  <c r="Q17" i="13"/>
  <c r="AD17" i="13" s="1"/>
  <c r="C18" i="14"/>
  <c r="D17" i="14" s="1"/>
  <c r="C9" i="13"/>
  <c r="C8" i="13" s="1"/>
  <c r="H165" i="11"/>
  <c r="H164" i="11" s="1"/>
  <c r="H61" i="11"/>
  <c r="Q93" i="13"/>
  <c r="AD93" i="13" s="1"/>
  <c r="D164" i="11"/>
  <c r="D157" i="11" s="1"/>
  <c r="O96" i="13"/>
  <c r="O95" i="13" s="1"/>
  <c r="H70" i="11"/>
  <c r="H69" i="11" s="1"/>
  <c r="H68" i="11" s="1"/>
  <c r="H52" i="11"/>
  <c r="AQ90" i="19"/>
  <c r="O97" i="13"/>
  <c r="Q98" i="13"/>
  <c r="C115" i="18"/>
  <c r="C116" i="18" s="1"/>
  <c r="F85" i="5"/>
  <c r="C13" i="17" s="1"/>
  <c r="D47" i="6"/>
  <c r="D11" i="5"/>
  <c r="D10" i="5" s="1"/>
  <c r="C29" i="13"/>
  <c r="G45" i="13"/>
  <c r="AD45" i="13" s="1"/>
  <c r="J49" i="18"/>
  <c r="D28" i="18"/>
  <c r="D31" i="18" s="1"/>
  <c r="D33" i="18" s="1"/>
  <c r="G72" i="13"/>
  <c r="E29" i="13"/>
  <c r="F107" i="18"/>
  <c r="F118" i="18" s="1"/>
  <c r="E73" i="18"/>
  <c r="E8" i="9" s="1"/>
  <c r="E9" i="13" s="1"/>
  <c r="E8" i="13" s="1"/>
  <c r="N29" i="13"/>
  <c r="D115" i="18"/>
  <c r="D116" i="18" s="1"/>
  <c r="D118" i="18" s="1"/>
  <c r="C98" i="13"/>
  <c r="H73" i="10"/>
  <c r="H70" i="10" s="1"/>
  <c r="C73" i="10"/>
  <c r="I22" i="9"/>
  <c r="H10" i="9"/>
  <c r="D56" i="6"/>
  <c r="C77" i="6"/>
  <c r="H105" i="10"/>
  <c r="P73" i="13"/>
  <c r="H148" i="11"/>
  <c r="H160" i="10"/>
  <c r="H159" i="10" s="1"/>
  <c r="H158" i="10" s="1"/>
  <c r="D158" i="10"/>
  <c r="N89" i="13"/>
  <c r="Q89" i="13" s="1"/>
  <c r="D166" i="10"/>
  <c r="D165" i="10" s="1"/>
  <c r="N96" i="13"/>
  <c r="H167" i="10"/>
  <c r="H153" i="11"/>
  <c r="H152" i="11" s="1"/>
  <c r="P78" i="13"/>
  <c r="P77" i="13" s="1"/>
  <c r="D152" i="11"/>
  <c r="D147" i="11" s="1"/>
  <c r="D107" i="11" s="1"/>
  <c r="H57" i="11"/>
  <c r="H56" i="11" s="1"/>
  <c r="O78" i="13"/>
  <c r="D56" i="11"/>
  <c r="D51" i="11" s="1"/>
  <c r="D11" i="11" s="1"/>
  <c r="C12" i="6"/>
  <c r="F29" i="13"/>
  <c r="G22" i="9"/>
  <c r="Q52" i="13"/>
  <c r="AD52" i="13" s="1"/>
  <c r="F88" i="13"/>
  <c r="F82" i="13" s="1"/>
  <c r="G89" i="13"/>
  <c r="AD89" i="13" s="1"/>
  <c r="H25" i="9"/>
  <c r="F11" i="9"/>
  <c r="F20" i="13" s="1"/>
  <c r="F19" i="13" s="1"/>
  <c r="F8" i="9"/>
  <c r="F9" i="13" s="1"/>
  <c r="F8" i="13" s="1"/>
  <c r="D78" i="18"/>
  <c r="E12" i="9"/>
  <c r="E22" i="13" s="1"/>
  <c r="E21" i="13" s="1"/>
  <c r="C78" i="18"/>
  <c r="C58" i="14"/>
  <c r="C10" i="14"/>
  <c r="Y82" i="13"/>
  <c r="D189" i="10" l="1"/>
  <c r="D191" i="10" s="1"/>
  <c r="AD57" i="13"/>
  <c r="I192" i="11"/>
  <c r="BI86" i="19"/>
  <c r="BI77" i="19" s="1"/>
  <c r="Y128" i="13"/>
  <c r="E24" i="16"/>
  <c r="F23" i="16" s="1"/>
  <c r="G22" i="16" s="1"/>
  <c r="X129" i="13"/>
  <c r="BJ96" i="19"/>
  <c r="M9" i="13"/>
  <c r="M8" i="13" s="1"/>
  <c r="P9" i="13"/>
  <c r="P8" i="13" s="1"/>
  <c r="D89" i="18"/>
  <c r="C87" i="18"/>
  <c r="C89" i="18" s="1"/>
  <c r="F18" i="22"/>
  <c r="D45" i="22"/>
  <c r="Q97" i="13"/>
  <c r="Q92" i="13"/>
  <c r="AD92" i="13" s="1"/>
  <c r="C20" i="13"/>
  <c r="C19" i="13" s="1"/>
  <c r="C70" i="10"/>
  <c r="C92" i="10" s="1"/>
  <c r="C94" i="10" s="1"/>
  <c r="D93" i="11"/>
  <c r="D191" i="11"/>
  <c r="D193" i="11" s="1"/>
  <c r="D51" i="14"/>
  <c r="N15" i="18"/>
  <c r="N17" i="18" s="1"/>
  <c r="C44" i="14"/>
  <c r="G30" i="13"/>
  <c r="G29" i="13" s="1"/>
  <c r="D56" i="14"/>
  <c r="H27" i="9"/>
  <c r="D11" i="6"/>
  <c r="E10" i="6" s="1"/>
  <c r="C11" i="15" s="1"/>
  <c r="P13" i="13"/>
  <c r="E7" i="13"/>
  <c r="E128" i="13" s="1"/>
  <c r="E129" i="13" s="1"/>
  <c r="K115" i="18"/>
  <c r="K116" i="18" s="1"/>
  <c r="H51" i="11"/>
  <c r="H11" i="11" s="1"/>
  <c r="H93" i="11" s="1"/>
  <c r="O94" i="13"/>
  <c r="E46" i="6"/>
  <c r="C13" i="15" s="1"/>
  <c r="I106" i="18"/>
  <c r="E107" i="18"/>
  <c r="E118" i="18" s="1"/>
  <c r="N28" i="18"/>
  <c r="C97" i="13"/>
  <c r="G97" i="13" s="1"/>
  <c r="G98" i="13"/>
  <c r="AD98" i="13" s="1"/>
  <c r="E76" i="6"/>
  <c r="C17" i="15" s="1"/>
  <c r="D77" i="6"/>
  <c r="H166" i="10"/>
  <c r="H165" i="10" s="1"/>
  <c r="H147" i="11"/>
  <c r="H107" i="11" s="1"/>
  <c r="H191" i="11" s="1"/>
  <c r="N95" i="13"/>
  <c r="N94" i="13" s="1"/>
  <c r="Q96" i="13"/>
  <c r="AD96" i="13" s="1"/>
  <c r="N88" i="13"/>
  <c r="N82" i="13" s="1"/>
  <c r="P72" i="13"/>
  <c r="P29" i="13" s="1"/>
  <c r="Q73" i="13"/>
  <c r="AD73" i="13" s="1"/>
  <c r="O77" i="13"/>
  <c r="O29" i="13" s="1"/>
  <c r="Q78" i="13"/>
  <c r="AD78" i="13" s="1"/>
  <c r="G88" i="13"/>
  <c r="H8" i="9"/>
  <c r="H11" i="9"/>
  <c r="E87" i="18"/>
  <c r="E21" i="9"/>
  <c r="C107" i="18"/>
  <c r="C118" i="18" s="1"/>
  <c r="E15" i="9"/>
  <c r="E78" i="18"/>
  <c r="E89" i="18" l="1"/>
  <c r="AD88" i="13"/>
  <c r="Y129" i="13"/>
  <c r="D13" i="17"/>
  <c r="D47" i="22"/>
  <c r="C72" i="14"/>
  <c r="D71" i="14" s="1"/>
  <c r="C77" i="14"/>
  <c r="D76" i="14" s="1"/>
  <c r="Q88" i="13"/>
  <c r="Q82" i="13" s="1"/>
  <c r="C88" i="14"/>
  <c r="D87" i="14" s="1"/>
  <c r="E81" i="14" s="1"/>
  <c r="C28" i="9"/>
  <c r="M22" i="13" s="1"/>
  <c r="M21" i="13" s="1"/>
  <c r="C94" i="13"/>
  <c r="C22" i="13"/>
  <c r="C21" i="13" s="1"/>
  <c r="C97" i="14"/>
  <c r="G82" i="13"/>
  <c r="AD82" i="13" s="1"/>
  <c r="J106" i="18"/>
  <c r="J107" i="18" s="1"/>
  <c r="J118" i="18" s="1"/>
  <c r="C92" i="14"/>
  <c r="D91" i="14" s="1"/>
  <c r="E31" i="9"/>
  <c r="O9" i="13"/>
  <c r="F28" i="9"/>
  <c r="P22" i="13" s="1"/>
  <c r="P21" i="13" s="1"/>
  <c r="P7" i="13" s="1"/>
  <c r="P128" i="13" s="1"/>
  <c r="Q77" i="13"/>
  <c r="AD77" i="13" s="1"/>
  <c r="Q72" i="13"/>
  <c r="AD72" i="13" s="1"/>
  <c r="Q95" i="13"/>
  <c r="AD95" i="13" s="1"/>
  <c r="C95" i="14"/>
  <c r="D94" i="14" s="1"/>
  <c r="H21" i="9"/>
  <c r="F12" i="9"/>
  <c r="F22" i="13" s="1"/>
  <c r="F21" i="13" s="1"/>
  <c r="F7" i="13" s="1"/>
  <c r="F128" i="13" s="1"/>
  <c r="I107" i="18"/>
  <c r="I118" i="18" s="1"/>
  <c r="F129" i="13" l="1"/>
  <c r="E14" i="16"/>
  <c r="G94" i="13"/>
  <c r="C28" i="15"/>
  <c r="O8" i="13"/>
  <c r="O7" i="13" s="1"/>
  <c r="O128" i="13" s="1"/>
  <c r="K106" i="18"/>
  <c r="K107" i="18" s="1"/>
  <c r="K118" i="18" s="1"/>
  <c r="Q94" i="13"/>
  <c r="F15" i="9"/>
  <c r="H12" i="9"/>
  <c r="H15" i="9" s="1"/>
  <c r="E13" i="16" l="1"/>
  <c r="F31" i="9"/>
  <c r="H28" i="9"/>
  <c r="H31" i="9" s="1"/>
  <c r="F12" i="16" l="1"/>
  <c r="C16" i="13" l="1"/>
  <c r="C13" i="13" l="1"/>
  <c r="C7" i="13" s="1"/>
  <c r="C15" i="9"/>
  <c r="D23" i="10" l="1"/>
  <c r="H23" i="10" s="1"/>
  <c r="D28" i="10"/>
  <c r="H28" i="10" s="1"/>
  <c r="D32" i="10"/>
  <c r="H32" i="10" s="1"/>
  <c r="D16" i="10"/>
  <c r="H16" i="10" s="1"/>
  <c r="D18" i="10"/>
  <c r="H18" i="10" s="1"/>
  <c r="D22" i="10"/>
  <c r="H22" i="10" s="1"/>
  <c r="D25" i="10"/>
  <c r="H25" i="10" s="1"/>
  <c r="D27" i="10"/>
  <c r="H27" i="10" s="1"/>
  <c r="D21" i="10"/>
  <c r="H21" i="10" s="1"/>
  <c r="D19" i="10"/>
  <c r="H19" i="10" s="1"/>
  <c r="D20" i="10"/>
  <c r="H20" i="10" s="1"/>
  <c r="M39" i="13" l="1"/>
  <c r="Q39" i="13" s="1"/>
  <c r="AD39" i="13" s="1"/>
  <c r="M40" i="13"/>
  <c r="Q40" i="13" s="1"/>
  <c r="AD40" i="13" s="1"/>
  <c r="M46" i="13"/>
  <c r="Q46" i="13" s="1"/>
  <c r="AD46" i="13" s="1"/>
  <c r="M41" i="13"/>
  <c r="Q41" i="13" s="1"/>
  <c r="AD41" i="13" s="1"/>
  <c r="M51" i="13"/>
  <c r="Q51" i="13" s="1"/>
  <c r="AD51" i="13" s="1"/>
  <c r="M38" i="13"/>
  <c r="Q38" i="13" s="1"/>
  <c r="AD38" i="13" s="1"/>
  <c r="M37" i="13"/>
  <c r="Q37" i="13" s="1"/>
  <c r="AD37" i="13" s="1"/>
  <c r="M44" i="13"/>
  <c r="Q44" i="13" s="1"/>
  <c r="AD44" i="13" s="1"/>
  <c r="M35" i="13"/>
  <c r="Q35" i="13" s="1"/>
  <c r="AD35" i="13" s="1"/>
  <c r="M47" i="13"/>
  <c r="Q47" i="13" s="1"/>
  <c r="AD47" i="13" s="1"/>
  <c r="M42" i="13"/>
  <c r="Q42" i="13" s="1"/>
  <c r="AD42" i="13" s="1"/>
  <c r="C43" i="14" l="1"/>
  <c r="C41" i="14"/>
  <c r="C45" i="14"/>
  <c r="C40" i="14"/>
  <c r="C36" i="14"/>
  <c r="C46" i="14"/>
  <c r="C37" i="14"/>
  <c r="C39" i="14"/>
  <c r="C34" i="14"/>
  <c r="C50" i="14"/>
  <c r="C38" i="14"/>
  <c r="D14" i="10" l="1"/>
  <c r="H14" i="10" l="1"/>
  <c r="H12" i="10" s="1"/>
  <c r="H11" i="10" s="1"/>
  <c r="H92" i="10" s="1"/>
  <c r="D12" i="10"/>
  <c r="D11" i="10" s="1"/>
  <c r="D92" i="10" s="1"/>
  <c r="D94" i="10" s="1"/>
  <c r="N270" i="19"/>
  <c r="N271" i="19" s="1"/>
  <c r="M33" i="13"/>
  <c r="Q33" i="13" l="1"/>
  <c r="AD33" i="13" s="1"/>
  <c r="M30" i="13"/>
  <c r="M29" i="13" s="1"/>
  <c r="Q30" i="13" l="1"/>
  <c r="AD30" i="13" s="1"/>
  <c r="C32" i="14"/>
  <c r="D29" i="14" s="1"/>
  <c r="Q29" i="13" l="1"/>
  <c r="AD29" i="13" l="1"/>
  <c r="E28" i="14"/>
  <c r="C27" i="15" l="1"/>
  <c r="J46" i="18"/>
  <c r="J50" i="18" l="1"/>
  <c r="J61" i="18" s="1"/>
  <c r="N27" i="18"/>
  <c r="N31" i="18" l="1"/>
  <c r="N33" i="18" s="1"/>
  <c r="C27" i="9"/>
  <c r="I34" i="9"/>
  <c r="M20" i="13" l="1"/>
  <c r="C31" i="9"/>
  <c r="M19" i="13" l="1"/>
  <c r="M7" i="13" s="1"/>
  <c r="M128" i="13" s="1"/>
  <c r="M101" i="8" l="1"/>
  <c r="I103" i="8"/>
  <c r="K103" i="8" s="1"/>
  <c r="M103" i="8"/>
  <c r="M96" i="8"/>
  <c r="M100" i="8" s="1"/>
  <c r="M112" i="8" l="1"/>
  <c r="M127" i="8" s="1"/>
  <c r="M212" i="8" s="1"/>
  <c r="P103" i="8"/>
  <c r="O101" i="8"/>
  <c r="O103" i="8"/>
  <c r="O96" i="8"/>
  <c r="O100" i="8" s="1"/>
  <c r="I96" i="8"/>
  <c r="Q46" i="18"/>
  <c r="I101" i="8"/>
  <c r="I112" i="8" l="1"/>
  <c r="S54" i="18" s="1"/>
  <c r="K101" i="8"/>
  <c r="K112" i="8" s="1"/>
  <c r="I100" i="8"/>
  <c r="K96" i="8"/>
  <c r="O112" i="8"/>
  <c r="S57" i="18" s="1"/>
  <c r="M215" i="8"/>
  <c r="V46" i="18"/>
  <c r="D25" i="9" s="1"/>
  <c r="I127" i="8" l="1"/>
  <c r="I212" i="8" s="1"/>
  <c r="I215" i="8" s="1"/>
  <c r="Q45" i="18"/>
  <c r="O127" i="8"/>
  <c r="O212" i="8" s="1"/>
  <c r="O215" i="8" s="1"/>
  <c r="K100" i="8"/>
  <c r="K127" i="8" s="1"/>
  <c r="K212" i="8" s="1"/>
  <c r="N16" i="13"/>
  <c r="G25" i="9"/>
  <c r="I25" i="9"/>
  <c r="Q48" i="18"/>
  <c r="V48" i="18" s="1"/>
  <c r="S58" i="18"/>
  <c r="V58" i="18" s="1"/>
  <c r="V57" i="18"/>
  <c r="P101" i="8"/>
  <c r="P112" i="8" s="1"/>
  <c r="V45" i="18"/>
  <c r="P96" i="8"/>
  <c r="P100" i="8" s="1"/>
  <c r="D16" i="13"/>
  <c r="I10" i="9"/>
  <c r="Q49" i="18"/>
  <c r="G10" i="9"/>
  <c r="P127" i="8" l="1"/>
  <c r="P212" i="8" s="1"/>
  <c r="P215" i="8" s="1"/>
  <c r="P239" i="8" s="1"/>
  <c r="N13" i="13"/>
  <c r="Q16" i="13"/>
  <c r="Q13" i="13" s="1"/>
  <c r="D20" i="13"/>
  <c r="G20" i="13" s="1"/>
  <c r="D27" i="9"/>
  <c r="N20" i="13" s="1"/>
  <c r="K215" i="8"/>
  <c r="S59" i="18"/>
  <c r="V54" i="18"/>
  <c r="D21" i="9" s="1"/>
  <c r="G21" i="9" s="1"/>
  <c r="V49" i="18"/>
  <c r="Q50" i="18"/>
  <c r="Q61" i="18" s="1"/>
  <c r="S50" i="18"/>
  <c r="G11" i="9"/>
  <c r="G16" i="13"/>
  <c r="AD16" i="13" s="1"/>
  <c r="D13" i="13"/>
  <c r="I11" i="9"/>
  <c r="G8" i="9"/>
  <c r="G19" i="13" l="1"/>
  <c r="S61" i="18"/>
  <c r="N119" i="18"/>
  <c r="C16" i="14"/>
  <c r="I27" i="9"/>
  <c r="G27" i="9"/>
  <c r="D19" i="13"/>
  <c r="D22" i="13"/>
  <c r="D21" i="13" s="1"/>
  <c r="D28" i="9"/>
  <c r="V59" i="18"/>
  <c r="N19" i="13"/>
  <c r="Q20" i="13"/>
  <c r="AD20" i="13" s="1"/>
  <c r="I12" i="9"/>
  <c r="V50" i="18"/>
  <c r="G12" i="9"/>
  <c r="G15" i="9" s="1"/>
  <c r="S38" i="8"/>
  <c r="G13" i="13"/>
  <c r="AD13" i="13" s="1"/>
  <c r="D9" i="13"/>
  <c r="D8" i="13" s="1"/>
  <c r="D15" i="9"/>
  <c r="I8" i="9"/>
  <c r="V61" i="18" l="1"/>
  <c r="N118" i="18" s="1"/>
  <c r="N120" i="18" s="1"/>
  <c r="N121" i="18" s="1"/>
  <c r="G22" i="13"/>
  <c r="D7" i="13"/>
  <c r="D128" i="13" s="1"/>
  <c r="D129" i="13" s="1"/>
  <c r="G28" i="9"/>
  <c r="N22" i="13"/>
  <c r="I28" i="9"/>
  <c r="D13" i="14"/>
  <c r="Q19" i="13"/>
  <c r="AD19" i="13" s="1"/>
  <c r="C20" i="14"/>
  <c r="D19" i="14" s="1"/>
  <c r="D31" i="9"/>
  <c r="I21" i="9"/>
  <c r="N9" i="13"/>
  <c r="I15" i="9"/>
  <c r="G9" i="13"/>
  <c r="G21" i="13" l="1"/>
  <c r="G31" i="9"/>
  <c r="I31" i="9"/>
  <c r="Q22" i="13"/>
  <c r="AD22" i="13" s="1"/>
  <c r="N21" i="13"/>
  <c r="N8" i="13"/>
  <c r="Q9" i="13"/>
  <c r="AD9" i="13" s="1"/>
  <c r="BI95" i="19"/>
  <c r="BJ95" i="19" s="1"/>
  <c r="G8" i="13"/>
  <c r="BI91" i="19" l="1"/>
  <c r="BI79" i="19" s="1"/>
  <c r="I33" i="9"/>
  <c r="I35" i="9" s="1"/>
  <c r="N7" i="13"/>
  <c r="N128" i="13" s="1"/>
  <c r="E11" i="16" s="1"/>
  <c r="Q8" i="13"/>
  <c r="AD8" i="13" s="1"/>
  <c r="C9" i="14"/>
  <c r="Q21" i="13"/>
  <c r="AD21" i="13" s="1"/>
  <c r="C22" i="14"/>
  <c r="D21" i="14" s="1"/>
  <c r="G7" i="13"/>
  <c r="BI92" i="19" l="1"/>
  <c r="BJ97" i="19"/>
  <c r="I39" i="9"/>
  <c r="I40" i="9" s="1"/>
  <c r="K35" i="9"/>
  <c r="C46" i="22"/>
  <c r="C47" i="22" s="1"/>
  <c r="Q7" i="13"/>
  <c r="Q128" i="13" s="1"/>
  <c r="D8" i="14"/>
  <c r="AD7" i="13" l="1"/>
  <c r="F46" i="22"/>
  <c r="E7" i="14"/>
  <c r="Q129" i="13"/>
  <c r="C26" i="15" l="1"/>
  <c r="D9" i="17"/>
  <c r="F50" i="4"/>
  <c r="D36" i="5" l="1"/>
  <c r="H52" i="4" l="1"/>
  <c r="H54" i="4" s="1"/>
  <c r="D23" i="5"/>
  <c r="D22" i="5" s="1"/>
  <c r="I36" i="5"/>
  <c r="I23" i="5" s="1"/>
  <c r="I22" i="5" s="1"/>
  <c r="C36" i="6"/>
  <c r="D23" i="6" l="1"/>
  <c r="E22" i="6" s="1"/>
  <c r="C12" i="15" s="1"/>
  <c r="H178" i="10" l="1"/>
  <c r="H189" i="10" s="1"/>
  <c r="J191" i="11" s="1"/>
  <c r="C189" i="10"/>
  <c r="I191" i="11" l="1"/>
  <c r="I193" i="11" s="1"/>
  <c r="I189" i="10"/>
  <c r="H56" i="12"/>
  <c r="H54" i="12"/>
  <c r="I114" i="13" l="1"/>
  <c r="L114" i="13" l="1"/>
  <c r="AD114" i="13" s="1"/>
  <c r="I107" i="13"/>
  <c r="I102" i="13" s="1"/>
  <c r="C113" i="14" l="1"/>
  <c r="L107" i="13"/>
  <c r="AD107" i="13" s="1"/>
  <c r="D106" i="14" l="1"/>
  <c r="L102" i="13"/>
  <c r="AD102" i="13" s="1"/>
  <c r="E100" i="14" l="1"/>
  <c r="C30" i="15" l="1"/>
  <c r="L99" i="13"/>
  <c r="AD99" i="13" s="1"/>
  <c r="I97" i="13"/>
  <c r="I94" i="13" l="1"/>
  <c r="L97" i="13"/>
  <c r="AD97" i="13" s="1"/>
  <c r="C98" i="14"/>
  <c r="D96" i="14" l="1"/>
  <c r="L94" i="13"/>
  <c r="AD94" i="13" s="1"/>
  <c r="I128" i="13"/>
  <c r="E18" i="16" l="1"/>
  <c r="F16" i="16" s="1"/>
  <c r="I129" i="13"/>
  <c r="L128" i="13"/>
  <c r="E93" i="14"/>
  <c r="C29" i="15" l="1"/>
  <c r="G15" i="16"/>
  <c r="I38" i="9" l="1"/>
  <c r="BG96" i="19" l="1"/>
  <c r="BG97" i="19"/>
  <c r="E37" i="7"/>
  <c r="C62" i="12" l="1"/>
  <c r="H62" i="12" l="1"/>
  <c r="C61" i="12"/>
  <c r="C122" i="13"/>
  <c r="C121" i="13" s="1"/>
  <c r="G122" i="13"/>
  <c r="G121" i="13"/>
  <c r="AD121" i="13" s="1"/>
  <c r="AD128" i="13" s="1"/>
  <c r="C128" i="13"/>
  <c r="H61" i="12" l="1"/>
  <c r="C66" i="12"/>
  <c r="C116" i="12" s="1"/>
  <c r="AD122" i="13"/>
  <c r="C121" i="14" s="1"/>
  <c r="C127" i="14" s="1"/>
  <c r="E10" i="16"/>
  <c r="E25" i="16" s="1"/>
  <c r="C129" i="13"/>
  <c r="BJ103" i="19"/>
  <c r="AD129" i="13"/>
  <c r="G128" i="13"/>
  <c r="G129" i="13" s="1"/>
  <c r="E7" i="22" l="1"/>
  <c r="H66" i="12"/>
  <c r="C121" i="12" s="1"/>
  <c r="BI81" i="19"/>
  <c r="D120" i="14"/>
  <c r="D127" i="14" s="1"/>
  <c r="F9" i="16"/>
  <c r="G8" i="16" s="1"/>
  <c r="G25" i="16" s="1"/>
  <c r="E120" i="14"/>
  <c r="P133" i="13"/>
  <c r="D7" i="17"/>
  <c r="D17" i="17" s="1"/>
  <c r="AE128" i="13"/>
  <c r="AE129" i="13" s="1"/>
  <c r="C122" i="12"/>
  <c r="K26" i="7"/>
  <c r="E28" i="7" s="1"/>
  <c r="C32" i="15" l="1"/>
  <c r="C34" i="15" s="1"/>
  <c r="E127" i="14"/>
  <c r="F127" i="14" s="1"/>
  <c r="BJ100" i="19"/>
  <c r="BJ101" i="19" s="1"/>
  <c r="BJ104" i="19" s="1"/>
  <c r="E45" i="22"/>
  <c r="F7" i="22"/>
  <c r="F25" i="16"/>
  <c r="BJ105" i="19"/>
  <c r="BJ106" i="19" s="1"/>
  <c r="G27" i="16"/>
  <c r="C81" i="5"/>
  <c r="E47" i="22" l="1"/>
  <c r="F45" i="22"/>
  <c r="F47" i="22" s="1"/>
  <c r="C79" i="5"/>
  <c r="C78" i="5" s="1"/>
  <c r="C85" i="5" s="1"/>
  <c r="C7" i="17" s="1"/>
  <c r="BG91" i="19"/>
  <c r="BG99" i="19" s="1"/>
  <c r="E38" i="7"/>
  <c r="F64" i="4" s="1"/>
  <c r="D81" i="5"/>
  <c r="D79" i="5" s="1"/>
  <c r="D78" i="5" s="1"/>
  <c r="D85" i="5" s="1"/>
  <c r="C9" i="17" s="1"/>
  <c r="F66" i="4" l="1"/>
  <c r="G64" i="4"/>
  <c r="C17" i="17"/>
  <c r="D20" i="17" s="1"/>
  <c r="I81" i="5"/>
  <c r="I79" i="5" s="1"/>
  <c r="I78" i="5" s="1"/>
  <c r="I85" i="5" s="1"/>
  <c r="BG92" i="19"/>
  <c r="I86" i="5" l="1"/>
  <c r="C81" i="6"/>
  <c r="D79" i="6" s="1"/>
  <c r="C84" i="6" l="1"/>
  <c r="E78" i="6"/>
  <c r="D84" i="6"/>
  <c r="C18" i="15" l="1"/>
  <c r="C20" i="15" s="1"/>
  <c r="C36" i="15" s="1"/>
  <c r="E84" i="6"/>
  <c r="BH83" i="19" l="1"/>
  <c r="C87" i="6"/>
  <c r="BI76" i="19"/>
  <c r="BI78" i="19" s="1"/>
  <c r="BI80" i="19" s="1"/>
  <c r="BI83" i="19" s="1"/>
  <c r="BG83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NAVEGANTE</author>
  </authors>
  <commentList>
    <comment ref="D4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Multiplicar el ingreso del 2004 por el porcentaje de crecimiento</t>
        </r>
      </text>
    </comment>
    <comment ref="E4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Multiplicar el ingreso del 2004 por el porcentaje de crecimiento</t>
        </r>
      </text>
    </comment>
    <comment ref="F4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Multiplicar el ingreso del 2004 por el porcentaje de crecimiento</t>
        </r>
      </text>
    </comment>
    <comment ref="G4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Multiplicar el ingreso del 2004 por el porcentaje de crecimiento</t>
        </r>
      </text>
    </comment>
    <comment ref="H4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Multiplicar el ingreso del 2004 por el porcentaje de crecimiento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Gte Admon Financiero</author>
  </authors>
  <commentList>
    <comment ref="G12" authorId="0" shapeId="0" xr:uid="{0FFB6AC1-584A-467A-8354-A78F7F446E57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Saldo mas anticipo pendient de amortizar</t>
        </r>
      </text>
    </comment>
    <comment ref="M14" authorId="0" shapeId="0" xr:uid="{CAEDE4CE-87D4-4C4F-A7E8-F23568D0D067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Saldo mas anticipo pendiente de amortizar</t>
        </r>
      </text>
    </comment>
    <comment ref="K16" authorId="0" shapeId="0" xr:uid="{FFD8769F-EAB0-4721-8FAB-44AE352E9C78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Saldos iniciales, incluido reintegro por $30,000 de funcionamiento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Gte Admon Financiero</author>
    <author>FINANCIERO</author>
    <author>Hermes Hernández</author>
  </authors>
  <commentList>
    <comment ref="G5" authorId="0" shapeId="0" xr:uid="{EE070B63-CB11-4137-96C0-7761BCFE57BE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Se ha propuesto nivelacion salarial para jefaturas y gerencia</t>
        </r>
      </text>
    </comment>
    <comment ref="H68" authorId="1" shapeId="0" xr:uid="{035559C1-A967-4612-B5EB-EE026EBA6E9E}">
      <text>
        <r>
          <rPr>
            <b/>
            <sz val="9"/>
            <color indexed="81"/>
            <rFont val="Tahoma"/>
            <family val="2"/>
          </rPr>
          <t>FINANCIERO:</t>
        </r>
        <r>
          <rPr>
            <sz val="9"/>
            <color indexed="81"/>
            <rFont val="Tahoma"/>
            <family val="2"/>
          </rPr>
          <t xml:space="preserve">
$365.00</t>
        </r>
      </text>
    </comment>
    <comment ref="B85" authorId="2" shapeId="0" xr:uid="{00000000-0006-0000-0500-000003000000}">
      <text>
        <r>
          <rPr>
            <b/>
            <sz val="9"/>
            <color indexed="81"/>
            <rFont val="Tahoma"/>
            <family val="2"/>
          </rPr>
          <t>Hermes Hernández:</t>
        </r>
        <r>
          <rPr>
            <sz val="9"/>
            <color indexed="81"/>
            <rFont val="Tahoma"/>
            <family val="2"/>
          </rPr>
          <t xml:space="preserve">
No esta ocupada la plaza, se pretendía crear esta unidad para tener respaldo de la ordenanza municipal por el cobro de permisos de construcción.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Gte Admon Financiero</author>
  </authors>
  <commentList>
    <comment ref="J23" authorId="0" shapeId="0" xr:uid="{B61EA47F-8356-4BCD-8C45-1504F0C5D225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presupuesto inicial $8,252.90
</t>
        </r>
      </text>
    </comment>
    <comment ref="M23" authorId="0" shapeId="0" xr:uid="{8724AE81-7BE1-45DE-B46D-98A6867286C8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Presupuesto inicial $12,760.00</t>
        </r>
      </text>
    </comment>
    <comment ref="J40" authorId="0" shapeId="0" xr:uid="{A1CA4E0F-AF8C-4B97-982D-B32AAE448B2E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presupuesto inicial $15,575</t>
        </r>
      </text>
    </comment>
    <comment ref="D46" authorId="0" shapeId="0" xr:uid="{5ACF1A5A-07BE-4FA7-A094-C1E0E317242B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Estaban $305</t>
        </r>
      </text>
    </comment>
    <comment ref="H56" authorId="0" shapeId="0" xr:uid="{7DAA6736-EEAD-40D0-AE2A-510A148F06B7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Consultar ejecución de este gasto</t>
        </r>
      </text>
    </comment>
    <comment ref="F59" authorId="0" shapeId="0" xr:uid="{908C6F51-9DAE-43E8-A60E-0394F7B0055A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Auditoria externa</t>
        </r>
      </text>
    </comment>
    <comment ref="G59" authorId="0" shapeId="0" xr:uid="{041CC528-4220-47E6-87F9-73EB59418C3B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Consultar sobre la ejecucion de este gasto $14,500.00</t>
        </r>
      </text>
    </comment>
    <comment ref="C64" authorId="0" shapeId="0" xr:uid="{E39A649D-39BD-4D71-946C-FE7958966C19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Fianzas de fidelidad</t>
        </r>
      </text>
    </comment>
    <comment ref="R64" authorId="0" shapeId="0" xr:uid="{31D0F658-EDA1-4494-9EAB-43E56DF7438F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Adicionar $650 para fianzas de fidelidad a Concejo Municipal</t>
        </r>
      </text>
    </comment>
    <comment ref="AD68" authorId="0" shapeId="0" xr:uid="{03D819F6-4646-4B89-8865-DAAD651ABC04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+ Gastos funcionamiento de CAIPIs</t>
        </r>
      </text>
    </comment>
    <comment ref="AD75" authorId="0" shapeId="0" xr:uid="{E8EEF140-8C53-4E2A-88C3-ABEE4F0ED953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Becas para bachillerato</t>
        </r>
      </text>
    </comment>
    <comment ref="AE77" authorId="0" shapeId="0" xr:uid="{6D0B27BD-869E-497E-B08D-F4895869A781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Estaciones de reciclaje y equipamiento de unidad ambiental</t>
        </r>
      </text>
    </comment>
    <comment ref="AZ77" authorId="0" shapeId="0" xr:uid="{7CDAFFF4-2078-4DC3-A025-0D1012306D7D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pendiente de revisar CAM</t>
        </r>
      </text>
    </comment>
    <comment ref="I80" authorId="0" shapeId="0" xr:uid="{C89D6CB3-6C6F-4C76-97FF-EDECAC5813F4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Habian $1,050, </t>
        </r>
      </text>
    </comment>
    <comment ref="M80" authorId="0" shapeId="0" xr:uid="{AF92E3CF-24A6-4322-999D-799FB50D3D8F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Presupuesto inicial 60,850.00</t>
        </r>
      </text>
    </comment>
    <comment ref="J81" authorId="0" shapeId="0" xr:uid="{0B7AA49B-1595-4BCF-8DC0-B1BE01D78698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se disminuyó lo de cámaras por $4,198, y se adicionan $1000</t>
        </r>
      </text>
    </comment>
    <comment ref="Z81" authorId="0" shapeId="0" xr:uid="{66E718A3-492A-458C-98E3-E15828B6A868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sillas plasticas + mesas</t>
        </r>
      </text>
    </comment>
    <comment ref="M82" authorId="0" shapeId="0" xr:uid="{483E6C8F-BA36-464F-8931-EF3C66B32BE5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presupuesto inicial 45,400.00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Gte Admon Financiero</author>
  </authors>
  <commentList>
    <comment ref="G7" authorId="0" shapeId="0" xr:uid="{C3412C9B-E8BC-467D-8142-C1A5871B837C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Proyeccion de cuentas por pagar según tesorería
</t>
        </r>
      </text>
    </comment>
    <comment ref="G9" authorId="0" shapeId="0" xr:uid="{60468FE6-20E9-4EB2-A1F8-99906ABFBFAF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Administracion anterior + deuda covid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Gte Admon Financiero</author>
  </authors>
  <commentList>
    <comment ref="E7" authorId="0" shapeId="0" xr:uid="{0BABF73E-9DDF-4838-9759-50374F0A613B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Servicio de la deuda publica + cuentas por pagar años anteriores</t>
        </r>
      </text>
    </comment>
    <comment ref="E20" authorId="0" shapeId="0" xr:uid="{57A4A338-59DE-4C8C-9011-19CF596CC150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Programa ASI, Gratitud</t>
        </r>
      </text>
    </comment>
    <comment ref="E26" authorId="0" shapeId="0" xr:uid="{7882389D-A14D-4944-8B0F-016E2A6CB67F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Becas 2023 y 2024</t>
        </r>
      </text>
    </comment>
    <comment ref="E30" authorId="0" shapeId="0" xr:uid="{6F1C8ED6-0FE8-4B84-BD3A-E03E48084242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Instituto crecer juntos</t>
        </r>
      </text>
    </comment>
    <comment ref="E31" authorId="0" shapeId="0" xr:uid="{7683797D-27A8-4963-94A4-D054B1472091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Fondo Emergencia</t>
        </r>
      </text>
    </comment>
    <comment ref="E35" authorId="0" shapeId="0" xr:uid="{8755C134-6214-4303-9282-4A922F4E2C72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INDES + deportes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NAVEGANTE</author>
  </authors>
  <commentList>
    <comment ref="H9" authorId="0" shapeId="0" xr:uid="{00000000-0006-0000-0900-000001000000}">
      <text>
        <r>
          <rPr>
            <sz val="8"/>
            <color indexed="81"/>
            <rFont val="Tahoma"/>
            <family val="2"/>
          </rPr>
          <t>Las celdas con CEROS contienen formulas.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3" authorId="0" shapeId="0" xr:uid="{00000000-0006-0000-0900-000002000000}">
      <text>
        <r>
          <rPr>
            <sz val="8"/>
            <color indexed="81"/>
            <rFont val="Tahoma"/>
            <family val="2"/>
          </rPr>
          <t>Las celdas con CEROS contienen formulas.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Gte Admon Financiero</author>
  </authors>
  <commentList>
    <comment ref="C45" authorId="0" shapeId="0" xr:uid="{5D13376B-5053-44ED-8C21-F1346825F69C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pendiente de ejecutar 2023, fondos existentes en saldos</t>
        </r>
      </text>
    </comment>
  </commentList>
</comments>
</file>

<file path=xl/sharedStrings.xml><?xml version="1.0" encoding="utf-8"?>
<sst xmlns="http://schemas.openxmlformats.org/spreadsheetml/2006/main" count="3915" uniqueCount="1006">
  <si>
    <t>1</t>
  </si>
  <si>
    <t>01</t>
  </si>
  <si>
    <t>51101</t>
  </si>
  <si>
    <t>0101</t>
  </si>
  <si>
    <t>0102</t>
  </si>
  <si>
    <t>51501</t>
  </si>
  <si>
    <t>51401</t>
  </si>
  <si>
    <t>51203</t>
  </si>
  <si>
    <t>51105</t>
  </si>
  <si>
    <t>0302</t>
  </si>
  <si>
    <t>03</t>
  </si>
  <si>
    <t>0401</t>
  </si>
  <si>
    <t>04</t>
  </si>
  <si>
    <t>0301</t>
  </si>
  <si>
    <t>Cód</t>
  </si>
  <si>
    <t>Objeto Especifico</t>
  </si>
  <si>
    <t>Comercio</t>
  </si>
  <si>
    <t>Industria</t>
  </si>
  <si>
    <t>Servicios</t>
  </si>
  <si>
    <t>Cementerios Municipales</t>
  </si>
  <si>
    <t>Fiestas</t>
  </si>
  <si>
    <t>Tasas Diversas</t>
  </si>
  <si>
    <t>Cotejo de Fierros</t>
  </si>
  <si>
    <t>Rentabilidad de Ctas.Bancarias</t>
  </si>
  <si>
    <t>Ingresos Diversos</t>
  </si>
  <si>
    <t>Total</t>
  </si>
  <si>
    <t>PRESUPUESTO INSTITUCIONAL DE INGRESOS</t>
  </si>
  <si>
    <t>En dolares de Estados Unidos de America</t>
  </si>
  <si>
    <t>Rubro Cuenta Obj.Esp</t>
  </si>
  <si>
    <t>Especifico</t>
  </si>
  <si>
    <t>Fondos Propios Municipales FF2</t>
  </si>
  <si>
    <t>TOTAL</t>
  </si>
  <si>
    <t xml:space="preserve">IMPUESTOS  </t>
  </si>
  <si>
    <t>IMPUESTOS MUNICIPALES</t>
  </si>
  <si>
    <t>TASAS Y DERECHOS</t>
  </si>
  <si>
    <t>TASAS DE SERVICIOS PUBLICOS</t>
  </si>
  <si>
    <t>INGRESOS FINANCIEROS Y OTROS</t>
  </si>
  <si>
    <t>MULTAS E INTERESES POR MORA</t>
  </si>
  <si>
    <t>OTROS INGRESOS NO CLASIFICADOS</t>
  </si>
  <si>
    <t xml:space="preserve">TRANSFERENCIAS CORRIENTES  </t>
  </si>
  <si>
    <t>TRANS. CTES DEL SECTOR PUBLICO</t>
  </si>
  <si>
    <t>TRANSFERENCIAS DE CAPITAL</t>
  </si>
  <si>
    <t>TRANS. CAP.SECTOR PUBLICO</t>
  </si>
  <si>
    <t>SALDOS DE AÑOS ANTERIORES</t>
  </si>
  <si>
    <t>SALDOS INICIALES CAJA Y BANCOS</t>
  </si>
  <si>
    <t>Saldo Inicial en Caja</t>
  </si>
  <si>
    <t>Saldo Inicial en Banco</t>
  </si>
  <si>
    <t>FF1</t>
  </si>
  <si>
    <t>FF2</t>
  </si>
  <si>
    <t>FF3</t>
  </si>
  <si>
    <t>FF4</t>
  </si>
  <si>
    <t>FF5</t>
  </si>
  <si>
    <t xml:space="preserve">Fondos Propios </t>
  </si>
  <si>
    <t>Fondo General</t>
  </si>
  <si>
    <t>Donaciones</t>
  </si>
  <si>
    <t>Anual</t>
  </si>
  <si>
    <t>Mensual</t>
  </si>
  <si>
    <t>DETALLE DE INGRESOS</t>
  </si>
  <si>
    <t>Cuenta</t>
  </si>
  <si>
    <t>SUB-TOTAL</t>
  </si>
  <si>
    <t>Por Fuente de Financiamiento</t>
  </si>
  <si>
    <t>Por Objeto Especifico</t>
  </si>
  <si>
    <t>Fdo Mpal</t>
  </si>
  <si>
    <t>Sub-total</t>
  </si>
  <si>
    <t>Cuenta Bancaria</t>
  </si>
  <si>
    <t>N° Cta</t>
  </si>
  <si>
    <t>N°</t>
  </si>
  <si>
    <t>Fodes</t>
  </si>
  <si>
    <t>Total Ingresos</t>
  </si>
  <si>
    <t>Saldos Bancarios</t>
  </si>
  <si>
    <t>Presupuesto Ingresos</t>
  </si>
  <si>
    <t>NOTA: Incorporar en esta hoja todos los ingresos provenientes de las Distintas Fuentes de Financiamiento Municipal antes de Incorporarlas al Cuadro de INGxFF (Ingresos por Fuente de Financiamiento)</t>
  </si>
  <si>
    <t>En Dolares de los Estados Unidos de América</t>
  </si>
  <si>
    <t>No.</t>
  </si>
  <si>
    <t>Cargo o Puesto</t>
  </si>
  <si>
    <t>Depto.</t>
  </si>
  <si>
    <t>SALARIO</t>
  </si>
  <si>
    <t xml:space="preserve">PRESTA-CIONES </t>
  </si>
  <si>
    <t>Aportes Por Contribuciones Patronales</t>
  </si>
  <si>
    <t>Seg.Soc.Priv.</t>
  </si>
  <si>
    <t>Seguridad Social Publica</t>
  </si>
  <si>
    <t>Aguinaldo</t>
  </si>
  <si>
    <t>IPSFA 6.0%</t>
  </si>
  <si>
    <t>SUB TOTAL</t>
  </si>
  <si>
    <t>Concejo</t>
  </si>
  <si>
    <t>Linea de Trabajo</t>
  </si>
  <si>
    <t>Centro de Respon</t>
  </si>
  <si>
    <t>N° de Plazas</t>
  </si>
  <si>
    <t>COD.</t>
  </si>
  <si>
    <t>CONCEPTO</t>
  </si>
  <si>
    <t>Transferencias Corrientes al Sector Públicos (Aportacion Institucional al INSAFORP)</t>
  </si>
  <si>
    <t>TOTAL EGRESOS GENERADOS POR NOMINAS</t>
  </si>
  <si>
    <t>EXPRESION PRESUPUESTARIA POR LINEA DE TRABAJO</t>
  </si>
  <si>
    <t>RUBRO, CUENTA, OBJETO ESPECIFICO Y FUENTE DE FINANCIAMIENTO</t>
  </si>
  <si>
    <t>AREA DE GESTION: 1 CONDUCCION ADMINISTRATIVA</t>
  </si>
  <si>
    <t>EXPRESION PRESUPUESTARIA</t>
  </si>
  <si>
    <t>Fuentes de Financiamiento</t>
  </si>
  <si>
    <t>CODIGO</t>
  </si>
  <si>
    <t>ESPECIFICO</t>
  </si>
  <si>
    <t>REMUNERACIONES</t>
  </si>
  <si>
    <t>REMUNERACIONES PERMANENTES</t>
  </si>
  <si>
    <t>512</t>
  </si>
  <si>
    <t>REMUNERACIONES EVENTUALES</t>
  </si>
  <si>
    <t>513</t>
  </si>
  <si>
    <t>REMUNERACIONES EXTRAORDINARIAS</t>
  </si>
  <si>
    <t>516</t>
  </si>
  <si>
    <t>POR PRESTACION SERV.EN EL PAIS</t>
  </si>
  <si>
    <t>ADQUISICIONES DE BIENES Y SERVICIOS</t>
  </si>
  <si>
    <t>BIENES DE USO Y CONSUMO</t>
  </si>
  <si>
    <t>SERVICIOS BASICOS</t>
  </si>
  <si>
    <t>SERV. GRALES. Y ARRENDAMIENTOS</t>
  </si>
  <si>
    <t>PASAJES Y VIATICOS</t>
  </si>
  <si>
    <t>GASTOS FINANCIEROS Y OTROS</t>
  </si>
  <si>
    <t>SEGUROS, COMISIONES Y GTOS.BANCARIOS</t>
  </si>
  <si>
    <t>OTROS GASTOS NO CLASIFICADOS</t>
  </si>
  <si>
    <t>TRANSFERENCIAS CORRIENTES</t>
  </si>
  <si>
    <t>CUENTAS X PAGAR AÑOS ANTERIORES</t>
  </si>
  <si>
    <t>ASIGNACIONES POR APLICAR</t>
  </si>
  <si>
    <t>ASIGNACIONES POR APLICAR GASTOS CORRIENTES</t>
  </si>
  <si>
    <t>CONSOLIDADO DE PROYECTOS DE INVERSION</t>
  </si>
  <si>
    <t>En Dolares de Estados Unidos de America</t>
  </si>
  <si>
    <t>CODIGOS</t>
  </si>
  <si>
    <t>PRESUP.</t>
  </si>
  <si>
    <t>CONCEPTO DE EGRESOS</t>
  </si>
  <si>
    <t>INFRAESTRUCTURAS</t>
  </si>
  <si>
    <t>DE SALUD Y SANEAMIENTO AMBIENTAL</t>
  </si>
  <si>
    <t>DE EDUCACION Y RECREACION</t>
  </si>
  <si>
    <t>DE VIVIENDA Y OFICINA</t>
  </si>
  <si>
    <t>DE PRODUCCION DE BIENES Y SERVICIOS</t>
  </si>
  <si>
    <t>OBRAS DE INFRAESTRUCTURA DIVERSAS</t>
  </si>
  <si>
    <t>TOTALES</t>
  </si>
  <si>
    <t>LINEA DE TRABAJO: 04 INVERSION E INFRAESTRUCTURA ECONOMICA</t>
  </si>
  <si>
    <t>INFRAESTRUCTURA</t>
  </si>
  <si>
    <t>VIALES</t>
  </si>
  <si>
    <t>ELECTRICAS Y COMUNICACIONES</t>
  </si>
  <si>
    <t>Prestamos Externos</t>
  </si>
  <si>
    <t>Prestamos Internos</t>
  </si>
  <si>
    <t>FONDOS PROPIOS</t>
  </si>
  <si>
    <t xml:space="preserve">AREA DE GESTION </t>
  </si>
  <si>
    <t>DES.SOC</t>
  </si>
  <si>
    <t>DES.EC.</t>
  </si>
  <si>
    <t>DEUDA PUB.</t>
  </si>
  <si>
    <t xml:space="preserve">GRAN </t>
  </si>
  <si>
    <t>CODUCCION ADMINISTRATIVA   (AG 1)</t>
  </si>
  <si>
    <t>(AG  5)</t>
  </si>
  <si>
    <t>0501</t>
  </si>
  <si>
    <t>Proy.Dsarr.Social</t>
  </si>
  <si>
    <t>Proy.Dsarr.Econ.</t>
  </si>
  <si>
    <t>Amort.Endeu.Pub.</t>
  </si>
  <si>
    <t>61</t>
  </si>
  <si>
    <t>INVERSIONES EN ACTIVOS FIJOS</t>
  </si>
  <si>
    <t>DETALLE DE EGRESOS</t>
  </si>
  <si>
    <t>PRESUPUESTO MUNICIPAL POR AREAS DE GESTION</t>
  </si>
  <si>
    <t>CUADRO RESUMEN</t>
  </si>
  <si>
    <t>PRESUPUESTO DE INGRESOS</t>
  </si>
  <si>
    <t>CLASIFICACIONES POR RUBRO DE INGRESOS</t>
  </si>
  <si>
    <t>PRESUPUESTO DE EGRESOS</t>
  </si>
  <si>
    <t>CLASIFICACIONES POR RUBRO DE EGRESOS</t>
  </si>
  <si>
    <t>PRESUPUESTO DE EGRESOS POR ESTRUCTURA PRESUPUESTARIA</t>
  </si>
  <si>
    <t>AREA</t>
  </si>
  <si>
    <t>UNID</t>
  </si>
  <si>
    <t>LINEA</t>
  </si>
  <si>
    <t>Sub-tot</t>
  </si>
  <si>
    <t>GESTION</t>
  </si>
  <si>
    <t>PRES</t>
  </si>
  <si>
    <t>TRAB.</t>
  </si>
  <si>
    <t>CONDUCCION ADMINISTRATIVA</t>
  </si>
  <si>
    <t>ADMINISTRACION MUNICIPAL</t>
  </si>
  <si>
    <t>SERVICIOS MUNICIPALES</t>
  </si>
  <si>
    <t>DESARROLLO SOCIAL</t>
  </si>
  <si>
    <t>APOYO AL DESARROLLO ECONOMICO</t>
  </si>
  <si>
    <t>DEUDA PUBLICA</t>
  </si>
  <si>
    <t>05</t>
  </si>
  <si>
    <t>FINANCIAMIENTO MUNICIPAL</t>
  </si>
  <si>
    <t>CUADRO RESUMEN POR FUENTE DE FINANCIAMIENTO</t>
  </si>
  <si>
    <t>FUENTE</t>
  </si>
  <si>
    <t>INGRESOS</t>
  </si>
  <si>
    <t>EGRESOS</t>
  </si>
  <si>
    <t>FONDO GENERAL</t>
  </si>
  <si>
    <t>PRESTAMOS INTERNOS</t>
  </si>
  <si>
    <t>Porcentaje que cubren los Fondos Propios del total de la nómina</t>
  </si>
  <si>
    <t>Fondos Propios   FF2</t>
  </si>
  <si>
    <t>Contabilidad</t>
  </si>
  <si>
    <t>Servicios Generales</t>
  </si>
  <si>
    <t>Centro de Responsabilidad -&gt;</t>
  </si>
  <si>
    <t>Adquisición de Bienes y Servicios</t>
  </si>
  <si>
    <t>Por Centro de Responsabilidad</t>
  </si>
  <si>
    <t>FUENTES DE FINANCIAMIENTO</t>
  </si>
  <si>
    <t>TOTAL INVERSION</t>
  </si>
  <si>
    <t>(AG 3)</t>
  </si>
  <si>
    <t>(AG 4)</t>
  </si>
  <si>
    <t>FF2: FONDOS PROPIOS</t>
  </si>
  <si>
    <t>FF3: PRESTAMOS EXTERNOS</t>
  </si>
  <si>
    <t>FF4: PRESTAMOS INTERNOS</t>
  </si>
  <si>
    <t>FF5: DONACIONES</t>
  </si>
  <si>
    <t>PRESTAMOS EXTERNOS</t>
  </si>
  <si>
    <t>DONACIONES</t>
  </si>
  <si>
    <t>AMORTIZACIÓN DEL ENDEUDAMIENTO PUBLICO</t>
  </si>
  <si>
    <t>ESTRUCTURA PRESUPUESTARIA</t>
  </si>
  <si>
    <t>PARA LA FORMULACION DEL PRESUPUESTO POR AREAS DE GESTION</t>
  </si>
  <si>
    <t>02</t>
  </si>
  <si>
    <t>Alumbrado Publico</t>
  </si>
  <si>
    <t>INVERSION PARA EL DESARROLLO SOCIAL</t>
  </si>
  <si>
    <t>INFRAESTRUCTURA SOCIAL</t>
  </si>
  <si>
    <t>INVERSION PARA EL DESARROLLO ECONÓMICO</t>
  </si>
  <si>
    <t>INFRAESTRUCTURA ECONÓMICO</t>
  </si>
  <si>
    <t>UACI</t>
  </si>
  <si>
    <t>Tesorería</t>
  </si>
  <si>
    <t>7001</t>
  </si>
  <si>
    <t>AREA DE GESTION: 5 DEUDA PUBLICA</t>
  </si>
  <si>
    <t>AMORTIZACION DE ENDEUDAMIENTO PUBLICO</t>
  </si>
  <si>
    <t>AMORTIZACION DE EMPRESTITOS INTERNOS</t>
  </si>
  <si>
    <t>DE EMPRESAS PRIVADAS FINANCIERAS</t>
  </si>
  <si>
    <t>AMORTIZACION DE ENDUEDAMIENTO PUBLICO</t>
  </si>
  <si>
    <t>PRESUPUESTO INSTITUCIONAL DE EGRESOS</t>
  </si>
  <si>
    <t>UNIDAD PRESUPUESTARIA:      01 ADMINISTRACION MUNICIPAL</t>
  </si>
  <si>
    <t>AREA DE GESTION:                  1 CONDUCCION ADMINISTRATIVA</t>
  </si>
  <si>
    <t>ALCALDIA MUNICIPAL DE CHALATENANGO, DEPARTAMENTO DE CHALATENANGO</t>
  </si>
  <si>
    <t>Aseo Publico</t>
  </si>
  <si>
    <t>Tiangue</t>
  </si>
  <si>
    <t>Financieros</t>
  </si>
  <si>
    <t>Bares y Restauarantes</t>
  </si>
  <si>
    <t>Cementerio Particular</t>
  </si>
  <si>
    <t>Centros de Enseñanza</t>
  </si>
  <si>
    <t>Hoteles Moteles y Restaurantes</t>
  </si>
  <si>
    <t>Vallas Publicitarias</t>
  </si>
  <si>
    <t>Vialidades</t>
  </si>
  <si>
    <t>Servicios de Certificaciones</t>
  </si>
  <si>
    <t>Expedicion de Documentos de Identidad</t>
  </si>
  <si>
    <t>Mercado Puestos Fijos</t>
  </si>
  <si>
    <t>Mercado TKT</t>
  </si>
  <si>
    <t>Pavimentacion</t>
  </si>
  <si>
    <t>Postes, Torres y Antenas</t>
  </si>
  <si>
    <t>Permisos y Licencias Muncipales</t>
  </si>
  <si>
    <t>Multa por Mora de Impuestos</t>
  </si>
  <si>
    <t>Intereses por Mora de Impuestos</t>
  </si>
  <si>
    <t>Multas por Declaracion Extemporanea</t>
  </si>
  <si>
    <t>Multas del Registro del Estado Familiar</t>
  </si>
  <si>
    <t>Otras Multas Municipales</t>
  </si>
  <si>
    <t>INGRESO</t>
  </si>
  <si>
    <t>Secretaria del Despacho</t>
  </si>
  <si>
    <t>Alcalde Municipal</t>
  </si>
  <si>
    <t>Despacho Mun.</t>
  </si>
  <si>
    <t>Gerente General</t>
  </si>
  <si>
    <t>Gerencia General</t>
  </si>
  <si>
    <t>Auditor Interno</t>
  </si>
  <si>
    <t>Auditoría interna</t>
  </si>
  <si>
    <t>Sindico Municipal</t>
  </si>
  <si>
    <t>Sindicatura</t>
  </si>
  <si>
    <t>Secretario Municipal</t>
  </si>
  <si>
    <t>Secretaría</t>
  </si>
  <si>
    <t>7002</t>
  </si>
  <si>
    <t>7003</t>
  </si>
  <si>
    <t>7005</t>
  </si>
  <si>
    <t>7009</t>
  </si>
  <si>
    <t>7012</t>
  </si>
  <si>
    <t>AG</t>
  </si>
  <si>
    <t>UP</t>
  </si>
  <si>
    <t>LT</t>
  </si>
  <si>
    <t>Tesorero Municipal</t>
  </si>
  <si>
    <t>Cajero</t>
  </si>
  <si>
    <t>Jefe de Contabilidad</t>
  </si>
  <si>
    <t>Auxiliar 1 de Contabilidad</t>
  </si>
  <si>
    <t>Jefe de UACI</t>
  </si>
  <si>
    <t>Jefe de Proyectos</t>
  </si>
  <si>
    <t>Encargado de UMA</t>
  </si>
  <si>
    <t>Coordinador del CAM</t>
  </si>
  <si>
    <t>CAM</t>
  </si>
  <si>
    <t>ALCALDIA MUNCIPAL DE CHALATENANGO, DEPARTAMENTO DE CHALATENANGO</t>
  </si>
  <si>
    <t>Institucion:  Alcaldia Municipal de Chalatenango</t>
  </si>
  <si>
    <t>Institucion: Alcaldia Municipal de Chalatenango</t>
  </si>
  <si>
    <t>INPEP 7.00%</t>
  </si>
  <si>
    <t>Jefe del R.E.F</t>
  </si>
  <si>
    <t>Registro del Est. Fam.</t>
  </si>
  <si>
    <t>Motorista Camion Recolector</t>
  </si>
  <si>
    <t>Sueldo</t>
  </si>
  <si>
    <t>Pago Mensual</t>
  </si>
  <si>
    <t>Pago Anual</t>
  </si>
  <si>
    <t>Barrido de Calles</t>
  </si>
  <si>
    <t>Administrador de Mercado</t>
  </si>
  <si>
    <t>Mercado Municipal</t>
  </si>
  <si>
    <t>Cementerio Municipal</t>
  </si>
  <si>
    <t>Concejo Municipal</t>
  </si>
  <si>
    <t>Despacho Municipal</t>
  </si>
  <si>
    <t>Auditoria Interna</t>
  </si>
  <si>
    <t>REF</t>
  </si>
  <si>
    <t>Sueldos</t>
  </si>
  <si>
    <t>Dietas</t>
  </si>
  <si>
    <t>Contrib Pat. Inst. de Seg. Pub</t>
  </si>
  <si>
    <t>Contrib Pat. Inst. de Seg. Priv</t>
  </si>
  <si>
    <t>Unidad Presupuestaria: 02 Servicios Municipales</t>
  </si>
  <si>
    <t>Productos Alimenticios para Personas</t>
  </si>
  <si>
    <t>Productos Agropecuarios y Forestales</t>
  </si>
  <si>
    <t>Productos Textiles</t>
  </si>
  <si>
    <t>Productos de Papel y Carton</t>
  </si>
  <si>
    <t>Productos de Cuero y Caucho</t>
  </si>
  <si>
    <t>Prouductos Quimicos</t>
  </si>
  <si>
    <t>Productos Farmacéuticos y Medicinales</t>
  </si>
  <si>
    <t>Llantas y Neumáticos</t>
  </si>
  <si>
    <t>Minerales no Metálicos y Prod. Derivados</t>
  </si>
  <si>
    <t>Minerales Metálicos y Prod. Deriv.</t>
  </si>
  <si>
    <t>Materiales de Oficina</t>
  </si>
  <si>
    <t>Materiales Informáticos</t>
  </si>
  <si>
    <t>Libros, Textos, Útiles y Publicaciones</t>
  </si>
  <si>
    <t>Materiales de Defensa y Seg. Publica</t>
  </si>
  <si>
    <t>Herramientas, Rrepuestos y Accesorios</t>
  </si>
  <si>
    <t>Materiales Eléctricos</t>
  </si>
  <si>
    <t>Especies Municipales Diversas</t>
  </si>
  <si>
    <t>Vienes de Uso y Consumo Diverso</t>
  </si>
  <si>
    <t>Combustibles yb Lubricantes</t>
  </si>
  <si>
    <t>Servicio de Agua</t>
  </si>
  <si>
    <t>Servicios de Enrgía Eléctrica</t>
  </si>
  <si>
    <t>Servicios de Telecomunicaciones</t>
  </si>
  <si>
    <t>Servicios de Correos</t>
  </si>
  <si>
    <t>Mant. y Reparaciones de Bienes Muebles</t>
  </si>
  <si>
    <t>Mant. Y Reparacion de Vehículos</t>
  </si>
  <si>
    <t>Mant. Y Reparacion de Bienes Inmuebles</t>
  </si>
  <si>
    <t>Transporte, Fletes y Almacenamiento</t>
  </si>
  <si>
    <t>Servicios de Publicidad</t>
  </si>
  <si>
    <t>Servicios de Vigilancia</t>
  </si>
  <si>
    <t>Servicios de Limpieza y Fumigaciones</t>
  </si>
  <si>
    <t>Servicios de Laboratorio</t>
  </si>
  <si>
    <t>Servicios de Alimentacion</t>
  </si>
  <si>
    <t>Servicios Educativos</t>
  </si>
  <si>
    <t>Impresiones, Public. Y Reproducc.</t>
  </si>
  <si>
    <t>Atenciones Oficiales</t>
  </si>
  <si>
    <t>Servicios Generales y Arrendamientos Div.</t>
  </si>
  <si>
    <t>Pasajes al Interior</t>
  </si>
  <si>
    <t>Pasajes al Exterior</t>
  </si>
  <si>
    <t>Viáticos por Comision Externa</t>
  </si>
  <si>
    <t>Viáticos por Comision interna</t>
  </si>
  <si>
    <t>Consultorías, Estudios e Invest.</t>
  </si>
  <si>
    <t>Servicios Médicos</t>
  </si>
  <si>
    <t>Servicios de Capacitacion</t>
  </si>
  <si>
    <t>Desarrolos Informáticos</t>
  </si>
  <si>
    <t>Estudios e Investigaciones</t>
  </si>
  <si>
    <t>Primas y Gastos de Seguros de Personas</t>
  </si>
  <si>
    <t>Primas y Gastos de Seguros de Bienes</t>
  </si>
  <si>
    <t>Comisiones y Gastos Bancarios</t>
  </si>
  <si>
    <t>Gastos Diversos</t>
  </si>
  <si>
    <t>Transferencias Corrientes al Sector Público</t>
  </si>
  <si>
    <t>A Organismos sin Fines de Lucro</t>
  </si>
  <si>
    <t>A Personas Naturales</t>
  </si>
  <si>
    <t>Becas</t>
  </si>
  <si>
    <t>TRANS. CORRIENTES AL SECTOR PUBLICO</t>
  </si>
  <si>
    <t>TRANS CORRIENTES AL SECTOR PRIV</t>
  </si>
  <si>
    <t>Auditoría Interna</t>
  </si>
  <si>
    <t>UNIDAD PRESUPUESTARIA: 02 SERVICIOS MUNICIPALES</t>
  </si>
  <si>
    <t>Total UP 01</t>
  </si>
  <si>
    <t>Total UP 02</t>
  </si>
  <si>
    <t xml:space="preserve">Sueldos  </t>
  </si>
  <si>
    <t>Sueldos por Jornal</t>
  </si>
  <si>
    <t>Aguinaldos</t>
  </si>
  <si>
    <t>Horas Extraordinarias</t>
  </si>
  <si>
    <t>Cont. Pat. Instit. De Seguridad Publicas</t>
  </si>
  <si>
    <t>Cont. Pat. Instit. De Seguridad Privadas</t>
  </si>
  <si>
    <t>Por Prestacion de Servicios en el País</t>
  </si>
  <si>
    <t>Por Prestacion de Servicios en el Exterior</t>
  </si>
  <si>
    <t>Eestudios de Preinversión</t>
  </si>
  <si>
    <t>Proyectos y Programas de Inversión Diversas</t>
  </si>
  <si>
    <t>Viales</t>
  </si>
  <si>
    <t>De Salud y Saneamiento Ambiental</t>
  </si>
  <si>
    <t>De Educación y Recreación</t>
  </si>
  <si>
    <t>De Vivienda y Oficina</t>
  </si>
  <si>
    <t>Eléctricas y Comunicaciones</t>
  </si>
  <si>
    <t>De Produccion de Bienes y Servicios</t>
  </si>
  <si>
    <t>Obras de Infraestructura Diversas</t>
  </si>
  <si>
    <t>De Empresas Privadas Financieras</t>
  </si>
  <si>
    <t>Asignaciones por Aplicar Gastos Corrientes</t>
  </si>
  <si>
    <t>CONTRIBUCIONES PAT. A INST. SEG. SOC. PUB.</t>
  </si>
  <si>
    <t>CONTRIBUCIONES PAT. A INST. SEG. SOC. PRIV.</t>
  </si>
  <si>
    <t>ASIGN. POR APLICAR GASTOS CORRIENTES</t>
  </si>
  <si>
    <t>UP 01 Administracion Municipal</t>
  </si>
  <si>
    <t>LT 01</t>
  </si>
  <si>
    <t>LT 02</t>
  </si>
  <si>
    <t>CONTR. PAT. A INST. SEG. SOC. PUB.</t>
  </si>
  <si>
    <t>CONT. PAT. A INST. SEG. SOC. PRIV.</t>
  </si>
  <si>
    <t>SEG, COMIS. Y GTOS.BANCARIOS</t>
  </si>
  <si>
    <t>TRANS. CORRIENTES AL SEC. PUB.</t>
  </si>
  <si>
    <t>AMORT. DE ENDUEDAM. PUBLICO</t>
  </si>
  <si>
    <t>AMORT. DE EMPRES. INTERNOS</t>
  </si>
  <si>
    <t>ASIG POR APLICAR GAS. CORRIEN.</t>
  </si>
  <si>
    <t>ADQUISI. DE BIENES Y SERVICIOS</t>
  </si>
  <si>
    <t>Asistente UACI</t>
  </si>
  <si>
    <t>1% de INSAFORP</t>
  </si>
  <si>
    <t>Porcentaje que cubre el FODES 25% del total de la nómina</t>
  </si>
  <si>
    <t>Bienes de Uso y Consumo Diverso</t>
  </si>
  <si>
    <t>TOTAL LT 0101</t>
  </si>
  <si>
    <t>SUB-TOTAL FONDOS PROPIOS</t>
  </si>
  <si>
    <t>TOTAL LT 0102</t>
  </si>
  <si>
    <t>TOTAL LT 0201</t>
  </si>
  <si>
    <t>Combustibles y Lubricantes</t>
  </si>
  <si>
    <t>FODES 25%</t>
  </si>
  <si>
    <t>FODES 75%</t>
  </si>
  <si>
    <t>INSTITUCION: ALCALDIA MUNICIPAL DE CHALATENANGO</t>
  </si>
  <si>
    <t>BIENES MUEBLES</t>
  </si>
  <si>
    <t>INDEMNIZACIONES</t>
  </si>
  <si>
    <t>Al Personal de Servicios Permanentes</t>
  </si>
  <si>
    <t>De Gobierno Central</t>
  </si>
  <si>
    <t>INTERESES Y COM DE EMP. INT</t>
  </si>
  <si>
    <t>INTERESES Y COMISIONES POR PRESTAMOS INTERNOS</t>
  </si>
  <si>
    <t>SUPERVISION DE INFRAESTRUCTURA</t>
  </si>
  <si>
    <t>Supervision de Infraestructura</t>
  </si>
  <si>
    <t>Bienes Muebles</t>
  </si>
  <si>
    <t>Al Personal Permanente</t>
  </si>
  <si>
    <t>Asignaciones por pagar de años Ant.</t>
  </si>
  <si>
    <t>ASIGN. POR APLICAR GASTOS COR.</t>
  </si>
  <si>
    <t>PREINVERSION</t>
  </si>
  <si>
    <t>INVERSIÓN PARA EL DESARROLLO SOCIAL</t>
  </si>
  <si>
    <t>Sub total linea</t>
  </si>
  <si>
    <t xml:space="preserve">Sub total linea </t>
  </si>
  <si>
    <t>Total linea 0101</t>
  </si>
  <si>
    <t>AREA DE GESTION: 3 INVERSIÓN PARA EL DESARROLLO SOCIAL</t>
  </si>
  <si>
    <t>LINEA DE TRABAJO: 0301 INVERSION E INFRAESTRUCTURA SOCIAL</t>
  </si>
  <si>
    <t>AREA DE GESTION: 4 APOYO AL DESARROLLO ECONOMICO</t>
  </si>
  <si>
    <t>UATM</t>
  </si>
  <si>
    <t>Jefe de UATM.</t>
  </si>
  <si>
    <t>Enc de  Recuperacion de Mora</t>
  </si>
  <si>
    <t>Sargento del CAM</t>
  </si>
  <si>
    <t>Encargado de Mantenimiento</t>
  </si>
  <si>
    <t>Productos Quimicos</t>
  </si>
  <si>
    <t>INTANGIBLES</t>
  </si>
  <si>
    <t>BIENES INMUEBLES</t>
  </si>
  <si>
    <t>Bienes Inmuebles</t>
  </si>
  <si>
    <t>Intangibles</t>
  </si>
  <si>
    <t>Sueldos por Contrato</t>
  </si>
  <si>
    <t>SL</t>
  </si>
  <si>
    <t>06</t>
  </si>
  <si>
    <t>08</t>
  </si>
  <si>
    <t>10</t>
  </si>
  <si>
    <t xml:space="preserve">Rastro </t>
  </si>
  <si>
    <t>Dispos. Final desechos Solidos</t>
  </si>
  <si>
    <t>Rentabilidad de Cuentas Bancarias</t>
  </si>
  <si>
    <t>Intereses por mora de impuestos</t>
  </si>
  <si>
    <t xml:space="preserve">Servicios Diversos </t>
  </si>
  <si>
    <t>Mercado Puestos Fijos TKT</t>
  </si>
  <si>
    <t>Mercado Puestos Transitorios TKT</t>
  </si>
  <si>
    <t>Dirección y Administración Superior</t>
  </si>
  <si>
    <t>Comunicaciones</t>
  </si>
  <si>
    <t>Unidad de Adquisiciones y Contrataciones Institucional</t>
  </si>
  <si>
    <t>Recursos Humanos</t>
  </si>
  <si>
    <t>Unidad de la Mujer</t>
  </si>
  <si>
    <t>Registro del Estado Familiar</t>
  </si>
  <si>
    <t>Cuerpo de Agentes Municipales</t>
  </si>
  <si>
    <t>TOTAL UP 01 LINEA 0102</t>
  </si>
  <si>
    <t xml:space="preserve">TOTAL UP 01 LINEA 0101 </t>
  </si>
  <si>
    <t>TOTAL UP 02 LINEA 0201</t>
  </si>
  <si>
    <t>Ordenanza</t>
  </si>
  <si>
    <t xml:space="preserve">TOTAL UP 02 LT 0202 </t>
  </si>
  <si>
    <t>Linea de Trabajo : 0101 Direccion y Administración Superior</t>
  </si>
  <si>
    <t>Unidad Presupuestaria: 01 Administración Municipal</t>
  </si>
  <si>
    <t>Servicios Internos</t>
  </si>
  <si>
    <t>Servcios Externos</t>
  </si>
  <si>
    <t>Linea de Trabajo : 0102 Administración Financiera y de Apoyo</t>
  </si>
  <si>
    <t>Unidad Presupuestaria: 02  Servicios Municipales</t>
  </si>
  <si>
    <t>Linea de Trabajo : 0201 Servicios Municipales Internos</t>
  </si>
  <si>
    <t>Unidad Presupuestaria: 02 Servicios Municipal</t>
  </si>
  <si>
    <t>Linea de Trabajo : 0202 Servicios Municipales Externos</t>
  </si>
  <si>
    <t>Unidad Presupuestaria:01 Administracion Municipal</t>
  </si>
  <si>
    <t>Linea de Trabajo : 0101 Dirección y Administración Superior</t>
  </si>
  <si>
    <t>Regsitro del Estado Familiar</t>
  </si>
  <si>
    <t>Herramientas, Repuestos y Accesorios</t>
  </si>
  <si>
    <t>Servicios Jurídicos</t>
  </si>
  <si>
    <t>TOTAL Fondos Propios</t>
  </si>
  <si>
    <t>LINEA DE TRABAJO:                 02 ADMINISTRACION FINANCIERA Y DE APOYO</t>
  </si>
  <si>
    <t>LINEA DE TRABAJO:                 01 DIRECCION Y ADMINISTRACIÓN SUPERIOR</t>
  </si>
  <si>
    <t>0201</t>
  </si>
  <si>
    <t>0202</t>
  </si>
  <si>
    <t>0101 Direccion y Administracion Superior</t>
  </si>
  <si>
    <t>0102 Administracion Financiera y de Apoyo</t>
  </si>
  <si>
    <t>0201 Servicios Internos</t>
  </si>
  <si>
    <t>0202 Servicios Externos</t>
  </si>
  <si>
    <t>51201</t>
  </si>
  <si>
    <t>Contrib Pat.Inst.Seg.Priv.</t>
  </si>
  <si>
    <t>Contrib Pat.Inst.Seg.Pub.</t>
  </si>
  <si>
    <t>Horas Extras</t>
  </si>
  <si>
    <t>51202</t>
  </si>
  <si>
    <t>Ingresos proyectados del FODES 25% mas Saldo Inicial</t>
  </si>
  <si>
    <t>LINEA DE TRABAJO: 01 SERVICIOS INTERNOS</t>
  </si>
  <si>
    <t>LINEA DE TRABAJO: 02 SERVICIOS EXTERNOS</t>
  </si>
  <si>
    <t>UP 02 Servicios Municipales</t>
  </si>
  <si>
    <t>Total de Remuneraciones de las Unidades Presupuestarias 01 y 02</t>
  </si>
  <si>
    <t>Desarrollos Informáticos</t>
  </si>
  <si>
    <r>
      <t xml:space="preserve">INSTITUCION: </t>
    </r>
    <r>
      <rPr>
        <b/>
        <sz val="8"/>
        <rFont val="Eras Medium ITC"/>
        <family val="2"/>
      </rPr>
      <t>ALCALDIA MUNICIPAL DE CHALATENANGO</t>
    </r>
  </si>
  <si>
    <t>Auxiliar de Sindicatura</t>
  </si>
  <si>
    <t>Direccion y Administración Superior</t>
  </si>
  <si>
    <t>Administracion Financiera y de Apoyo</t>
  </si>
  <si>
    <t>Servicios Municipales</t>
  </si>
  <si>
    <t>Servicios Externos</t>
  </si>
  <si>
    <t>Inversion en Infraestructura Social</t>
  </si>
  <si>
    <t>Pre-Inversión</t>
  </si>
  <si>
    <t>Proyectos de Desarrollo Social</t>
  </si>
  <si>
    <t>Inversión en Infraestructura Económica</t>
  </si>
  <si>
    <t>Proyectos de Desarrollo Económico</t>
  </si>
  <si>
    <t>Financiamiento Municipal</t>
  </si>
  <si>
    <t>Amortización de Endeudameinto Público</t>
  </si>
  <si>
    <t>0301 Pre-Inversión</t>
  </si>
  <si>
    <t>0302 Proy Des Soc</t>
  </si>
  <si>
    <t>0401 Proy Des Eco</t>
  </si>
  <si>
    <t>0501 Deuda Pub</t>
  </si>
  <si>
    <t>Supervisor de Servicios</t>
  </si>
  <si>
    <t>Encargado de RRHH</t>
  </si>
  <si>
    <t>Agua Potable y Aguas Neg</t>
  </si>
  <si>
    <t>Agua Potable y aguas Neg</t>
  </si>
  <si>
    <t>Seguridad del Despacho</t>
  </si>
  <si>
    <t>de empresas Privadas Financieras</t>
  </si>
  <si>
    <t>Contrataciones de Emprestitos</t>
  </si>
  <si>
    <t>Períodos de Prueba</t>
  </si>
  <si>
    <t>varios</t>
  </si>
  <si>
    <t>PLANILLA DE EMPLEADOS POR CONTRATO</t>
  </si>
  <si>
    <t>CONTRATACIONES DE EMPRESTITOS</t>
  </si>
  <si>
    <t>Agua Potable y aguas N</t>
  </si>
  <si>
    <t>Supervisor</t>
  </si>
  <si>
    <t>Supervision de Proyectos</t>
  </si>
  <si>
    <t>Supervisión de Proyectos</t>
  </si>
  <si>
    <t>Gasto Cte FP</t>
  </si>
  <si>
    <t>Planilla FP</t>
  </si>
  <si>
    <t>Bonificaciones Adicionales</t>
  </si>
  <si>
    <t>51107</t>
  </si>
  <si>
    <t>Notificador</t>
  </si>
  <si>
    <t>Secretaria de Proyectos</t>
  </si>
  <si>
    <t>Docente de Guardería</t>
  </si>
  <si>
    <t>Encargado Manto. Alumbrado Pub.</t>
  </si>
  <si>
    <t>Coordinador de Servicio de Agua</t>
  </si>
  <si>
    <t>TOTAL LT 0202</t>
  </si>
  <si>
    <t xml:space="preserve">Comunicaciones </t>
  </si>
  <si>
    <t>Informática</t>
  </si>
  <si>
    <t>Gerencia Administrativa Financiera</t>
  </si>
  <si>
    <t>Gerencia de Desarrollo Económico Local</t>
  </si>
  <si>
    <t>Unidad de Administración Tributaria Municipal</t>
  </si>
  <si>
    <t>Unidad de Recursos Humanos</t>
  </si>
  <si>
    <t>Unidad de Proyección Social</t>
  </si>
  <si>
    <t>Diseño y Ejecución de Proyectos</t>
  </si>
  <si>
    <t>Medio Ambiente y Gestión de Riesgos</t>
  </si>
  <si>
    <t>Alumbrado Público</t>
  </si>
  <si>
    <t>Aseo y Administracion de Servicios Diversos</t>
  </si>
  <si>
    <t>Administración de Proyectos de Agua</t>
  </si>
  <si>
    <t>Administración Financiera y de Operaciones</t>
  </si>
  <si>
    <t>07</t>
  </si>
  <si>
    <t>09</t>
  </si>
  <si>
    <t>11</t>
  </si>
  <si>
    <t>13</t>
  </si>
  <si>
    <t>14</t>
  </si>
  <si>
    <t>Encargado de Comunicaciones</t>
  </si>
  <si>
    <t xml:space="preserve">Comunicaciones  </t>
  </si>
  <si>
    <t>Encargado de Unidad de la Mujer</t>
  </si>
  <si>
    <t>Gerente Admin. Financiero</t>
  </si>
  <si>
    <t>Gerencia Admin. Financiera</t>
  </si>
  <si>
    <t xml:space="preserve">Auxiliar </t>
  </si>
  <si>
    <t>Gerente de Desrrollo Económico Local</t>
  </si>
  <si>
    <t>Gerencia DEL</t>
  </si>
  <si>
    <t>Encargado de Informática</t>
  </si>
  <si>
    <t>Unidad de Informatica</t>
  </si>
  <si>
    <t>Proyección Social</t>
  </si>
  <si>
    <t>Unidad Medio Ambiente y GR</t>
  </si>
  <si>
    <t>Cabo del CAM</t>
  </si>
  <si>
    <t>Auxiliar de Ventanilla</t>
  </si>
  <si>
    <t>Digitalizador</t>
  </si>
  <si>
    <t>Diseño y ejec de Proyect</t>
  </si>
  <si>
    <t>Auxiliar de Ventanilla de Atención</t>
  </si>
  <si>
    <t>Registrador Tributario</t>
  </si>
  <si>
    <t>Unidad de Informática</t>
  </si>
  <si>
    <t>Gerencia Admin. Fin</t>
  </si>
  <si>
    <t>Gerencia Planif y Des</t>
  </si>
  <si>
    <t>Diseño y Ejec de Proyectos</t>
  </si>
  <si>
    <t>Medio Ambiente y GR</t>
  </si>
  <si>
    <t>Aseo y Admon de Servic Div</t>
  </si>
  <si>
    <t>Aseo y Admon serv D</t>
  </si>
  <si>
    <t>DISP GC</t>
  </si>
  <si>
    <t>Asistente de REF</t>
  </si>
  <si>
    <t>Operador de Maquinaria</t>
  </si>
  <si>
    <t>Operador de Tractor Agrícola</t>
  </si>
  <si>
    <t>Recepcionista</t>
  </si>
  <si>
    <t>15</t>
  </si>
  <si>
    <t>16</t>
  </si>
  <si>
    <t>Gerencia Admin. Financiero</t>
  </si>
  <si>
    <t>Gerencia de Planificación y Desarrollo Territorial</t>
  </si>
  <si>
    <t>Unidad de Adquisiciones y Contrataciones</t>
  </si>
  <si>
    <t>Recursos Humano</t>
  </si>
  <si>
    <t>Auxiliar de Electricista</t>
  </si>
  <si>
    <t>Unidad de Genero y CF</t>
  </si>
  <si>
    <t>Parquimetros y Estacionamientos</t>
  </si>
  <si>
    <t>Servicios Básicos (Agua Potable)</t>
  </si>
  <si>
    <t>Arrendamiento de Bienes Muebles</t>
  </si>
  <si>
    <t>Asistente Proyectos</t>
  </si>
  <si>
    <t>Arrendamiento de bienes muebles</t>
  </si>
  <si>
    <t>Fondos propios</t>
  </si>
  <si>
    <t>5% Fiestas patronales</t>
  </si>
  <si>
    <t>Fondos propios planillera</t>
  </si>
  <si>
    <t>Recuperacion de Mora, Multas e intereses</t>
  </si>
  <si>
    <t>Ingresos por alquiler de retroexcavadora y motoniveladora</t>
  </si>
  <si>
    <t>25% Funcionamiento</t>
  </si>
  <si>
    <t>25% planillera</t>
  </si>
  <si>
    <t>75% inversion</t>
  </si>
  <si>
    <t>10-006-002299-7</t>
  </si>
  <si>
    <t>Acovi de RL</t>
  </si>
  <si>
    <t>11-006-003170-8</t>
  </si>
  <si>
    <t>Servicios Basicos (Agua Potable)</t>
  </si>
  <si>
    <t>Servicios Basicos (agua Potable)</t>
  </si>
  <si>
    <t>Cuentas por cobrar de años anteriores</t>
  </si>
  <si>
    <t>DE EMPRESAS DESCENTRALIZADAS</t>
  </si>
  <si>
    <t>Terminal de buses</t>
  </si>
  <si>
    <t>Bodeguero</t>
  </si>
  <si>
    <t>Monitores Deportivos</t>
  </si>
  <si>
    <t>Consultorias diversas</t>
  </si>
  <si>
    <t>Mobiliarios</t>
  </si>
  <si>
    <t>Maquiniarias y Equipos</t>
  </si>
  <si>
    <t>Equipos Informaticos</t>
  </si>
  <si>
    <t>Bienes Muebles Diversos</t>
  </si>
  <si>
    <t>Auxiliar de Bombeo el Aguacatillo</t>
  </si>
  <si>
    <t>Servicio de Agua Potable</t>
  </si>
  <si>
    <t>Proyectos</t>
  </si>
  <si>
    <t>51701</t>
  </si>
  <si>
    <t>Indemnizaciones</t>
  </si>
  <si>
    <t>Terminal de Buses</t>
  </si>
  <si>
    <t>Consultorias e investigaciones diversas</t>
  </si>
  <si>
    <t>Consultorías einvestigaciones diversas</t>
  </si>
  <si>
    <t>Jefe de Presupuesto</t>
  </si>
  <si>
    <t>Unidad de Presupuesto</t>
  </si>
  <si>
    <t>Auxiliar de Presupuesto</t>
  </si>
  <si>
    <t>Encargado de Unidad PINA</t>
  </si>
  <si>
    <t>Unidad de la PINA</t>
  </si>
  <si>
    <t>Unida de Presupuesto</t>
  </si>
  <si>
    <t>Unidad de PINA</t>
  </si>
  <si>
    <t>Arrendamiento de bienes inmuebles</t>
  </si>
  <si>
    <t>Servicio de parqueos</t>
  </si>
  <si>
    <t>Arrendamiento de Bienes inmuebles</t>
  </si>
  <si>
    <t>Arrendamiento de Bienes</t>
  </si>
  <si>
    <t>Arrendamiento de Bienes Inmuebles</t>
  </si>
  <si>
    <t>IPSFA 7%</t>
  </si>
  <si>
    <t>AFP,s 7.75%</t>
  </si>
  <si>
    <t>ISSS + INSAFORP 8.5%</t>
  </si>
  <si>
    <t>IPSFA 7.0%</t>
  </si>
  <si>
    <t>Auxiliar Administrativo</t>
  </si>
  <si>
    <t>INPEP  7.00%</t>
  </si>
  <si>
    <t>ISSS+ INSAFORP 8.5%</t>
  </si>
  <si>
    <t>IPSFA 7.00%</t>
  </si>
  <si>
    <t>Archivo Municipal</t>
  </si>
  <si>
    <t>Acceso a la Información</t>
  </si>
  <si>
    <t>Sub total Línea</t>
  </si>
  <si>
    <t>Encargada de Archivo Municipal</t>
  </si>
  <si>
    <t>Acceso a la Inf. Publica</t>
  </si>
  <si>
    <t>Oficial de informacion</t>
  </si>
  <si>
    <t>Parqueos Municipales</t>
  </si>
  <si>
    <t>Sub total línea</t>
  </si>
  <si>
    <t>ISSS + INSAFORP 7.5%</t>
  </si>
  <si>
    <t>Acceso a la Información Pública</t>
  </si>
  <si>
    <t>Unidad de Archivo Municipal</t>
  </si>
  <si>
    <t>Clínica Municipal</t>
  </si>
  <si>
    <t xml:space="preserve">Enfermera </t>
  </si>
  <si>
    <t>Clínica municipal</t>
  </si>
  <si>
    <t>Parqueo Municipal 1a categoria</t>
  </si>
  <si>
    <t>Transferencias corrientes del sect priv</t>
  </si>
  <si>
    <t>Transf. Cte. Emp. Priv n/ financiera</t>
  </si>
  <si>
    <t>TRANSF. CTE. SECTOR PRIVADO</t>
  </si>
  <si>
    <t>Transf. Cte sector priv n/ financiero</t>
  </si>
  <si>
    <t>Acceso a la informacion Publica</t>
  </si>
  <si>
    <t>Acceso a la Inrormación Pública</t>
  </si>
  <si>
    <t>Acceso a la informacion pública</t>
  </si>
  <si>
    <t>Informatica</t>
  </si>
  <si>
    <t>N / A</t>
  </si>
  <si>
    <t>Acceso a la Información publica</t>
  </si>
  <si>
    <t>Inversiones en Activo fijo</t>
  </si>
  <si>
    <t>Fonds Prop FF2</t>
  </si>
  <si>
    <t>Prest. Externos</t>
  </si>
  <si>
    <t>Prest. Internos</t>
  </si>
  <si>
    <t xml:space="preserve"> </t>
  </si>
  <si>
    <t>Infraestructura Social</t>
  </si>
  <si>
    <t>Estructura Económica</t>
  </si>
  <si>
    <t>Amortización de Endeudamiento Público</t>
  </si>
  <si>
    <t>Servicios Diversos</t>
  </si>
  <si>
    <t>Servicios generales - baños pub</t>
  </si>
  <si>
    <t>Auxiliar de Secretaria</t>
  </si>
  <si>
    <t>N/A</t>
  </si>
  <si>
    <t>TOTALES - FONDOS PROPIOS</t>
  </si>
  <si>
    <t>TOTALES  - FONDOS PROPIOS</t>
  </si>
  <si>
    <t>Adquisición de Bienes y Servicios - FONDOS PROPIOS</t>
  </si>
  <si>
    <t xml:space="preserve">    </t>
  </si>
  <si>
    <t>Cuenta corriente FISDL- proy. Pte río chiquito</t>
  </si>
  <si>
    <t>CUENTAS POR COBRAR AÑOS ANTERIORES</t>
  </si>
  <si>
    <t>Cuentas por cobrar años anteriores</t>
  </si>
  <si>
    <t>Cuentas por cobrar años anteriorios</t>
  </si>
  <si>
    <t>TOTAL 32101</t>
  </si>
  <si>
    <t>FONDO GENERAL FODES 25%</t>
  </si>
  <si>
    <t xml:space="preserve">TOTAL </t>
  </si>
  <si>
    <t>Baños públicos</t>
  </si>
  <si>
    <t>Parqueo Municipal categoría</t>
  </si>
  <si>
    <t>Varios</t>
  </si>
  <si>
    <t>Cuenta Ahorro FISDL - Proy pte. Río chiquito</t>
  </si>
  <si>
    <t>Cuenta Ahorro FISDL - Proy const en Estadio gregorio Martinez</t>
  </si>
  <si>
    <t>Cuenta Corriente FISDL- proy. Estadio Gregorio Martinez</t>
  </si>
  <si>
    <t>Fondo General FF1</t>
  </si>
  <si>
    <t>Fondo General  FF1</t>
  </si>
  <si>
    <t>CUENTAS POR COBRAR DE AÑOS ANT.</t>
  </si>
  <si>
    <t>51103</t>
  </si>
  <si>
    <t>Bodega Municipal</t>
  </si>
  <si>
    <t>Niñez y adolescencia</t>
  </si>
  <si>
    <t>Transferencia de Cap. sec pub Fodes 2%</t>
  </si>
  <si>
    <t>PRESTAMOS</t>
  </si>
  <si>
    <t>Unidad Contravencional</t>
  </si>
  <si>
    <t>Encargado de Proyección Social</t>
  </si>
  <si>
    <t>Administrador de Parqueo</t>
  </si>
  <si>
    <t>CBI</t>
  </si>
  <si>
    <t>CAFPIM</t>
  </si>
  <si>
    <t>Encargado de bodega</t>
  </si>
  <si>
    <t>0203</t>
  </si>
  <si>
    <t>Bodega municipal</t>
  </si>
  <si>
    <t>DISPONIBLE INVERSION</t>
  </si>
  <si>
    <t>TOTAL INVERSIÓN</t>
  </si>
  <si>
    <t>Cínica Municipal</t>
  </si>
  <si>
    <t>LINEA DE TRABAJO: 05 FINANCIAMIENTO MUNICIPAL</t>
  </si>
  <si>
    <t>Saldo al 31/2020</t>
  </si>
  <si>
    <t>FODES 2%</t>
  </si>
  <si>
    <t>FONDO REACTIVACION ECONOMICA</t>
  </si>
  <si>
    <t>Fodes 2%</t>
  </si>
  <si>
    <t>Fondo para reactivación económica pos covid-19</t>
  </si>
  <si>
    <t>Unid. Contravencional</t>
  </si>
  <si>
    <t>Auxiliar Unidad Contravencional</t>
  </si>
  <si>
    <t>Auxiliar de comunicaciones</t>
  </si>
  <si>
    <t>Encargado de Planta de Tratamiento</t>
  </si>
  <si>
    <t>Auxiliar 2 Archivo contable</t>
  </si>
  <si>
    <t>Auxiliar 3 Activo fijo</t>
  </si>
  <si>
    <t>Asesor de asuntos Estratégico</t>
  </si>
  <si>
    <t>Podador de árboles</t>
  </si>
  <si>
    <t>Auxiiar Administrativo</t>
  </si>
  <si>
    <t>Ordenanza de Guardería</t>
  </si>
  <si>
    <t>SOBREGIRO</t>
  </si>
  <si>
    <t>DISPONIBLE FP</t>
  </si>
  <si>
    <t>Proy. Puente sobre río chiquito</t>
  </si>
  <si>
    <t>Unidad Agropecuaria</t>
  </si>
  <si>
    <t>Encargado de unidad Agropecuaria</t>
  </si>
  <si>
    <t>Ordenamiento y Desarrollo Territorial</t>
  </si>
  <si>
    <t>jefe Ordenamiento territorial</t>
  </si>
  <si>
    <t>Tecnico inspector</t>
  </si>
  <si>
    <t>Su total linea</t>
  </si>
  <si>
    <t>Ordenamiento y planif territorial</t>
  </si>
  <si>
    <t>Ordenamiento Territorial</t>
  </si>
  <si>
    <t>12</t>
  </si>
  <si>
    <t>DIFERENCIA DISPONIBLE PARA INVERSIÓN</t>
  </si>
  <si>
    <t>Transferencia Corriete ISDEM</t>
  </si>
  <si>
    <t>Transferencia de capital - ISDEM - 2%</t>
  </si>
  <si>
    <t>Obligaciones y transferencias generales del Estado - COVID</t>
  </si>
  <si>
    <t>Obligaciones y transferencias del Estado - COVID</t>
  </si>
  <si>
    <t>Transferencia corriente - ISDEM - 25%</t>
  </si>
  <si>
    <t>Transferencia de capital - ISDEM - 75%</t>
  </si>
  <si>
    <t>Transferencia corriente - ISDEM 25%</t>
  </si>
  <si>
    <t>Transf. Capital - ISDEM -75%</t>
  </si>
  <si>
    <t>Transf. Capital - ISDEM -2%</t>
  </si>
  <si>
    <t>Obligaciones y transf del Estado - COVID-19</t>
  </si>
  <si>
    <t>Transferencia de capital ISDEM - 75%</t>
  </si>
  <si>
    <t>FF2000 -000</t>
  </si>
  <si>
    <t>FF3000 -000</t>
  </si>
  <si>
    <t>FF4000 -000</t>
  </si>
  <si>
    <t>FF5000 -000</t>
  </si>
  <si>
    <t>FF1120 - 120</t>
  </si>
  <si>
    <t>FF1109 -109</t>
  </si>
  <si>
    <t xml:space="preserve">FF1110 -110 </t>
  </si>
  <si>
    <t>FF1111 -111</t>
  </si>
  <si>
    <t>Asignaciones por Aplicar Gasto corriente</t>
  </si>
  <si>
    <t>Asignaciones por aplicar gastos de Capital</t>
  </si>
  <si>
    <t>Asiganciones por aplicar Gastos de capital</t>
  </si>
  <si>
    <t>Bares y Restaurantes</t>
  </si>
  <si>
    <t>Venta de Mobiliario</t>
  </si>
  <si>
    <t>Proyección de Recursos Humanos para el Año 2022</t>
  </si>
  <si>
    <t>Derechos de propiedad intelectual</t>
  </si>
  <si>
    <t>LIBRE DISPONIBILIDAD- INVERSION</t>
  </si>
  <si>
    <t>LIBRE DISPONIBILIDAD - GASTO CORRIENTE</t>
  </si>
  <si>
    <t>LIBRE DISPONIBILIDAD</t>
  </si>
  <si>
    <t>VENTA DE ACTIVOS FIJOS</t>
  </si>
  <si>
    <t>Venta de Bienes Muebles</t>
  </si>
  <si>
    <t>Motorista Camion Cisterna</t>
  </si>
  <si>
    <t>Auxiliar Camion Sisterna</t>
  </si>
  <si>
    <t>Ayudante de Aseo Publico</t>
  </si>
  <si>
    <t>Encargado de Estadio</t>
  </si>
  <si>
    <t>Educadora CBI Guancora</t>
  </si>
  <si>
    <t>Educadora CAFPIM</t>
  </si>
  <si>
    <t xml:space="preserve">FONDOS PROPIOS </t>
  </si>
  <si>
    <t>Determinación del porcentaje de cobertura de la nómina con la FF1 (ANÁLISIS SIN EFECTO, PORQUE LA FF SERÁ FONDOS PROPIOS)</t>
  </si>
  <si>
    <t>Derechos de propiedad Intelectual</t>
  </si>
  <si>
    <t>Adquisición de Bienes y Servicios - FODES LIBRE DISPONIBILIDAD</t>
  </si>
  <si>
    <t>FONDOS FODES LIBRE DISPONIBILIDAD</t>
  </si>
  <si>
    <t>Adquisición de Bienes y Servicios - CONSOLIDADO</t>
  </si>
  <si>
    <t>Fondo General: FODES Libre Disponibilidad</t>
  </si>
  <si>
    <t>Fondo General FODES Libre Disponibilidad</t>
  </si>
  <si>
    <t>Fondo General: INVERSION</t>
  </si>
  <si>
    <t>Equipos de Transporte</t>
  </si>
  <si>
    <t>Equipos de transporte</t>
  </si>
  <si>
    <t>Gasto FLD</t>
  </si>
  <si>
    <t>Disp FLD</t>
  </si>
  <si>
    <t>Adquisición de Bienes y Servicios - CUENTAS POR PAGAR AÑOS ANTERIORES</t>
  </si>
  <si>
    <t>Cuentas por pagar años anteriores - Gasto corriente</t>
  </si>
  <si>
    <t>Cuentas por pagar años anteriores - Gastos de capital</t>
  </si>
  <si>
    <t>Adm anterior</t>
  </si>
  <si>
    <t>DFDS</t>
  </si>
  <si>
    <t>Combustible</t>
  </si>
  <si>
    <t>Gastos varios Reparaciones, otros</t>
  </si>
  <si>
    <t>FR 111</t>
  </si>
  <si>
    <t>FR 120</t>
  </si>
  <si>
    <t>FR 109</t>
  </si>
  <si>
    <t>Planilla FLD</t>
  </si>
  <si>
    <t>CUENTAS X PAGAR AÑOS ANTERIORES GASTOS DE CAPITAL</t>
  </si>
  <si>
    <t>Cuentas por pagar años anteriores, Gasto corriente</t>
  </si>
  <si>
    <t>CUENTAS X PAGAR AÑOS ANTERIORES GASTO CORRIENTE</t>
  </si>
  <si>
    <t>Cuentas por pagar años anteriores Gastos de Capital</t>
  </si>
  <si>
    <t>Cuentas por pagar años ateriores, gasto corriente</t>
  </si>
  <si>
    <t>Cuentas por pagar años anteriores, gastos de captal</t>
  </si>
  <si>
    <t>CUENTAS POR PAGAR AÑOS ANTERIORES, GASTOS DE CAPITAL</t>
  </si>
  <si>
    <t>CUENTAS X PAGAR AÑOS ANTERIORES, GASTO CORRIENTE</t>
  </si>
  <si>
    <t>CUENTAS X PAGAR AÑOS ANTERIORES, GASTOS DE CAPITAL</t>
  </si>
  <si>
    <t>Cuentas por pagar años anteriores, Gastos corriente</t>
  </si>
  <si>
    <t>Cuentas por pagar años anteriores, Gastos de capital</t>
  </si>
  <si>
    <t>Cuentas por pagar años anteriores, Gasto Corriente</t>
  </si>
  <si>
    <t>Cuentas por pagar años anteriores, Gasto de capital</t>
  </si>
  <si>
    <t>Intangilbles</t>
  </si>
  <si>
    <t>VENTA DE ACTIVOS</t>
  </si>
  <si>
    <t>FODES LIBRE DISPONIBILIDAD - FF 120</t>
  </si>
  <si>
    <t>Potencial proyectado</t>
  </si>
  <si>
    <t>Diponibilidad FP</t>
  </si>
  <si>
    <t>UNIDAD</t>
  </si>
  <si>
    <t>120 LIBRE DISPONIBILIDAD</t>
  </si>
  <si>
    <t>OTROS</t>
  </si>
  <si>
    <t>NOMINA SALARIAL</t>
  </si>
  <si>
    <t>TOTAL BIENES Y SERVICIOS + NOMINA</t>
  </si>
  <si>
    <t>LT: 0101 DIRECCIÓN Y ADMINISTRACIÓN SUPERIOR</t>
  </si>
  <si>
    <t>LT: 0102 ADMINISTRACIÓN FINANCIERA Y DE APOYO</t>
  </si>
  <si>
    <t>LT: 0201 SERVICIOS INTERNOS</t>
  </si>
  <si>
    <t>LT: 0202 SERVICIOS EXTERNOS</t>
  </si>
  <si>
    <t>TOTALES - FODES FR-120</t>
  </si>
  <si>
    <t>TOTALES - FODES FR120</t>
  </si>
  <si>
    <t>TOTALES - FODES FR - 120</t>
  </si>
  <si>
    <t>TOTALES - FODES FR -120</t>
  </si>
  <si>
    <t>Adquisición de Bienes y Servicios - FODES FR-120</t>
  </si>
  <si>
    <t>Adquisición de Bienes y Servicios - Fondos transferencias corrientes entes privados</t>
  </si>
  <si>
    <t>Adquisición de Bienes y Servicios - FODES FR -120</t>
  </si>
  <si>
    <t>TOTALES - TRANSF CTE. DE PRIVADOS</t>
  </si>
  <si>
    <t>TOTALES - TRANSF. CTE. PRIVADOS</t>
  </si>
  <si>
    <t>TOTAL FR 120</t>
  </si>
  <si>
    <t>Adquisición de Bienes y Servicios - TRNSF. CTE. ENTES PRIVADOS</t>
  </si>
  <si>
    <t>Adquisición de Bienes y Servicios - TRANSF. CTE. ENTES PRIVADOS</t>
  </si>
  <si>
    <t>TOTALES -TRANSF. CTE. ENTES PRIV.</t>
  </si>
  <si>
    <t>TOTALES - TRANSF. CTE. ENTES PRIV</t>
  </si>
  <si>
    <t>Productos alimenticios para animales</t>
  </si>
  <si>
    <t xml:space="preserve">Productos alimenticios para animales </t>
  </si>
  <si>
    <t>MONTO PRESUPUESTADO</t>
  </si>
  <si>
    <t>Prductos alimenticios para animales</t>
  </si>
  <si>
    <t>Consultorias y servicios diversos</t>
  </si>
  <si>
    <t>Disponible sin C X P</t>
  </si>
  <si>
    <t>Obligaciones y transf del Estado - FODES Libre Disponibilidad</t>
  </si>
  <si>
    <t>17</t>
  </si>
  <si>
    <t>Unidad Deportiva</t>
  </si>
  <si>
    <t>UNIDAD DEPORTIVA</t>
  </si>
  <si>
    <t>Tecnicos Auxiliares</t>
  </si>
  <si>
    <t>Auxiliar Electricista</t>
  </si>
  <si>
    <t>Albañil</t>
  </si>
  <si>
    <t>Unidad deportiva</t>
  </si>
  <si>
    <t>Auxiliar Albañil</t>
  </si>
  <si>
    <t>Encargado de inspecciones de construccion</t>
  </si>
  <si>
    <t>Auxiliar de Mantenimiento de canchas</t>
  </si>
  <si>
    <t>Auxiliar de deporte</t>
  </si>
  <si>
    <t>Encargado de tiangue</t>
  </si>
  <si>
    <t>Asistentes de protocolo</t>
  </si>
  <si>
    <t xml:space="preserve">Auxiliar de Archivo </t>
  </si>
  <si>
    <t xml:space="preserve">SUB-TOTAL </t>
  </si>
  <si>
    <t>EJERCICIO FINANCIERO FISCAL: DEL 01 DE ENERO AL 31 DE DICIEMBRE DE 2023</t>
  </si>
  <si>
    <t>Jefe supervisor de desarrollo y emprendimiento local</t>
  </si>
  <si>
    <t>Auxiliar de Recursos  humanos</t>
  </si>
  <si>
    <t>Promotor Social</t>
  </si>
  <si>
    <t>Trabajador Social</t>
  </si>
  <si>
    <t>Auxiliar de Tesorería I</t>
  </si>
  <si>
    <t>Auxiliar de Tesorería II</t>
  </si>
  <si>
    <t>Auxiliar para Registros en SAFIM</t>
  </si>
  <si>
    <t>Colectores de Mercado I</t>
  </si>
  <si>
    <t>Colectores de Mercado II</t>
  </si>
  <si>
    <t>Colectores de Parqueo I</t>
  </si>
  <si>
    <t>Colectores de Parqueo II</t>
  </si>
  <si>
    <t>Auxiliar de Proyectos I</t>
  </si>
  <si>
    <t>Auxiliar de Proyectos II</t>
  </si>
  <si>
    <t>Jardinero I</t>
  </si>
  <si>
    <t>Auxiliar de Cuadrilla M.A. I</t>
  </si>
  <si>
    <t>Auxiliar de Cuadrilla M.A. II</t>
  </si>
  <si>
    <t>Jardinero II</t>
  </si>
  <si>
    <t>Encargado de Unidad Deportiva</t>
  </si>
  <si>
    <t>Encargado de Canchas y Deportes</t>
  </si>
  <si>
    <t>Encargado de Servicios Municipales</t>
  </si>
  <si>
    <t>Motorista I</t>
  </si>
  <si>
    <t>Motorista II</t>
  </si>
  <si>
    <t>Motorista III</t>
  </si>
  <si>
    <t>Motorista IV</t>
  </si>
  <si>
    <t>Ordenanza I</t>
  </si>
  <si>
    <t>Ordenanza II</t>
  </si>
  <si>
    <t>Ordenanza III</t>
  </si>
  <si>
    <t>Panteonero I</t>
  </si>
  <si>
    <t>Panteonero II</t>
  </si>
  <si>
    <t>Panteonero III</t>
  </si>
  <si>
    <t xml:space="preserve">Secretaria </t>
  </si>
  <si>
    <t>Barrendero del Mercado I</t>
  </si>
  <si>
    <t>Barrendero del Mercado II</t>
  </si>
  <si>
    <t>Barrendero del Mercado III</t>
  </si>
  <si>
    <t>Barrendero del Mercado IV</t>
  </si>
  <si>
    <t>Barrendero del Mercado V</t>
  </si>
  <si>
    <t>Ordenanza de mercado</t>
  </si>
  <si>
    <t>Agente Tercera Categoría I</t>
  </si>
  <si>
    <t>Agente Tercera Categoría II</t>
  </si>
  <si>
    <t>Agente Tercera Categoría III</t>
  </si>
  <si>
    <t>Fontanero I</t>
  </si>
  <si>
    <t>Auxiar de Motoniveladora</t>
  </si>
  <si>
    <t>Personal que cubre vacaciones</t>
  </si>
  <si>
    <t>Obligaciones y transferencias generales del Estado - FR 216</t>
  </si>
  <si>
    <t xml:space="preserve">Obligaciones y transf, Generales del Estado </t>
  </si>
  <si>
    <t>Obligaciones y transferencias generales del Estado - FR 120</t>
  </si>
  <si>
    <t>Dirección General de Tesorería</t>
  </si>
  <si>
    <t>FF</t>
  </si>
  <si>
    <t>FODES Libre Disponibilidad</t>
  </si>
  <si>
    <t>Servicio de la Deuda pública - D-L 204</t>
  </si>
  <si>
    <t xml:space="preserve">Transferencias Fodes Libre Disponibilidad </t>
  </si>
  <si>
    <t>Dirección General de Tesorería - FR-125</t>
  </si>
  <si>
    <t>Fondos DL-477</t>
  </si>
  <si>
    <t>Fondo de apoyo municipal para proyectos, actividades soc y serv</t>
  </si>
  <si>
    <t>FR-216</t>
  </si>
  <si>
    <t>DL 477</t>
  </si>
  <si>
    <t>DL 204</t>
  </si>
  <si>
    <t>Proyectado percibir en ingreso corriente</t>
  </si>
  <si>
    <t>Proyectado mora adicional a recuperar, respeto al 2022</t>
  </si>
  <si>
    <t>Materiales e Instrumental de Laboratorios y Uso Médico</t>
  </si>
  <si>
    <t>Derechos</t>
  </si>
  <si>
    <t>Impuestos tasas y derechos</t>
  </si>
  <si>
    <t>Gasto Cte Total</t>
  </si>
  <si>
    <t>Deportes</t>
  </si>
  <si>
    <t>Inversión</t>
  </si>
  <si>
    <t>Sub total</t>
  </si>
  <si>
    <t>Serv deuda</t>
  </si>
  <si>
    <t>cuentas por pagar</t>
  </si>
  <si>
    <t>total gastos</t>
  </si>
  <si>
    <t xml:space="preserve">Presupuesto </t>
  </si>
  <si>
    <t>Diferencia</t>
  </si>
  <si>
    <t>18</t>
  </si>
  <si>
    <t>Supervisor de desarrollo y emprendimiento local</t>
  </si>
  <si>
    <t>Disp GC 1.5%  FLD</t>
  </si>
  <si>
    <t>Transferencias corrientes</t>
  </si>
  <si>
    <t>Transferencias corrientes al sector privado</t>
  </si>
  <si>
    <t>AFP,s 8.75%</t>
  </si>
  <si>
    <t>Ejecución de proyectos diversos</t>
  </si>
  <si>
    <t>FODES +FP+Planilla</t>
  </si>
  <si>
    <t>UNIDAD DE COMPRAS PUBLICAS</t>
  </si>
  <si>
    <t>Ejercicio Financiero Fiscal 2024</t>
  </si>
  <si>
    <t>PROYECCION DE INGRESOS CORRIENTES PARA EL AÑO 2024</t>
  </si>
  <si>
    <t>Ejercicio Financiero Fiscal: del 01 de enero al 31 de diciembre de 2024</t>
  </si>
  <si>
    <t>LISTADO DE CUENTAS BANCARIAS Y SUS SALDOS AL 31 DE DICIEMBRE DE 2023</t>
  </si>
  <si>
    <t>Proyección de Recursos Humanos para el Año 2024</t>
  </si>
  <si>
    <t>ALCALDÍA MUNICIPAL DE CHALATENANGO</t>
  </si>
  <si>
    <t>GERENCIA ADMINISTRATIVA FINANCIERA</t>
  </si>
  <si>
    <t>UNIDAD DE PRESUPUESTO</t>
  </si>
  <si>
    <t>DISTRIBUCIÓN DE GASTOS, SEGÚN UNIDADES ADMINISTRATIVAS Y FUENTES DE RECURSOS - 2024</t>
  </si>
  <si>
    <t>EJERCICIO FINANCIERO FISCAL: DEL 01 DE ENERO AL 31 DE DICIEMBRE DE 2024</t>
  </si>
  <si>
    <t>ALCALDIA MUNICIPAL DE CHALATENANGO, DEPARTAMENTO DE CHALATENANGO - PRESUPUESTO APROBADO PARA EL AÑO 2024</t>
  </si>
  <si>
    <t>EJERCICIO FISCAL 2024</t>
  </si>
  <si>
    <t>Ayudante Camion Recolector I</t>
  </si>
  <si>
    <t>Ayudante Camion Recolector II</t>
  </si>
  <si>
    <t>Ayudante Camion Recolector III</t>
  </si>
  <si>
    <t>Barrendero I</t>
  </si>
  <si>
    <t>Barrendero II</t>
  </si>
  <si>
    <t>Administracion de Servisios de Agua Potable</t>
  </si>
  <si>
    <t>Operador Motoniveladora</t>
  </si>
  <si>
    <t>Operador Retroexcavadora</t>
  </si>
  <si>
    <t>Motorista de Camion recolector</t>
  </si>
  <si>
    <t>Aseo y Administracion de Servicios</t>
  </si>
  <si>
    <t>Auxiliar de recoleccion</t>
  </si>
  <si>
    <t>Cuadrilla para UATM (Inspector + 4 cuadrilla)</t>
  </si>
  <si>
    <t>FODES LIBRE DISPONIBILIDAD 1.5%</t>
  </si>
  <si>
    <t>Indemnizacion + 30% bonificación</t>
  </si>
  <si>
    <t>Indemnizaciones + 30% bonificacion anual</t>
  </si>
  <si>
    <t xml:space="preserve">Hasta la fecha de análisis no se habían transferido cuotas de noviembre a diciembre 2023 </t>
  </si>
  <si>
    <t>Instituto Nacional de los Deportes</t>
  </si>
  <si>
    <t>Supervisor de Desarro y emprendimiento local</t>
  </si>
  <si>
    <t>Pavimentación de Calle En la Junta, Barrio la Sierpe</t>
  </si>
  <si>
    <t>Financiamiento de Actividades deportivas 2023</t>
  </si>
  <si>
    <t>Financiamiento para Equipo Alacranes FC, en su participación en torneo patrocinado por INDES, temporada 2023 - 2024</t>
  </si>
  <si>
    <t>Fondos Decreto 477</t>
  </si>
  <si>
    <t>Pendientes de entregar 3 cuotas al cierre del presente análisis</t>
  </si>
  <si>
    <t>Fondos convenio C.B.I</t>
  </si>
  <si>
    <t>Convenios</t>
  </si>
  <si>
    <t>Progrma para apoyo a la mujer (DL 477)</t>
  </si>
  <si>
    <t>Programa de Asistencia Sanitaria (DL 477) - 2024</t>
  </si>
  <si>
    <t>Supervisión de proyecto "Pavimentación de Calle a la Junta Barrio la Sierpe"</t>
  </si>
  <si>
    <t>Reconstruccion de calle principal y tres pasajes en colonia Fatima, barrio sa Antonio, Ciudad de Chalatenango.</t>
  </si>
  <si>
    <t>Reconstrccion de calle final  bruno bonilla y calle santa Lucia, Ciudad de Chalatengo.</t>
  </si>
  <si>
    <t>Construccion de pasarela en caserio la concepcion, canton San Jose, Ciudad de Chalatenango.</t>
  </si>
  <si>
    <t>Progrma de becas de educación media y superior para el 2024 DL 477</t>
  </si>
  <si>
    <t>Bacheo con mezcla asfaltica y concreto hidraulico, en area urbana y sus alrededores, Municipio de chalatenango.</t>
  </si>
  <si>
    <t>Mantenimiento de caminos de terraceria 2023, Municipio de chalatenango.</t>
  </si>
  <si>
    <t>Reordenamiento ciudad de chalatenango</t>
  </si>
  <si>
    <t>Rehabilitacion de pozo existente en canton San Jose, Municipio de chalatenango.</t>
  </si>
  <si>
    <t>Construccion de pasarela en quebrada conocida como "la quebradita" en caserio los Ramirez, canton las minas, Municipio de chalatenango.</t>
  </si>
  <si>
    <t>Construccion de aproches en pje. Col. Esperanza plan de las mesas, Municipio de chalatenango.</t>
  </si>
  <si>
    <t>Fondo para financiamiento del plan de emergencias 2024</t>
  </si>
  <si>
    <t>Financiamiento de Actividades deportivas 2024</t>
  </si>
  <si>
    <t>Disp total</t>
  </si>
  <si>
    <t>bienes y serv</t>
  </si>
  <si>
    <t>saldo 1</t>
  </si>
  <si>
    <t xml:space="preserve">planilla </t>
  </si>
  <si>
    <t>saldo 2</t>
  </si>
  <si>
    <t>Inversion</t>
  </si>
  <si>
    <t xml:space="preserve">Fondos Convenio  - Instituto crecer juntos para funcionamiento de CBI </t>
  </si>
  <si>
    <t>Programa de Atención al Adulto mayor - "Gratitud 2024" (DL 477)</t>
  </si>
  <si>
    <t>Programa gratitud 2023   (DL 477)</t>
  </si>
  <si>
    <t xml:space="preserve">Programa de Becas 2023 (DL 477)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</si>
</sst>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&quot;¢&quot;* #,##0.00_);_(&quot;¢&quot;* \(#,##0.00\);_(&quot;¢&quot;* &quot;-&quot;??_);_(@_)"/>
    <numFmt numFmtId="168" formatCode="_-[$€-2]* #,##0.00_-;\-[$€-2]* #,##0.00_-;_-[$€-2]* &quot;-&quot;??_-"/>
    <numFmt numFmtId="169" formatCode="_([$$-409]* #,##0.00_);_([$$-409]* \(#,##0.00\);_([$$-409]* &quot;-&quot;??_);_(@_)"/>
    <numFmt numFmtId="170" formatCode="_-[$$-409]* #,##0.00_ ;_-[$$-409]* \-#,##0.00\ ;_-[$$-409]* &quot;-&quot;??_ ;_-@_ "/>
    <numFmt numFmtId="171" formatCode="#,##0.000"/>
    <numFmt numFmtId="172" formatCode="0.00000"/>
    <numFmt numFmtId="173" formatCode="_-[$$-240A]\ * #,##0_ ;_-[$$-240A]\ * \-#,##0\ ;_-[$$-240A]\ * &quot;-&quot;_ ;_-@_ "/>
    <numFmt numFmtId="174" formatCode="_(* #,##0_);_(* \(#,##0\);_(* &quot;-&quot;??_);_(@_)"/>
    <numFmt numFmtId="175" formatCode="_ [$$-240A]\ * #,##0_ ;_ [$$-240A]\ * \-#,##0_ ;_ [$$-240A]\ * &quot;-&quot;_ ;_ @_ "/>
    <numFmt numFmtId="176" formatCode="_-[$$-409]* #,##0_ ;_-[$$-409]* \-#,##0\ ;_-[$$-409]* &quot;-&quot;??_ ;_-@_ "/>
    <numFmt numFmtId="177" formatCode="_-[$$-240A]\ * #,##0.0_ ;_-[$$-240A]\ * \-#,##0.0\ ;_-[$$-240A]\ * &quot;-&quot;_ ;_-@_ "/>
    <numFmt numFmtId="178" formatCode="_-[$$-240A]\ * #,##0.00_ ;_-[$$-240A]\ * \-#,##0.00\ ;_-[$$-240A]\ * &quot;-&quot;_ ;_-@_ "/>
    <numFmt numFmtId="179" formatCode="_ [$$-240A]\ * #,##0.00_ ;_ [$$-240A]\ * \-#,##0.00_ ;_ [$$-240A]\ * &quot;-&quot;_ ;_ @_ "/>
    <numFmt numFmtId="180" formatCode="_-[$$-240A]* #,##0.00_-;\-[$$-240A]* #,##0.00_-;_-[$$-240A]* &quot;-&quot;??_-;_-@_-"/>
    <numFmt numFmtId="181" formatCode="[$$-240A]#,##0"/>
    <numFmt numFmtId="182" formatCode="_-[$$-240A]* #,##0_-;\-[$$-240A]* #,##0_-;_-[$$-240A]* &quot;-&quot;??_-;_-@_-"/>
    <numFmt numFmtId="183" formatCode="_(&quot;$&quot;* #,##0_);_(&quot;$&quot;* \(#,##0\);_(&quot;$&quot;* &quot;-&quot;??_);_(@_)"/>
    <numFmt numFmtId="184" formatCode="_([$$-409]* #,##0_);_([$$-409]* \(#,##0\);_([$$-409]* &quot;-&quot;??_);_(@_)"/>
    <numFmt numFmtId="185" formatCode="_-[$$-440A]* #,##0.00_-;\-[$$-440A]* #,##0.00_-;_-[$$-440A]* &quot;-&quot;??_-;_-@_-"/>
    <numFmt numFmtId="186" formatCode="_-[$$-240A]\ * #,##0.00_-;\-[$$-240A]\ * #,##0.00_-;_-[$$-240A]\ * &quot;-&quot;??_-;_-@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i/>
      <sz val="8"/>
      <name val="Verdana"/>
      <family val="2"/>
    </font>
    <font>
      <sz val="9"/>
      <name val="Arial"/>
      <family val="2"/>
    </font>
    <font>
      <sz val="8"/>
      <name val="Eras Medium ITC"/>
      <family val="2"/>
    </font>
    <font>
      <b/>
      <sz val="10"/>
      <name val="Eras Medium ITC"/>
      <family val="2"/>
    </font>
    <font>
      <sz val="10"/>
      <name val="Eras Medium ITC"/>
      <family val="2"/>
    </font>
    <font>
      <b/>
      <sz val="9"/>
      <name val="Eras Medium ITC"/>
      <family val="2"/>
    </font>
    <font>
      <sz val="9"/>
      <name val="Eras Medium ITC"/>
      <family val="2"/>
    </font>
    <font>
      <b/>
      <sz val="8"/>
      <name val="Eras Medium ITC"/>
      <family val="2"/>
    </font>
    <font>
      <b/>
      <sz val="12"/>
      <name val="Eras Medium ITC"/>
      <family val="2"/>
    </font>
    <font>
      <b/>
      <sz val="11"/>
      <name val="Eras Medium ITC"/>
      <family val="2"/>
    </font>
    <font>
      <b/>
      <sz val="14"/>
      <name val="Eras Medium ITC"/>
      <family val="2"/>
    </font>
    <font>
      <sz val="12"/>
      <name val="Eras Medium ITC"/>
      <family val="2"/>
    </font>
    <font>
      <sz val="11"/>
      <name val="Eras Medium ITC"/>
      <family val="2"/>
    </font>
    <font>
      <b/>
      <i/>
      <sz val="10"/>
      <name val="Eras Medium ITC"/>
      <family val="2"/>
    </font>
    <font>
      <b/>
      <i/>
      <sz val="12"/>
      <name val="Eras Medium ITC"/>
      <family val="2"/>
    </font>
    <font>
      <i/>
      <sz val="8"/>
      <name val="Eras Medium ITC"/>
      <family val="2"/>
    </font>
    <font>
      <sz val="8"/>
      <color theme="0"/>
      <name val="Eras Medium ITC"/>
      <family val="2"/>
    </font>
    <font>
      <sz val="14"/>
      <name val="Eras Medium ITC"/>
      <family val="2"/>
    </font>
    <font>
      <sz val="11"/>
      <color theme="0"/>
      <name val="Calibri"/>
      <family val="2"/>
      <scheme val="minor"/>
    </font>
    <font>
      <sz val="11"/>
      <color theme="0"/>
      <name val="Eras Medium ITC"/>
      <family val="2"/>
    </font>
    <font>
      <b/>
      <sz val="11"/>
      <color theme="1"/>
      <name val="Eras Medium ITC"/>
      <family val="2"/>
    </font>
    <font>
      <sz val="12"/>
      <color theme="0"/>
      <name val="Eras Medium ITC"/>
      <family val="2"/>
    </font>
    <font>
      <sz val="7"/>
      <name val="Eras Medium ITC"/>
      <family val="2"/>
    </font>
    <font>
      <sz val="10"/>
      <color rgb="FFFF0000"/>
      <name val="Eras Medium ITC"/>
      <family val="2"/>
    </font>
    <font>
      <sz val="10"/>
      <color theme="0"/>
      <name val="Eras Medium ITC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8"/>
      <color theme="1"/>
      <name val="Eras Medium ITC"/>
      <family val="2"/>
    </font>
    <font>
      <sz val="10"/>
      <color theme="1"/>
      <name val="Eras Medium ITC"/>
      <family val="2"/>
    </font>
    <font>
      <sz val="8"/>
      <color theme="9" tint="-0.249977111117893"/>
      <name val="Eras Medium ITC"/>
      <family val="2"/>
    </font>
    <font>
      <sz val="10"/>
      <color theme="9" tint="-0.249977111117893"/>
      <name val="Eras Medium ITC"/>
      <family val="2"/>
    </font>
    <font>
      <sz val="8"/>
      <color theme="9"/>
      <name val="Eras Medium ITC"/>
      <family val="2"/>
    </font>
    <font>
      <sz val="10"/>
      <color theme="9"/>
      <name val="Eras Medium ITC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1">
    <xf numFmtId="0" fontId="0" fillId="0" borderId="0"/>
    <xf numFmtId="168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6" borderId="0" applyNumberFormat="0" applyBorder="0" applyAlignment="0" applyProtection="0"/>
    <xf numFmtId="0" fontId="2" fillId="7" borderId="0" applyNumberFormat="0" applyBorder="0" applyAlignment="0" applyProtection="0"/>
    <xf numFmtId="44" fontId="1" fillId="0" borderId="0" applyFont="0" applyFill="0" applyBorder="0" applyAlignment="0" applyProtection="0"/>
  </cellStyleXfs>
  <cellXfs count="1306">
    <xf numFmtId="0" fontId="0" fillId="0" borderId="0" xfId="0"/>
    <xf numFmtId="4" fontId="0" fillId="0" borderId="0" xfId="0" applyNumberFormat="1"/>
    <xf numFmtId="43" fontId="0" fillId="0" borderId="0" xfId="0" applyNumberFormat="1"/>
    <xf numFmtId="166" fontId="4" fillId="0" borderId="0" xfId="0" applyNumberFormat="1" applyFont="1" applyAlignment="1">
      <alignment horizontal="center" wrapText="1"/>
    </xf>
    <xf numFmtId="166" fontId="5" fillId="0" borderId="0" xfId="4" applyFont="1" applyBorder="1"/>
    <xf numFmtId="166" fontId="4" fillId="0" borderId="0" xfId="4" applyFont="1" applyBorder="1"/>
    <xf numFmtId="49" fontId="0" fillId="0" borderId="0" xfId="0" applyNumberFormat="1"/>
    <xf numFmtId="0" fontId="6" fillId="0" borderId="0" xfId="0" applyFont="1" applyAlignment="1">
      <alignment horizontal="right"/>
    </xf>
    <xf numFmtId="166" fontId="0" fillId="0" borderId="0" xfId="2" applyFont="1"/>
    <xf numFmtId="0" fontId="9" fillId="0" borderId="0" xfId="0" applyFont="1"/>
    <xf numFmtId="49" fontId="9" fillId="0" borderId="4" xfId="0" applyNumberFormat="1" applyFont="1" applyBorder="1"/>
    <xf numFmtId="49" fontId="9" fillId="0" borderId="0" xfId="0" applyNumberFormat="1" applyFont="1"/>
    <xf numFmtId="49" fontId="10" fillId="0" borderId="5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3" fontId="9" fillId="0" borderId="4" xfId="5" applyFont="1" applyBorder="1"/>
    <xf numFmtId="0" fontId="10" fillId="0" borderId="4" xfId="0" applyFont="1" applyBorder="1" applyAlignment="1">
      <alignment horizontal="center"/>
    </xf>
    <xf numFmtId="0" fontId="10" fillId="0" borderId="0" xfId="0" applyFont="1"/>
    <xf numFmtId="4" fontId="10" fillId="0" borderId="4" xfId="5" applyNumberFormat="1" applyFont="1" applyBorder="1"/>
    <xf numFmtId="4" fontId="9" fillId="0" borderId="4" xfId="5" applyNumberFormat="1" applyFont="1" applyBorder="1"/>
    <xf numFmtId="49" fontId="9" fillId="2" borderId="5" xfId="0" applyNumberFormat="1" applyFont="1" applyFill="1" applyBorder="1"/>
    <xf numFmtId="0" fontId="10" fillId="2" borderId="6" xfId="0" applyFont="1" applyFill="1" applyBorder="1" applyAlignment="1">
      <alignment horizontal="center"/>
    </xf>
    <xf numFmtId="4" fontId="10" fillId="2" borderId="5" xfId="5" applyNumberFormat="1" applyFont="1" applyFill="1" applyBorder="1"/>
    <xf numFmtId="0" fontId="13" fillId="0" borderId="0" xfId="0" applyFont="1"/>
    <xf numFmtId="166" fontId="13" fillId="0" borderId="0" xfId="0" applyNumberFormat="1" applyFont="1"/>
    <xf numFmtId="43" fontId="13" fillId="0" borderId="0" xfId="0" applyNumberFormat="1" applyFont="1"/>
    <xf numFmtId="49" fontId="13" fillId="0" borderId="0" xfId="0" applyNumberFormat="1" applyFont="1"/>
    <xf numFmtId="0" fontId="14" fillId="0" borderId="1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5" fillId="0" borderId="16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1" xfId="0" applyFont="1" applyBorder="1"/>
    <xf numFmtId="0" fontId="16" fillId="0" borderId="1" xfId="0" applyFont="1" applyBorder="1" applyAlignment="1">
      <alignment horizontal="left"/>
    </xf>
    <xf numFmtId="0" fontId="16" fillId="0" borderId="17" xfId="0" applyFont="1" applyBorder="1" applyAlignment="1">
      <alignment horizontal="center"/>
    </xf>
    <xf numFmtId="0" fontId="16" fillId="0" borderId="18" xfId="0" applyFont="1" applyBorder="1"/>
    <xf numFmtId="0" fontId="15" fillId="0" borderId="17" xfId="0" applyFont="1" applyBorder="1" applyAlignment="1">
      <alignment horizontal="center"/>
    </xf>
    <xf numFmtId="0" fontId="15" fillId="0" borderId="18" xfId="0" applyFont="1" applyBorder="1"/>
    <xf numFmtId="0" fontId="16" fillId="0" borderId="19" xfId="0" applyFont="1" applyBorder="1" applyAlignment="1">
      <alignment horizontal="center"/>
    </xf>
    <xf numFmtId="0" fontId="16" fillId="0" borderId="20" xfId="0" applyFont="1" applyBorder="1"/>
    <xf numFmtId="166" fontId="16" fillId="0" borderId="0" xfId="0" applyNumberFormat="1" applyFont="1"/>
    <xf numFmtId="0" fontId="16" fillId="0" borderId="0" xfId="0" applyFont="1" applyAlignment="1">
      <alignment horizontal="center"/>
    </xf>
    <xf numFmtId="166" fontId="16" fillId="0" borderId="0" xfId="4" applyFont="1" applyBorder="1"/>
    <xf numFmtId="43" fontId="16" fillId="0" borderId="0" xfId="0" applyNumberFormat="1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/>
    <xf numFmtId="0" fontId="14" fillId="0" borderId="0" xfId="0" applyFont="1"/>
    <xf numFmtId="0" fontId="15" fillId="0" borderId="1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166" fontId="15" fillId="0" borderId="0" xfId="0" applyNumberFormat="1" applyFont="1"/>
    <xf numFmtId="43" fontId="16" fillId="0" borderId="1" xfId="5" applyFont="1" applyFill="1" applyBorder="1"/>
    <xf numFmtId="166" fontId="15" fillId="0" borderId="1" xfId="0" applyNumberFormat="1" applyFont="1" applyBorder="1"/>
    <xf numFmtId="166" fontId="16" fillId="0" borderId="1" xfId="2" applyFont="1" applyFill="1" applyBorder="1"/>
    <xf numFmtId="166" fontId="16" fillId="0" borderId="0" xfId="2" applyFont="1" applyFill="1"/>
    <xf numFmtId="43" fontId="16" fillId="0" borderId="0" xfId="5" applyFont="1" applyFill="1" applyBorder="1"/>
    <xf numFmtId="0" fontId="14" fillId="0" borderId="0" xfId="0" applyFont="1" applyAlignment="1">
      <alignment horizontal="left"/>
    </xf>
    <xf numFmtId="0" fontId="19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49" fontId="15" fillId="0" borderId="37" xfId="0" applyNumberFormat="1" applyFont="1" applyBorder="1" applyAlignment="1">
      <alignment horizontal="center"/>
    </xf>
    <xf numFmtId="49" fontId="15" fillId="0" borderId="38" xfId="0" applyNumberFormat="1" applyFont="1" applyBorder="1"/>
    <xf numFmtId="49" fontId="15" fillId="0" borderId="37" xfId="0" applyNumberFormat="1" applyFont="1" applyBorder="1"/>
    <xf numFmtId="0" fontId="15" fillId="0" borderId="37" xfId="0" applyFont="1" applyBorder="1" applyAlignment="1">
      <alignment horizontal="left"/>
    </xf>
    <xf numFmtId="49" fontId="16" fillId="0" borderId="39" xfId="0" applyNumberFormat="1" applyFont="1" applyBorder="1"/>
    <xf numFmtId="49" fontId="15" fillId="0" borderId="0" xfId="0" applyNumberFormat="1" applyFont="1"/>
    <xf numFmtId="49" fontId="15" fillId="0" borderId="39" xfId="0" applyNumberFormat="1" applyFont="1" applyBorder="1"/>
    <xf numFmtId="0" fontId="15" fillId="0" borderId="39" xfId="0" applyFont="1" applyBorder="1"/>
    <xf numFmtId="49" fontId="16" fillId="0" borderId="0" xfId="0" applyNumberFormat="1" applyFont="1"/>
    <xf numFmtId="0" fontId="19" fillId="0" borderId="39" xfId="0" applyFont="1" applyBorder="1"/>
    <xf numFmtId="49" fontId="14" fillId="0" borderId="39" xfId="0" applyNumberFormat="1" applyFont="1" applyBorder="1"/>
    <xf numFmtId="0" fontId="19" fillId="0" borderId="37" xfId="0" applyFont="1" applyBorder="1" applyAlignment="1">
      <alignment horizontal="center"/>
    </xf>
    <xf numFmtId="49" fontId="19" fillId="0" borderId="38" xfId="0" applyNumberFormat="1" applyFont="1" applyBorder="1"/>
    <xf numFmtId="49" fontId="19" fillId="0" borderId="37" xfId="0" applyNumberFormat="1" applyFont="1" applyBorder="1"/>
    <xf numFmtId="0" fontId="19" fillId="0" borderId="37" xfId="0" applyFont="1" applyBorder="1" applyAlignment="1">
      <alignment horizontal="left"/>
    </xf>
    <xf numFmtId="0" fontId="14" fillId="0" borderId="39" xfId="0" applyFont="1" applyBorder="1" applyAlignment="1">
      <alignment horizontal="center"/>
    </xf>
    <xf numFmtId="49" fontId="14" fillId="0" borderId="0" xfId="0" applyNumberFormat="1" applyFont="1"/>
    <xf numFmtId="0" fontId="14" fillId="0" borderId="39" xfId="0" applyFont="1" applyBorder="1"/>
    <xf numFmtId="0" fontId="19" fillId="0" borderId="37" xfId="0" applyFont="1" applyBorder="1"/>
    <xf numFmtId="0" fontId="14" fillId="0" borderId="2" xfId="0" applyFont="1" applyBorder="1"/>
    <xf numFmtId="49" fontId="14" fillId="0" borderId="40" xfId="0" applyNumberFormat="1" applyFont="1" applyBorder="1"/>
    <xf numFmtId="49" fontId="14" fillId="0" borderId="2" xfId="0" applyNumberFormat="1" applyFont="1" applyBorder="1"/>
    <xf numFmtId="170" fontId="16" fillId="0" borderId="0" xfId="0" applyNumberFormat="1" applyFont="1"/>
    <xf numFmtId="0" fontId="16" fillId="0" borderId="43" xfId="0" applyFont="1" applyBorder="1" applyAlignment="1">
      <alignment horizontal="left"/>
    </xf>
    <xf numFmtId="0" fontId="16" fillId="0" borderId="45" xfId="0" applyFont="1" applyBorder="1" applyAlignment="1">
      <alignment horizontal="left"/>
    </xf>
    <xf numFmtId="0" fontId="16" fillId="0" borderId="46" xfId="0" applyFont="1" applyBorder="1"/>
    <xf numFmtId="0" fontId="17" fillId="0" borderId="49" xfId="0" applyFont="1" applyBorder="1" applyAlignment="1">
      <alignment horizontal="left" wrapText="1"/>
    </xf>
    <xf numFmtId="0" fontId="17" fillId="0" borderId="50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1" xfId="0" applyFont="1" applyBorder="1"/>
    <xf numFmtId="0" fontId="18" fillId="0" borderId="16" xfId="0" applyFont="1" applyBorder="1" applyAlignment="1">
      <alignment horizontal="center"/>
    </xf>
    <xf numFmtId="0" fontId="17" fillId="0" borderId="1" xfId="0" applyFont="1" applyBorder="1"/>
    <xf numFmtId="166" fontId="18" fillId="0" borderId="0" xfId="0" applyNumberFormat="1" applyFont="1"/>
    <xf numFmtId="10" fontId="19" fillId="0" borderId="12" xfId="0" applyNumberFormat="1" applyFont="1" applyBorder="1" applyAlignment="1">
      <alignment horizontal="center"/>
    </xf>
    <xf numFmtId="172" fontId="19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/>
    </xf>
    <xf numFmtId="0" fontId="14" fillId="0" borderId="55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173" fontId="14" fillId="0" borderId="2" xfId="5" applyNumberFormat="1" applyFont="1" applyBorder="1" applyAlignment="1">
      <alignment horizontal="justify" vertical="center"/>
    </xf>
    <xf numFmtId="173" fontId="14" fillId="0" borderId="2" xfId="0" applyNumberFormat="1" applyFont="1" applyBorder="1" applyAlignment="1">
      <alignment horizontal="justify" vertical="center"/>
    </xf>
    <xf numFmtId="173" fontId="14" fillId="0" borderId="1" xfId="0" applyNumberFormat="1" applyFont="1" applyBorder="1" applyAlignment="1">
      <alignment horizontal="justify" vertical="center"/>
    </xf>
    <xf numFmtId="4" fontId="14" fillId="0" borderId="0" xfId="0" applyNumberFormat="1" applyFont="1"/>
    <xf numFmtId="0" fontId="14" fillId="0" borderId="16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173" fontId="14" fillId="0" borderId="1" xfId="5" applyNumberFormat="1" applyFont="1" applyBorder="1" applyAlignment="1">
      <alignment horizontal="justify" vertical="center"/>
    </xf>
    <xf numFmtId="173" fontId="14" fillId="0" borderId="52" xfId="0" applyNumberFormat="1" applyFont="1" applyBorder="1" applyAlignment="1">
      <alignment horizontal="justify" vertical="center"/>
    </xf>
    <xf numFmtId="0" fontId="19" fillId="0" borderId="1" xfId="0" applyFont="1" applyBorder="1"/>
    <xf numFmtId="173" fontId="19" fillId="0" borderId="1" xfId="5" applyNumberFormat="1" applyFont="1" applyBorder="1" applyAlignment="1">
      <alignment horizontal="justify" vertical="center"/>
    </xf>
    <xf numFmtId="173" fontId="19" fillId="0" borderId="1" xfId="0" applyNumberFormat="1" applyFont="1" applyBorder="1" applyAlignment="1">
      <alignment horizontal="justify" vertical="center"/>
    </xf>
    <xf numFmtId="4" fontId="19" fillId="0" borderId="0" xfId="0" applyNumberFormat="1" applyFont="1"/>
    <xf numFmtId="0" fontId="19" fillId="0" borderId="0" xfId="0" applyFont="1"/>
    <xf numFmtId="0" fontId="14" fillId="0" borderId="56" xfId="0" applyFont="1" applyBorder="1" applyAlignment="1">
      <alignment horizontal="center"/>
    </xf>
    <xf numFmtId="0" fontId="19" fillId="0" borderId="36" xfId="0" applyFont="1" applyBorder="1"/>
    <xf numFmtId="0" fontId="14" fillId="0" borderId="36" xfId="0" applyFont="1" applyBorder="1"/>
    <xf numFmtId="0" fontId="14" fillId="0" borderId="36" xfId="0" applyFont="1" applyBorder="1" applyAlignment="1">
      <alignment horizontal="center"/>
    </xf>
    <xf numFmtId="49" fontId="14" fillId="0" borderId="36" xfId="0" applyNumberFormat="1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19" fillId="0" borderId="59" xfId="0" applyFont="1" applyBorder="1"/>
    <xf numFmtId="0" fontId="14" fillId="0" borderId="59" xfId="0" applyFont="1" applyBorder="1"/>
    <xf numFmtId="0" fontId="19" fillId="0" borderId="59" xfId="0" applyFont="1" applyBorder="1" applyAlignment="1">
      <alignment horizontal="center"/>
    </xf>
    <xf numFmtId="49" fontId="14" fillId="0" borderId="59" xfId="0" applyNumberFormat="1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19" fillId="0" borderId="61" xfId="0" applyFont="1" applyBorder="1"/>
    <xf numFmtId="0" fontId="14" fillId="0" borderId="61" xfId="0" applyFont="1" applyBorder="1"/>
    <xf numFmtId="0" fontId="19" fillId="0" borderId="61" xfId="0" applyFont="1" applyBorder="1" applyAlignment="1">
      <alignment horizontal="center"/>
    </xf>
    <xf numFmtId="49" fontId="14" fillId="0" borderId="61" xfId="0" applyNumberFormat="1" applyFont="1" applyBorder="1" applyAlignment="1">
      <alignment horizontal="center"/>
    </xf>
    <xf numFmtId="43" fontId="19" fillId="0" borderId="61" xfId="5" applyFont="1" applyBorder="1" applyAlignment="1">
      <alignment horizontal="center"/>
    </xf>
    <xf numFmtId="0" fontId="19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43" fontId="19" fillId="0" borderId="0" xfId="5" applyFont="1" applyBorder="1" applyAlignment="1">
      <alignment horizontal="center"/>
    </xf>
    <xf numFmtId="173" fontId="19" fillId="0" borderId="2" xfId="0" applyNumberFormat="1" applyFont="1" applyBorder="1" applyAlignment="1">
      <alignment horizontal="justify" vertical="center"/>
    </xf>
    <xf numFmtId="173" fontId="14" fillId="0" borderId="62" xfId="0" applyNumberFormat="1" applyFont="1" applyBorder="1" applyAlignment="1">
      <alignment horizontal="justify" vertical="center"/>
    </xf>
    <xf numFmtId="0" fontId="14" fillId="0" borderId="63" xfId="0" applyFont="1" applyBorder="1" applyAlignment="1">
      <alignment horizontal="center"/>
    </xf>
    <xf numFmtId="0" fontId="14" fillId="0" borderId="37" xfId="0" applyFont="1" applyBorder="1"/>
    <xf numFmtId="0" fontId="14" fillId="0" borderId="64" xfId="0" applyFont="1" applyBorder="1" applyAlignment="1">
      <alignment horizontal="center"/>
    </xf>
    <xf numFmtId="0" fontId="19" fillId="0" borderId="60" xfId="0" applyFont="1" applyBorder="1"/>
    <xf numFmtId="0" fontId="14" fillId="0" borderId="60" xfId="0" applyFont="1" applyBorder="1"/>
    <xf numFmtId="0" fontId="19" fillId="0" borderId="60" xfId="0" applyFont="1" applyBorder="1" applyAlignment="1">
      <alignment horizontal="center"/>
    </xf>
    <xf numFmtId="49" fontId="14" fillId="0" borderId="60" xfId="0" applyNumberFormat="1" applyFont="1" applyBorder="1" applyAlignment="1">
      <alignment horizontal="center"/>
    </xf>
    <xf numFmtId="173" fontId="19" fillId="0" borderId="60" xfId="5" applyNumberFormat="1" applyFont="1" applyBorder="1" applyAlignment="1">
      <alignment horizontal="justify" vertical="center"/>
    </xf>
    <xf numFmtId="43" fontId="14" fillId="0" borderId="0" xfId="5" applyFont="1" applyBorder="1"/>
    <xf numFmtId="0" fontId="14" fillId="0" borderId="40" xfId="0" applyFont="1" applyBorder="1" applyAlignment="1">
      <alignment horizontal="center"/>
    </xf>
    <xf numFmtId="0" fontId="19" fillId="0" borderId="40" xfId="0" applyFont="1" applyBorder="1"/>
    <xf numFmtId="0" fontId="14" fillId="0" borderId="40" xfId="0" applyFont="1" applyBorder="1"/>
    <xf numFmtId="0" fontId="19" fillId="0" borderId="40" xfId="0" applyFont="1" applyBorder="1" applyAlignment="1">
      <alignment horizontal="center"/>
    </xf>
    <xf numFmtId="49" fontId="14" fillId="0" borderId="40" xfId="0" applyNumberFormat="1" applyFont="1" applyBorder="1" applyAlignment="1">
      <alignment horizontal="center"/>
    </xf>
    <xf numFmtId="43" fontId="19" fillId="0" borderId="40" xfId="5" applyFont="1" applyBorder="1" applyAlignment="1">
      <alignment horizontal="center"/>
    </xf>
    <xf numFmtId="173" fontId="14" fillId="0" borderId="1" xfId="5" applyNumberFormat="1" applyFont="1" applyBorder="1" applyAlignment="1">
      <alignment horizontal="center"/>
    </xf>
    <xf numFmtId="173" fontId="14" fillId="0" borderId="1" xfId="0" applyNumberFormat="1" applyFont="1" applyBorder="1"/>
    <xf numFmtId="173" fontId="14" fillId="0" borderId="2" xfId="0" applyNumberFormat="1" applyFont="1" applyBorder="1"/>
    <xf numFmtId="173" fontId="14" fillId="0" borderId="52" xfId="0" applyNumberFormat="1" applyFont="1" applyBorder="1"/>
    <xf numFmtId="173" fontId="19" fillId="0" borderId="1" xfId="5" applyNumberFormat="1" applyFont="1" applyBorder="1" applyAlignment="1">
      <alignment horizontal="center"/>
    </xf>
    <xf numFmtId="173" fontId="19" fillId="0" borderId="1" xfId="0" applyNumberFormat="1" applyFont="1" applyBorder="1"/>
    <xf numFmtId="0" fontId="19" fillId="0" borderId="58" xfId="0" applyFont="1" applyBorder="1" applyAlignment="1">
      <alignment horizontal="center"/>
    </xf>
    <xf numFmtId="49" fontId="19" fillId="0" borderId="59" xfId="0" applyNumberFormat="1" applyFont="1" applyBorder="1" applyAlignment="1">
      <alignment horizontal="center"/>
    </xf>
    <xf numFmtId="173" fontId="19" fillId="0" borderId="65" xfId="5" applyNumberFormat="1" applyFont="1" applyBorder="1" applyAlignment="1">
      <alignment horizontal="center"/>
    </xf>
    <xf numFmtId="0" fontId="14" fillId="0" borderId="66" xfId="0" applyFont="1" applyBorder="1" applyAlignment="1">
      <alignment horizontal="center"/>
    </xf>
    <xf numFmtId="4" fontId="14" fillId="0" borderId="0" xfId="5" applyNumberFormat="1" applyFont="1" applyBorder="1" applyAlignment="1">
      <alignment horizontal="center"/>
    </xf>
    <xf numFmtId="43" fontId="19" fillId="0" borderId="67" xfId="5" applyFont="1" applyBorder="1" applyAlignment="1">
      <alignment horizontal="center"/>
    </xf>
    <xf numFmtId="0" fontId="14" fillId="0" borderId="58" xfId="0" applyFont="1" applyBorder="1"/>
    <xf numFmtId="173" fontId="14" fillId="0" borderId="0" xfId="5" applyNumberFormat="1" applyFont="1" applyBorder="1" applyAlignment="1">
      <alignment horizontal="center"/>
    </xf>
    <xf numFmtId="173" fontId="19" fillId="0" borderId="0" xfId="5" applyNumberFormat="1" applyFont="1" applyBorder="1" applyAlignment="1">
      <alignment horizontal="center"/>
    </xf>
    <xf numFmtId="173" fontId="14" fillId="0" borderId="59" xfId="0" applyNumberFormat="1" applyFont="1" applyBorder="1" applyAlignment="1">
      <alignment horizontal="center"/>
    </xf>
    <xf numFmtId="173" fontId="14" fillId="0" borderId="68" xfId="5" applyNumberFormat="1" applyFont="1" applyBorder="1" applyAlignment="1">
      <alignment horizontal="center"/>
    </xf>
    <xf numFmtId="173" fontId="14" fillId="0" borderId="59" xfId="0" applyNumberFormat="1" applyFont="1" applyBorder="1"/>
    <xf numFmtId="173" fontId="19" fillId="0" borderId="68" xfId="6" applyNumberFormat="1" applyFont="1" applyBorder="1" applyAlignment="1">
      <alignment horizontal="center"/>
    </xf>
    <xf numFmtId="172" fontId="14" fillId="0" borderId="0" xfId="0" applyNumberFormat="1" applyFont="1" applyAlignment="1">
      <alignment horizontal="center"/>
    </xf>
    <xf numFmtId="4" fontId="16" fillId="0" borderId="0" xfId="0" applyNumberFormat="1" applyFont="1"/>
    <xf numFmtId="10" fontId="17" fillId="0" borderId="0" xfId="0" applyNumberFormat="1" applyFont="1"/>
    <xf numFmtId="0" fontId="24" fillId="0" borderId="0" xfId="0" applyFont="1" applyAlignment="1">
      <alignment horizontal="center"/>
    </xf>
    <xf numFmtId="0" fontId="24" fillId="0" borderId="0" xfId="0" applyFont="1"/>
    <xf numFmtId="0" fontId="23" fillId="0" borderId="0" xfId="0" applyFont="1"/>
    <xf numFmtId="0" fontId="17" fillId="0" borderId="0" xfId="0" applyFont="1"/>
    <xf numFmtId="169" fontId="17" fillId="0" borderId="0" xfId="0" applyNumberFormat="1" applyFont="1"/>
    <xf numFmtId="4" fontId="18" fillId="0" borderId="0" xfId="1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14" fillId="0" borderId="70" xfId="0" applyFont="1" applyBorder="1"/>
    <xf numFmtId="4" fontId="14" fillId="0" borderId="26" xfId="1" applyNumberFormat="1" applyFont="1" applyBorder="1" applyAlignment="1"/>
    <xf numFmtId="0" fontId="19" fillId="0" borderId="71" xfId="1" applyNumberFormat="1" applyFont="1" applyBorder="1" applyAlignment="1">
      <alignment horizontal="center"/>
    </xf>
    <xf numFmtId="0" fontId="19" fillId="0" borderId="25" xfId="1" applyNumberFormat="1" applyFont="1" applyBorder="1" applyAlignment="1">
      <alignment horizontal="center"/>
    </xf>
    <xf numFmtId="49" fontId="14" fillId="0" borderId="32" xfId="1" applyNumberFormat="1" applyFont="1" applyBorder="1" applyAlignment="1">
      <alignment horizontal="left"/>
    </xf>
    <xf numFmtId="4" fontId="14" fillId="0" borderId="31" xfId="1" applyNumberFormat="1" applyFont="1" applyBorder="1" applyAlignment="1">
      <alignment horizontal="center"/>
    </xf>
    <xf numFmtId="4" fontId="14" fillId="0" borderId="72" xfId="1" applyNumberFormat="1" applyFont="1" applyBorder="1" applyAlignment="1">
      <alignment horizontal="center" wrapText="1"/>
    </xf>
    <xf numFmtId="4" fontId="14" fillId="0" borderId="30" xfId="1" applyNumberFormat="1" applyFont="1" applyBorder="1" applyAlignment="1">
      <alignment horizontal="center" wrapText="1"/>
    </xf>
    <xf numFmtId="4" fontId="14" fillId="0" borderId="33" xfId="1" applyNumberFormat="1" applyFont="1" applyBorder="1" applyAlignment="1">
      <alignment horizontal="center" wrapText="1"/>
    </xf>
    <xf numFmtId="49" fontId="14" fillId="0" borderId="73" xfId="1" applyNumberFormat="1" applyFont="1" applyFill="1" applyBorder="1" applyAlignment="1">
      <alignment horizontal="left"/>
    </xf>
    <xf numFmtId="4" fontId="14" fillId="0" borderId="74" xfId="1" applyNumberFormat="1" applyFont="1" applyFill="1" applyBorder="1"/>
    <xf numFmtId="4" fontId="14" fillId="0" borderId="66" xfId="0" applyNumberFormat="1" applyFont="1" applyBorder="1"/>
    <xf numFmtId="166" fontId="14" fillId="0" borderId="0" xfId="2" applyFont="1" applyBorder="1"/>
    <xf numFmtId="49" fontId="14" fillId="0" borderId="27" xfId="1" applyNumberFormat="1" applyFont="1" applyFill="1" applyBorder="1" applyAlignment="1">
      <alignment horizontal="left"/>
    </xf>
    <xf numFmtId="4" fontId="14" fillId="0" borderId="28" xfId="1" applyNumberFormat="1" applyFont="1" applyFill="1" applyBorder="1"/>
    <xf numFmtId="173" fontId="14" fillId="0" borderId="1" xfId="2" applyNumberFormat="1" applyFont="1" applyFill="1" applyBorder="1"/>
    <xf numFmtId="49" fontId="14" fillId="0" borderId="76" xfId="1" applyNumberFormat="1" applyFont="1" applyFill="1" applyBorder="1" applyAlignment="1">
      <alignment horizontal="left"/>
    </xf>
    <xf numFmtId="4" fontId="14" fillId="0" borderId="77" xfId="1" applyNumberFormat="1" applyFont="1" applyFill="1" applyBorder="1"/>
    <xf numFmtId="4" fontId="19" fillId="0" borderId="66" xfId="0" applyNumberFormat="1" applyFont="1" applyBorder="1"/>
    <xf numFmtId="0" fontId="18" fillId="0" borderId="81" xfId="0" applyFont="1" applyBorder="1"/>
    <xf numFmtId="4" fontId="14" fillId="0" borderId="1" xfId="1" applyNumberFormat="1" applyFont="1" applyFill="1" applyBorder="1"/>
    <xf numFmtId="4" fontId="14" fillId="0" borderId="82" xfId="1" applyNumberFormat="1" applyFont="1" applyFill="1" applyBorder="1"/>
    <xf numFmtId="49" fontId="14" fillId="0" borderId="1" xfId="1" applyNumberFormat="1" applyFont="1" applyFill="1" applyBorder="1" applyAlignment="1">
      <alignment horizontal="left"/>
    </xf>
    <xf numFmtId="0" fontId="19" fillId="0" borderId="0" xfId="1" applyNumberFormat="1" applyFont="1" applyBorder="1" applyAlignment="1">
      <alignment horizontal="center"/>
    </xf>
    <xf numFmtId="4" fontId="14" fillId="0" borderId="0" xfId="1" applyNumberFormat="1" applyFont="1" applyBorder="1" applyAlignment="1">
      <alignment horizontal="center" wrapText="1"/>
    </xf>
    <xf numFmtId="175" fontId="14" fillId="0" borderId="75" xfId="2" applyNumberFormat="1" applyFont="1" applyFill="1" applyBorder="1"/>
    <xf numFmtId="175" fontId="14" fillId="0" borderId="2" xfId="2" applyNumberFormat="1" applyFont="1" applyFill="1" applyBorder="1"/>
    <xf numFmtId="175" fontId="19" fillId="0" borderId="85" xfId="2" applyNumberFormat="1" applyFont="1" applyBorder="1"/>
    <xf numFmtId="166" fontId="14" fillId="0" borderId="0" xfId="2" applyFont="1" applyFill="1" applyBorder="1"/>
    <xf numFmtId="175" fontId="14" fillId="0" borderId="35" xfId="2" applyNumberFormat="1" applyFont="1" applyFill="1" applyBorder="1"/>
    <xf numFmtId="175" fontId="14" fillId="0" borderId="1" xfId="2" applyNumberFormat="1" applyFont="1" applyFill="1" applyBorder="1"/>
    <xf numFmtId="175" fontId="14" fillId="0" borderId="78" xfId="2" applyNumberFormat="1" applyFont="1" applyFill="1" applyBorder="1"/>
    <xf numFmtId="175" fontId="14" fillId="0" borderId="37" xfId="2" applyNumberFormat="1" applyFont="1" applyFill="1" applyBorder="1"/>
    <xf numFmtId="175" fontId="14" fillId="0" borderId="79" xfId="2" applyNumberFormat="1" applyFont="1" applyFill="1" applyBorder="1" applyAlignment="1">
      <alignment horizontal="center"/>
    </xf>
    <xf numFmtId="175" fontId="14" fillId="0" borderId="22" xfId="2" applyNumberFormat="1" applyFont="1" applyFill="1" applyBorder="1" applyAlignment="1">
      <alignment horizontal="center"/>
    </xf>
    <xf numFmtId="175" fontId="19" fillId="0" borderId="80" xfId="2" applyNumberFormat="1" applyFont="1" applyBorder="1"/>
    <xf numFmtId="166" fontId="14" fillId="0" borderId="0" xfId="2" applyFont="1" applyFill="1" applyBorder="1" applyAlignment="1">
      <alignment horizontal="center"/>
    </xf>
    <xf numFmtId="175" fontId="18" fillId="0" borderId="0" xfId="0" applyNumberFormat="1" applyFont="1"/>
    <xf numFmtId="175" fontId="14" fillId="0" borderId="25" xfId="2" applyNumberFormat="1" applyFont="1" applyFill="1" applyBorder="1" applyAlignment="1">
      <alignment horizontal="center"/>
    </xf>
    <xf numFmtId="0" fontId="16" fillId="0" borderId="3" xfId="0" applyFont="1" applyBorder="1"/>
    <xf numFmtId="49" fontId="17" fillId="0" borderId="4" xfId="1" applyNumberFormat="1" applyFont="1" applyBorder="1" applyAlignment="1">
      <alignment horizontal="left"/>
    </xf>
    <xf numFmtId="4" fontId="18" fillId="0" borderId="0" xfId="1" applyNumberFormat="1" applyFont="1" applyBorder="1"/>
    <xf numFmtId="49" fontId="18" fillId="0" borderId="4" xfId="1" applyNumberFormat="1" applyFont="1" applyBorder="1" applyAlignment="1">
      <alignment horizontal="left"/>
    </xf>
    <xf numFmtId="49" fontId="18" fillId="0" borderId="4" xfId="1" applyNumberFormat="1" applyFont="1" applyBorder="1" applyAlignment="1">
      <alignment horizontal="center"/>
    </xf>
    <xf numFmtId="4" fontId="18" fillId="0" borderId="0" xfId="1" applyNumberFormat="1" applyFont="1" applyBorder="1" applyAlignment="1">
      <alignment horizontal="center"/>
    </xf>
    <xf numFmtId="49" fontId="18" fillId="0" borderId="24" xfId="1" applyNumberFormat="1" applyFont="1" applyFill="1" applyBorder="1" applyAlignment="1">
      <alignment horizontal="left"/>
    </xf>
    <xf numFmtId="4" fontId="18" fillId="0" borderId="25" xfId="1" applyNumberFormat="1" applyFont="1" applyFill="1" applyBorder="1"/>
    <xf numFmtId="4" fontId="18" fillId="0" borderId="0" xfId="0" applyNumberFormat="1" applyFont="1"/>
    <xf numFmtId="49" fontId="18" fillId="0" borderId="27" xfId="1" applyNumberFormat="1" applyFont="1" applyFill="1" applyBorder="1" applyAlignment="1">
      <alignment horizontal="left"/>
    </xf>
    <xf numFmtId="4" fontId="18" fillId="0" borderId="1" xfId="1" applyNumberFormat="1" applyFont="1" applyFill="1" applyBorder="1"/>
    <xf numFmtId="49" fontId="18" fillId="0" borderId="76" xfId="1" applyNumberFormat="1" applyFont="1" applyFill="1" applyBorder="1" applyAlignment="1">
      <alignment horizontal="left"/>
    </xf>
    <xf numFmtId="4" fontId="18" fillId="0" borderId="37" xfId="1" applyNumberFormat="1" applyFont="1" applyFill="1" applyBorder="1"/>
    <xf numFmtId="4" fontId="17" fillId="0" borderId="0" xfId="0" applyNumberFormat="1" applyFont="1"/>
    <xf numFmtId="49" fontId="18" fillId="0" borderId="0" xfId="1" applyNumberFormat="1" applyFont="1" applyFill="1" applyBorder="1" applyAlignment="1">
      <alignment horizontal="left"/>
    </xf>
    <xf numFmtId="4" fontId="18" fillId="0" borderId="0" xfId="1" applyNumberFormat="1" applyFont="1" applyFill="1" applyBorder="1"/>
    <xf numFmtId="4" fontId="15" fillId="0" borderId="0" xfId="0" applyNumberFormat="1" applyFont="1"/>
    <xf numFmtId="0" fontId="15" fillId="4" borderId="14" xfId="0" applyFont="1" applyFill="1" applyBorder="1"/>
    <xf numFmtId="171" fontId="16" fillId="4" borderId="6" xfId="0" applyNumberFormat="1" applyFont="1" applyFill="1" applyBorder="1"/>
    <xf numFmtId="43" fontId="16" fillId="0" borderId="0" xfId="5" applyFont="1"/>
    <xf numFmtId="0" fontId="16" fillId="0" borderId="88" xfId="0" applyFont="1" applyBorder="1"/>
    <xf numFmtId="169" fontId="16" fillId="0" borderId="0" xfId="0" applyNumberFormat="1" applyFont="1"/>
    <xf numFmtId="4" fontId="16" fillId="0" borderId="0" xfId="1" applyNumberFormat="1" applyFont="1" applyFill="1" applyBorder="1" applyAlignment="1">
      <alignment horizontal="left" vertical="center"/>
    </xf>
    <xf numFmtId="4" fontId="16" fillId="0" borderId="77" xfId="1" applyNumberFormat="1" applyFont="1" applyBorder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49" fontId="16" fillId="0" borderId="5" xfId="1" applyNumberFormat="1" applyFont="1" applyBorder="1" applyAlignment="1">
      <alignment horizontal="left"/>
    </xf>
    <xf numFmtId="4" fontId="16" fillId="0" borderId="93" xfId="1" applyNumberFormat="1" applyFont="1" applyBorder="1" applyAlignment="1">
      <alignment horizontal="center"/>
    </xf>
    <xf numFmtId="4" fontId="16" fillId="0" borderId="0" xfId="1" applyNumberFormat="1" applyFont="1" applyBorder="1" applyAlignment="1">
      <alignment horizontal="center" wrapText="1"/>
    </xf>
    <xf numFmtId="49" fontId="16" fillId="0" borderId="49" xfId="1" applyNumberFormat="1" applyFont="1" applyBorder="1" applyAlignment="1">
      <alignment horizontal="left"/>
    </xf>
    <xf numFmtId="4" fontId="16" fillId="0" borderId="94" xfId="1" applyNumberFormat="1" applyFont="1" applyBorder="1" applyAlignment="1">
      <alignment horizontal="center"/>
    </xf>
    <xf numFmtId="4" fontId="14" fillId="0" borderId="95" xfId="1" applyNumberFormat="1" applyFont="1" applyBorder="1" applyAlignment="1">
      <alignment horizontal="center" wrapText="1"/>
    </xf>
    <xf numFmtId="4" fontId="14" fillId="0" borderId="42" xfId="1" applyNumberFormat="1" applyFont="1" applyBorder="1" applyAlignment="1">
      <alignment horizontal="center" wrapText="1"/>
    </xf>
    <xf numFmtId="4" fontId="14" fillId="0" borderId="96" xfId="1" applyNumberFormat="1" applyFont="1" applyBorder="1" applyAlignment="1">
      <alignment horizontal="center" wrapText="1"/>
    </xf>
    <xf numFmtId="0" fontId="15" fillId="0" borderId="97" xfId="0" applyFont="1" applyBorder="1" applyAlignment="1">
      <alignment horizontal="center" vertical="center" wrapText="1"/>
    </xf>
    <xf numFmtId="0" fontId="19" fillId="0" borderId="98" xfId="0" applyFont="1" applyBorder="1" applyAlignment="1">
      <alignment horizontal="center"/>
    </xf>
    <xf numFmtId="0" fontId="19" fillId="0" borderId="25" xfId="0" applyFont="1" applyBorder="1"/>
    <xf numFmtId="166" fontId="19" fillId="0" borderId="0" xfId="2" applyFont="1" applyFill="1" applyBorder="1"/>
    <xf numFmtId="0" fontId="19" fillId="0" borderId="16" xfId="0" applyFont="1" applyBorder="1" applyAlignment="1">
      <alignment horizontal="center"/>
    </xf>
    <xf numFmtId="166" fontId="14" fillId="0" borderId="0" xfId="0" applyNumberFormat="1" applyFont="1"/>
    <xf numFmtId="167" fontId="14" fillId="0" borderId="0" xfId="6" applyFont="1"/>
    <xf numFmtId="166" fontId="19" fillId="0" borderId="0" xfId="2" applyFont="1" applyBorder="1"/>
    <xf numFmtId="0" fontId="14" fillId="0" borderId="46" xfId="0" applyFont="1" applyBorder="1"/>
    <xf numFmtId="0" fontId="19" fillId="0" borderId="48" xfId="0" applyFont="1" applyBorder="1" applyAlignment="1">
      <alignment horizontal="center"/>
    </xf>
    <xf numFmtId="166" fontId="19" fillId="0" borderId="48" xfId="2" applyFont="1" applyBorder="1"/>
    <xf numFmtId="0" fontId="15" fillId="0" borderId="99" xfId="0" applyFont="1" applyBorder="1" applyAlignment="1">
      <alignment horizontal="center" vertical="center" wrapText="1"/>
    </xf>
    <xf numFmtId="49" fontId="14" fillId="0" borderId="0" xfId="1" applyNumberFormat="1" applyFont="1" applyBorder="1" applyAlignment="1">
      <alignment horizontal="center"/>
    </xf>
    <xf numFmtId="2" fontId="16" fillId="0" borderId="0" xfId="0" applyNumberFormat="1" applyFont="1"/>
    <xf numFmtId="0" fontId="18" fillId="0" borderId="0" xfId="0" applyFont="1" applyAlignment="1">
      <alignment horizontal="center"/>
    </xf>
    <xf numFmtId="0" fontId="19" fillId="0" borderId="1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wrapText="1"/>
    </xf>
    <xf numFmtId="0" fontId="19" fillId="0" borderId="43" xfId="0" applyFont="1" applyBorder="1" applyAlignment="1">
      <alignment horizontal="center"/>
    </xf>
    <xf numFmtId="0" fontId="19" fillId="0" borderId="44" xfId="0" applyFont="1" applyBorder="1"/>
    <xf numFmtId="0" fontId="19" fillId="0" borderId="45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16" fillId="0" borderId="100" xfId="0" applyFont="1" applyBorder="1"/>
    <xf numFmtId="0" fontId="15" fillId="0" borderId="59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16" fillId="0" borderId="101" xfId="0" applyFont="1" applyBorder="1"/>
    <xf numFmtId="0" fontId="15" fillId="0" borderId="102" xfId="0" applyFont="1" applyBorder="1" applyAlignment="1">
      <alignment horizontal="center"/>
    </xf>
    <xf numFmtId="0" fontId="16" fillId="0" borderId="103" xfId="0" applyFont="1" applyBorder="1" applyAlignment="1">
      <alignment horizontal="left"/>
    </xf>
    <xf numFmtId="0" fontId="16" fillId="0" borderId="105" xfId="0" applyFont="1" applyBorder="1" applyAlignment="1">
      <alignment horizontal="left"/>
    </xf>
    <xf numFmtId="0" fontId="19" fillId="0" borderId="89" xfId="0" applyFont="1" applyBorder="1" applyAlignment="1">
      <alignment horizontal="center" wrapText="1"/>
    </xf>
    <xf numFmtId="0" fontId="19" fillId="0" borderId="23" xfId="0" applyFont="1" applyBorder="1" applyAlignment="1">
      <alignment horizontal="center" wrapText="1"/>
    </xf>
    <xf numFmtId="0" fontId="16" fillId="0" borderId="107" xfId="0" applyFont="1" applyBorder="1" applyAlignment="1">
      <alignment horizontal="left"/>
    </xf>
    <xf numFmtId="4" fontId="16" fillId="0" borderId="9" xfId="1" applyNumberFormat="1" applyFont="1" applyBorder="1"/>
    <xf numFmtId="4" fontId="16" fillId="0" borderId="81" xfId="1" applyNumberFormat="1" applyFont="1" applyBorder="1"/>
    <xf numFmtId="4" fontId="16" fillId="0" borderId="108" xfId="1" applyNumberFormat="1" applyFont="1" applyBorder="1"/>
    <xf numFmtId="0" fontId="15" fillId="0" borderId="109" xfId="0" applyFont="1" applyBorder="1" applyAlignment="1">
      <alignment horizontal="left"/>
    </xf>
    <xf numFmtId="0" fontId="16" fillId="0" borderId="109" xfId="0" applyFont="1" applyBorder="1" applyAlignment="1">
      <alignment horizontal="left"/>
    </xf>
    <xf numFmtId="4" fontId="16" fillId="0" borderId="4" xfId="1" applyNumberFormat="1" applyFont="1" applyBorder="1"/>
    <xf numFmtId="4" fontId="16" fillId="0" borderId="0" xfId="1" applyNumberFormat="1" applyFont="1" applyBorder="1"/>
    <xf numFmtId="0" fontId="16" fillId="0" borderId="101" xfId="0" applyFont="1" applyBorder="1" applyAlignment="1">
      <alignment horizontal="left"/>
    </xf>
    <xf numFmtId="168" fontId="26" fillId="0" borderId="0" xfId="1" applyFont="1" applyAlignment="1">
      <alignment horizontal="center"/>
    </xf>
    <xf numFmtId="167" fontId="24" fillId="0" borderId="0" xfId="6" applyFont="1" applyAlignment="1">
      <alignment horizontal="center"/>
    </xf>
    <xf numFmtId="166" fontId="17" fillId="0" borderId="0" xfId="0" applyNumberFormat="1" applyFont="1"/>
    <xf numFmtId="173" fontId="14" fillId="0" borderId="39" xfId="2" applyNumberFormat="1" applyFont="1" applyFill="1" applyBorder="1"/>
    <xf numFmtId="173" fontId="14" fillId="0" borderId="39" xfId="2" applyNumberFormat="1" applyFont="1" applyBorder="1"/>
    <xf numFmtId="173" fontId="14" fillId="0" borderId="112" xfId="2" applyNumberFormat="1" applyFont="1" applyBorder="1"/>
    <xf numFmtId="173" fontId="15" fillId="0" borderId="39" xfId="3" applyNumberFormat="1" applyFont="1" applyBorder="1" applyAlignment="1">
      <alignment horizontal="right"/>
    </xf>
    <xf numFmtId="173" fontId="15" fillId="0" borderId="112" xfId="3" applyNumberFormat="1" applyFont="1" applyBorder="1" applyAlignment="1">
      <alignment horizontal="right"/>
    </xf>
    <xf numFmtId="173" fontId="16" fillId="0" borderId="39" xfId="3" applyNumberFormat="1" applyFont="1" applyBorder="1" applyAlignment="1">
      <alignment horizontal="right"/>
    </xf>
    <xf numFmtId="173" fontId="16" fillId="0" borderId="112" xfId="3" quotePrefix="1" applyNumberFormat="1" applyFont="1" applyBorder="1" applyAlignment="1">
      <alignment horizontal="right" wrapText="1"/>
    </xf>
    <xf numFmtId="173" fontId="16" fillId="0" borderId="113" xfId="3" quotePrefix="1" applyNumberFormat="1" applyFont="1" applyBorder="1" applyAlignment="1">
      <alignment horizontal="right" wrapText="1"/>
    </xf>
    <xf numFmtId="173" fontId="19" fillId="0" borderId="25" xfId="2" applyNumberFormat="1" applyFont="1" applyFill="1" applyBorder="1"/>
    <xf numFmtId="173" fontId="19" fillId="0" borderId="1" xfId="2" applyNumberFormat="1" applyFont="1" applyFill="1" applyBorder="1"/>
    <xf numFmtId="173" fontId="14" fillId="0" borderId="115" xfId="2" applyNumberFormat="1" applyFont="1" applyBorder="1"/>
    <xf numFmtId="173" fontId="14" fillId="0" borderId="1" xfId="2" applyNumberFormat="1" applyFont="1" applyFill="1" applyBorder="1" applyAlignment="1">
      <alignment horizontal="center"/>
    </xf>
    <xf numFmtId="173" fontId="14" fillId="0" borderId="1" xfId="2" applyNumberFormat="1" applyFont="1" applyBorder="1"/>
    <xf numFmtId="173" fontId="19" fillId="0" borderId="1" xfId="2" applyNumberFormat="1" applyFont="1" applyBorder="1"/>
    <xf numFmtId="173" fontId="14" fillId="0" borderId="37" xfId="2" applyNumberFormat="1" applyFont="1" applyBorder="1"/>
    <xf numFmtId="166" fontId="19" fillId="0" borderId="0" xfId="0" applyNumberFormat="1" applyFont="1"/>
    <xf numFmtId="0" fontId="19" fillId="0" borderId="8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5" fillId="0" borderId="67" xfId="0" applyFont="1" applyBorder="1" applyAlignment="1">
      <alignment horizontal="center" vertical="center" wrapText="1"/>
    </xf>
    <xf numFmtId="176" fontId="14" fillId="0" borderId="1" xfId="0" applyNumberFormat="1" applyFont="1" applyBorder="1"/>
    <xf numFmtId="176" fontId="15" fillId="0" borderId="1" xfId="0" applyNumberFormat="1" applyFont="1" applyBorder="1"/>
    <xf numFmtId="176" fontId="15" fillId="0" borderId="1" xfId="5" applyNumberFormat="1" applyFont="1" applyFill="1" applyBorder="1"/>
    <xf numFmtId="49" fontId="19" fillId="2" borderId="8" xfId="0" applyNumberFormat="1" applyFont="1" applyFill="1" applyBorder="1" applyAlignment="1">
      <alignment horizontal="center"/>
    </xf>
    <xf numFmtId="49" fontId="17" fillId="2" borderId="9" xfId="0" applyNumberFormat="1" applyFont="1" applyFill="1" applyBorder="1" applyAlignment="1">
      <alignment horizontal="center"/>
    </xf>
    <xf numFmtId="49" fontId="17" fillId="2" borderId="81" xfId="0" applyNumberFormat="1" applyFont="1" applyFill="1" applyBorder="1" applyAlignment="1">
      <alignment horizontal="center"/>
    </xf>
    <xf numFmtId="49" fontId="19" fillId="2" borderId="106" xfId="0" applyNumberFormat="1" applyFont="1" applyFill="1" applyBorder="1" applyAlignment="1">
      <alignment horizontal="center"/>
    </xf>
    <xf numFmtId="49" fontId="17" fillId="2" borderId="11" xfId="0" applyNumberFormat="1" applyFont="1" applyFill="1" applyBorder="1" applyAlignment="1">
      <alignment horizontal="center"/>
    </xf>
    <xf numFmtId="49" fontId="17" fillId="2" borderId="3" xfId="0" applyNumberFormat="1" applyFont="1" applyFill="1" applyBorder="1" applyAlignment="1">
      <alignment horizontal="center"/>
    </xf>
    <xf numFmtId="49" fontId="15" fillId="0" borderId="8" xfId="0" applyNumberFormat="1" applyFont="1" applyBorder="1" applyAlignment="1">
      <alignment horizontal="center"/>
    </xf>
    <xf numFmtId="49" fontId="16" fillId="0" borderId="9" xfId="0" applyNumberFormat="1" applyFont="1" applyBorder="1"/>
    <xf numFmtId="49" fontId="15" fillId="0" borderId="81" xfId="0" applyNumberFormat="1" applyFont="1" applyBorder="1"/>
    <xf numFmtId="49" fontId="15" fillId="0" borderId="10" xfId="0" applyNumberFormat="1" applyFont="1" applyBorder="1"/>
    <xf numFmtId="49" fontId="15" fillId="0" borderId="4" xfId="0" applyNumberFormat="1" applyFont="1" applyBorder="1"/>
    <xf numFmtId="49" fontId="16" fillId="0" borderId="4" xfId="0" applyNumberFormat="1" applyFont="1" applyBorder="1"/>
    <xf numFmtId="49" fontId="15" fillId="0" borderId="106" xfId="0" applyNumberFormat="1" applyFont="1" applyBorder="1"/>
    <xf numFmtId="49" fontId="16" fillId="0" borderId="11" xfId="0" applyNumberFormat="1" applyFont="1" applyBorder="1"/>
    <xf numFmtId="49" fontId="15" fillId="0" borderId="3" xfId="0" applyNumberFormat="1" applyFont="1" applyBorder="1"/>
    <xf numFmtId="0" fontId="15" fillId="0" borderId="10" xfId="0" applyFont="1" applyBorder="1" applyAlignment="1">
      <alignment horizontal="center"/>
    </xf>
    <xf numFmtId="0" fontId="15" fillId="0" borderId="106" xfId="0" applyFont="1" applyBorder="1" applyAlignment="1">
      <alignment horizontal="center"/>
    </xf>
    <xf numFmtId="49" fontId="15" fillId="0" borderId="11" xfId="0" applyNumberFormat="1" applyFont="1" applyBorder="1"/>
    <xf numFmtId="0" fontId="16" fillId="0" borderId="10" xfId="0" applyFont="1" applyBorder="1"/>
    <xf numFmtId="0" fontId="16" fillId="0" borderId="86" xfId="0" applyFont="1" applyBorder="1" applyAlignment="1">
      <alignment horizontal="left"/>
    </xf>
    <xf numFmtId="0" fontId="16" fillId="0" borderId="90" xfId="0" applyFont="1" applyBorder="1"/>
    <xf numFmtId="0" fontId="16" fillId="0" borderId="116" xfId="0" applyFont="1" applyBorder="1"/>
    <xf numFmtId="0" fontId="16" fillId="0" borderId="88" xfId="0" applyFont="1" applyBorder="1" applyAlignment="1">
      <alignment horizontal="left"/>
    </xf>
    <xf numFmtId="4" fontId="16" fillId="0" borderId="0" xfId="1" applyNumberFormat="1" applyFont="1"/>
    <xf numFmtId="0" fontId="19" fillId="0" borderId="44" xfId="0" applyFont="1" applyBorder="1" applyAlignment="1">
      <alignment horizontal="left"/>
    </xf>
    <xf numFmtId="173" fontId="19" fillId="0" borderId="39" xfId="1" applyNumberFormat="1" applyFont="1" applyFill="1" applyBorder="1"/>
    <xf numFmtId="4" fontId="19" fillId="0" borderId="0" xfId="1" applyNumberFormat="1" applyFont="1"/>
    <xf numFmtId="0" fontId="19" fillId="0" borderId="39" xfId="0" applyFont="1" applyBorder="1" applyAlignment="1">
      <alignment horizontal="left"/>
    </xf>
    <xf numFmtId="4" fontId="14" fillId="0" borderId="39" xfId="1" applyNumberFormat="1" applyFont="1" applyFill="1" applyBorder="1"/>
    <xf numFmtId="4" fontId="14" fillId="0" borderId="0" xfId="1" applyNumberFormat="1" applyFont="1"/>
    <xf numFmtId="4" fontId="19" fillId="0" borderId="39" xfId="1" applyNumberFormat="1" applyFont="1" applyFill="1" applyBorder="1"/>
    <xf numFmtId="4" fontId="19" fillId="0" borderId="39" xfId="1" applyNumberFormat="1" applyFont="1" applyBorder="1"/>
    <xf numFmtId="4" fontId="14" fillId="0" borderId="39" xfId="1" applyNumberFormat="1" applyFont="1" applyBorder="1"/>
    <xf numFmtId="49" fontId="16" fillId="0" borderId="0" xfId="1" applyNumberFormat="1" applyFont="1" applyBorder="1" applyAlignment="1">
      <alignment horizontal="left"/>
    </xf>
    <xf numFmtId="49" fontId="16" fillId="0" borderId="0" xfId="1" applyNumberFormat="1" applyFont="1" applyAlignment="1">
      <alignment horizontal="left"/>
    </xf>
    <xf numFmtId="173" fontId="19" fillId="0" borderId="1" xfId="0" applyNumberFormat="1" applyFont="1" applyBorder="1" applyAlignment="1">
      <alignment horizontal="center" wrapText="1"/>
    </xf>
    <xf numFmtId="173" fontId="19" fillId="0" borderId="118" xfId="0" applyNumberFormat="1" applyFont="1" applyBorder="1" applyAlignment="1">
      <alignment horizontal="center" wrapText="1"/>
    </xf>
    <xf numFmtId="173" fontId="19" fillId="0" borderId="119" xfId="0" applyNumberFormat="1" applyFont="1" applyBorder="1" applyAlignment="1">
      <alignment horizontal="center" wrapText="1"/>
    </xf>
    <xf numFmtId="173" fontId="19" fillId="0" borderId="18" xfId="0" applyNumberFormat="1" applyFont="1" applyBorder="1" applyAlignment="1">
      <alignment horizontal="center" wrapText="1"/>
    </xf>
    <xf numFmtId="173" fontId="19" fillId="0" borderId="120" xfId="0" applyNumberFormat="1" applyFont="1" applyBorder="1" applyAlignment="1">
      <alignment horizontal="center" wrapText="1"/>
    </xf>
    <xf numFmtId="173" fontId="14" fillId="0" borderId="1" xfId="4" applyNumberFormat="1" applyFont="1" applyBorder="1"/>
    <xf numFmtId="173" fontId="14" fillId="0" borderId="18" xfId="4" applyNumberFormat="1" applyFont="1" applyBorder="1"/>
    <xf numFmtId="173" fontId="14" fillId="0" borderId="121" xfId="4" applyNumberFormat="1" applyFont="1" applyBorder="1"/>
    <xf numFmtId="173" fontId="14" fillId="0" borderId="122" xfId="4" applyNumberFormat="1" applyFont="1" applyBorder="1"/>
    <xf numFmtId="173" fontId="19" fillId="0" borderId="18" xfId="4" applyNumberFormat="1" applyFont="1" applyBorder="1"/>
    <xf numFmtId="173" fontId="19" fillId="0" borderId="120" xfId="4" applyNumberFormat="1" applyFont="1" applyBorder="1"/>
    <xf numFmtId="173" fontId="19" fillId="0" borderId="1" xfId="4" applyNumberFormat="1" applyFont="1" applyBorder="1"/>
    <xf numFmtId="173" fontId="14" fillId="0" borderId="20" xfId="4" applyNumberFormat="1" applyFont="1" applyBorder="1"/>
    <xf numFmtId="173" fontId="14" fillId="0" borderId="124" xfId="4" applyNumberFormat="1" applyFont="1" applyBorder="1"/>
    <xf numFmtId="173" fontId="19" fillId="0" borderId="53" xfId="4" applyNumberFormat="1" applyFont="1" applyBorder="1" applyAlignment="1">
      <alignment horizontal="left"/>
    </xf>
    <xf numFmtId="0" fontId="15" fillId="0" borderId="126" xfId="0" applyFont="1" applyBorder="1" applyAlignment="1">
      <alignment horizontal="left" wrapText="1"/>
    </xf>
    <xf numFmtId="0" fontId="15" fillId="0" borderId="50" xfId="0" applyFont="1" applyBorder="1" applyAlignment="1">
      <alignment horizontal="center" vertical="center"/>
    </xf>
    <xf numFmtId="0" fontId="19" fillId="0" borderId="96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/>
    </xf>
    <xf numFmtId="0" fontId="17" fillId="0" borderId="127" xfId="0" applyFont="1" applyBorder="1" applyAlignment="1">
      <alignment horizontal="center"/>
    </xf>
    <xf numFmtId="0" fontId="17" fillId="0" borderId="96" xfId="0" applyFont="1" applyBorder="1" applyAlignment="1">
      <alignment horizontal="left"/>
    </xf>
    <xf numFmtId="172" fontId="19" fillId="0" borderId="9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0" borderId="127" xfId="0" applyFont="1" applyBorder="1" applyAlignment="1">
      <alignment horizontal="center"/>
    </xf>
    <xf numFmtId="0" fontId="14" fillId="0" borderId="96" xfId="0" applyFont="1" applyBorder="1"/>
    <xf numFmtId="0" fontId="14" fillId="0" borderId="96" xfId="0" applyFont="1" applyBorder="1" applyAlignment="1">
      <alignment horizontal="center"/>
    </xf>
    <xf numFmtId="49" fontId="14" fillId="0" borderId="96" xfId="0" applyNumberFormat="1" applyFont="1" applyBorder="1" applyAlignment="1">
      <alignment horizontal="center"/>
    </xf>
    <xf numFmtId="0" fontId="28" fillId="0" borderId="61" xfId="0" applyFont="1" applyBorder="1" applyAlignment="1">
      <alignment horizontal="center"/>
    </xf>
    <xf numFmtId="173" fontId="14" fillId="0" borderId="13" xfId="2" applyNumberFormat="1" applyFont="1" applyFill="1" applyBorder="1"/>
    <xf numFmtId="173" fontId="14" fillId="0" borderId="13" xfId="2" applyNumberFormat="1" applyFont="1" applyBorder="1"/>
    <xf numFmtId="173" fontId="14" fillId="0" borderId="82" xfId="2" applyNumberFormat="1" applyFont="1" applyBorder="1"/>
    <xf numFmtId="49" fontId="16" fillId="0" borderId="129" xfId="1" applyNumberFormat="1" applyFont="1" applyBorder="1" applyAlignment="1">
      <alignment horizontal="left"/>
    </xf>
    <xf numFmtId="4" fontId="16" fillId="0" borderId="130" xfId="1" applyNumberFormat="1" applyFont="1" applyBorder="1" applyAlignment="1">
      <alignment horizontal="center"/>
    </xf>
    <xf numFmtId="4" fontId="14" fillId="0" borderId="131" xfId="1" applyNumberFormat="1" applyFont="1" applyBorder="1" applyAlignment="1">
      <alignment horizontal="center" wrapText="1"/>
    </xf>
    <xf numFmtId="0" fontId="15" fillId="0" borderId="132" xfId="0" applyFont="1" applyBorder="1" applyAlignment="1">
      <alignment horizontal="center" vertical="center" wrapText="1"/>
    </xf>
    <xf numFmtId="173" fontId="19" fillId="0" borderId="133" xfId="2" applyNumberFormat="1" applyFont="1" applyFill="1" applyBorder="1"/>
    <xf numFmtId="173" fontId="19" fillId="0" borderId="52" xfId="2" applyNumberFormat="1" applyFont="1" applyFill="1" applyBorder="1"/>
    <xf numFmtId="173" fontId="19" fillId="0" borderId="52" xfId="2" applyNumberFormat="1" applyFont="1" applyBorder="1"/>
    <xf numFmtId="0" fontId="15" fillId="0" borderId="134" xfId="0" applyFont="1" applyBorder="1" applyAlignment="1">
      <alignment horizontal="center" vertical="center" wrapText="1"/>
    </xf>
    <xf numFmtId="4" fontId="16" fillId="0" borderId="135" xfId="1" applyNumberFormat="1" applyFont="1" applyBorder="1" applyAlignment="1">
      <alignment horizontal="center" wrapText="1"/>
    </xf>
    <xf numFmtId="4" fontId="16" fillId="0" borderId="50" xfId="1" applyNumberFormat="1" applyFont="1" applyBorder="1" applyAlignment="1">
      <alignment horizontal="center" wrapText="1"/>
    </xf>
    <xf numFmtId="173" fontId="14" fillId="0" borderId="136" xfId="2" applyNumberFormat="1" applyFont="1" applyBorder="1"/>
    <xf numFmtId="173" fontId="19" fillId="0" borderId="2" xfId="2" applyNumberFormat="1" applyFont="1" applyFill="1" applyBorder="1"/>
    <xf numFmtId="173" fontId="15" fillId="0" borderId="0" xfId="1" applyNumberFormat="1" applyFont="1" applyBorder="1"/>
    <xf numFmtId="173" fontId="15" fillId="0" borderId="4" xfId="1" applyNumberFormat="1" applyFont="1" applyBorder="1"/>
    <xf numFmtId="173" fontId="15" fillId="0" borderId="67" xfId="1" applyNumberFormat="1" applyFont="1" applyBorder="1"/>
    <xf numFmtId="173" fontId="16" fillId="0" borderId="4" xfId="1" applyNumberFormat="1" applyFont="1" applyBorder="1"/>
    <xf numFmtId="173" fontId="16" fillId="0" borderId="0" xfId="1" applyNumberFormat="1" applyFont="1" applyBorder="1"/>
    <xf numFmtId="173" fontId="16" fillId="0" borderId="67" xfId="1" applyNumberFormat="1" applyFont="1" applyBorder="1"/>
    <xf numFmtId="173" fontId="16" fillId="0" borderId="4" xfId="0" applyNumberFormat="1" applyFont="1" applyBorder="1"/>
    <xf numFmtId="173" fontId="16" fillId="0" borderId="0" xfId="0" applyNumberFormat="1" applyFont="1"/>
    <xf numFmtId="173" fontId="15" fillId="0" borderId="137" xfId="1" applyNumberFormat="1" applyFont="1" applyBorder="1"/>
    <xf numFmtId="173" fontId="15" fillId="0" borderId="4" xfId="0" applyNumberFormat="1" applyFont="1" applyBorder="1"/>
    <xf numFmtId="173" fontId="15" fillId="0" borderId="0" xfId="0" applyNumberFormat="1" applyFont="1"/>
    <xf numFmtId="173" fontId="15" fillId="0" borderId="110" xfId="0" applyNumberFormat="1" applyFont="1" applyBorder="1"/>
    <xf numFmtId="0" fontId="18" fillId="0" borderId="129" xfId="0" applyFont="1" applyBorder="1" applyAlignment="1">
      <alignment horizontal="left" wrapText="1"/>
    </xf>
    <xf numFmtId="0" fontId="17" fillId="0" borderId="138" xfId="0" applyFont="1" applyBorder="1" applyAlignment="1">
      <alignment horizontal="center" vertical="center"/>
    </xf>
    <xf numFmtId="0" fontId="17" fillId="0" borderId="139" xfId="0" applyFont="1" applyBorder="1" applyAlignment="1">
      <alignment horizontal="center" vertical="center" wrapText="1"/>
    </xf>
    <xf numFmtId="0" fontId="17" fillId="0" borderId="13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left"/>
    </xf>
    <xf numFmtId="173" fontId="19" fillId="0" borderId="0" xfId="1" applyNumberFormat="1" applyFont="1" applyBorder="1"/>
    <xf numFmtId="0" fontId="19" fillId="0" borderId="45" xfId="0" applyFont="1" applyBorder="1" applyAlignment="1">
      <alignment horizontal="left"/>
    </xf>
    <xf numFmtId="49" fontId="14" fillId="0" borderId="45" xfId="1" applyNumberFormat="1" applyFont="1" applyFill="1" applyBorder="1" applyAlignment="1">
      <alignment horizontal="left"/>
    </xf>
    <xf numFmtId="49" fontId="19" fillId="0" borderId="45" xfId="1" applyNumberFormat="1" applyFont="1" applyFill="1" applyBorder="1" applyAlignment="1">
      <alignment horizontal="left"/>
    </xf>
    <xf numFmtId="0" fontId="14" fillId="0" borderId="45" xfId="0" applyFont="1" applyBorder="1" applyAlignment="1">
      <alignment horizontal="left"/>
    </xf>
    <xf numFmtId="0" fontId="14" fillId="0" borderId="66" xfId="0" applyFont="1" applyBorder="1" applyAlignment="1">
      <alignment horizontal="left"/>
    </xf>
    <xf numFmtId="49" fontId="19" fillId="0" borderId="45" xfId="1" applyNumberFormat="1" applyFont="1" applyBorder="1" applyAlignment="1">
      <alignment horizontal="left"/>
    </xf>
    <xf numFmtId="0" fontId="19" fillId="0" borderId="1" xfId="1" applyNumberFormat="1" applyFont="1" applyBorder="1" applyAlignment="1">
      <alignment horizontal="center"/>
    </xf>
    <xf numFmtId="4" fontId="14" fillId="0" borderId="1" xfId="1" applyNumberFormat="1" applyFont="1" applyBorder="1" applyAlignment="1">
      <alignment horizontal="center" wrapText="1"/>
    </xf>
    <xf numFmtId="1" fontId="16" fillId="0" borderId="0" xfId="0" applyNumberFormat="1" applyFont="1" applyAlignment="1">
      <alignment horizontal="left"/>
    </xf>
    <xf numFmtId="1" fontId="16" fillId="0" borderId="47" xfId="0" applyNumberFormat="1" applyFont="1" applyBorder="1" applyAlignment="1">
      <alignment horizontal="left"/>
    </xf>
    <xf numFmtId="0" fontId="19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4" fontId="22" fillId="0" borderId="3" xfId="1" applyNumberFormat="1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173" fontId="14" fillId="0" borderId="1" xfId="1" applyNumberFormat="1" applyFont="1" applyFill="1" applyBorder="1"/>
    <xf numFmtId="173" fontId="14" fillId="0" borderId="2" xfId="1" applyNumberFormat="1" applyFont="1" applyFill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49" fontId="14" fillId="0" borderId="1" xfId="1" applyNumberFormat="1" applyFont="1" applyFill="1" applyBorder="1" applyAlignment="1">
      <alignment horizontal="center"/>
    </xf>
    <xf numFmtId="173" fontId="14" fillId="0" borderId="1" xfId="1" applyNumberFormat="1" applyFont="1" applyBorder="1"/>
    <xf numFmtId="49" fontId="19" fillId="0" borderId="1" xfId="1" applyNumberFormat="1" applyFont="1" applyFill="1" applyBorder="1" applyAlignment="1">
      <alignment horizontal="center"/>
    </xf>
    <xf numFmtId="4" fontId="19" fillId="0" borderId="1" xfId="1" applyNumberFormat="1" applyFont="1" applyFill="1" applyBorder="1"/>
    <xf numFmtId="0" fontId="14" fillId="0" borderId="4" xfId="0" applyFont="1" applyBorder="1" applyAlignment="1">
      <alignment horizontal="left"/>
    </xf>
    <xf numFmtId="49" fontId="19" fillId="0" borderId="1" xfId="1" applyNumberFormat="1" applyFont="1" applyBorder="1" applyAlignment="1">
      <alignment horizontal="left"/>
    </xf>
    <xf numFmtId="4" fontId="19" fillId="0" borderId="1" xfId="1" applyNumberFormat="1" applyFont="1" applyBorder="1"/>
    <xf numFmtId="4" fontId="14" fillId="0" borderId="1" xfId="1" applyNumberFormat="1" applyFont="1" applyBorder="1"/>
    <xf numFmtId="173" fontId="14" fillId="0" borderId="0" xfId="1" applyNumberFormat="1" applyFont="1"/>
    <xf numFmtId="173" fontId="14" fillId="0" borderId="37" xfId="1" applyNumberFormat="1" applyFont="1" applyFill="1" applyBorder="1"/>
    <xf numFmtId="173" fontId="14" fillId="0" borderId="37" xfId="1" applyNumberFormat="1" applyFont="1" applyBorder="1"/>
    <xf numFmtId="49" fontId="14" fillId="0" borderId="0" xfId="1" applyNumberFormat="1" applyFont="1" applyBorder="1" applyAlignment="1">
      <alignment horizontal="left"/>
    </xf>
    <xf numFmtId="4" fontId="14" fillId="0" borderId="0" xfId="1" applyNumberFormat="1" applyFont="1" applyBorder="1"/>
    <xf numFmtId="4" fontId="29" fillId="0" borderId="0" xfId="1" applyNumberFormat="1" applyFont="1"/>
    <xf numFmtId="4" fontId="14" fillId="0" borderId="6" xfId="1" applyNumberFormat="1" applyFont="1" applyBorder="1" applyAlignment="1">
      <alignment horizontal="center"/>
    </xf>
    <xf numFmtId="4" fontId="19" fillId="0" borderId="14" xfId="1" applyNumberFormat="1" applyFont="1" applyBorder="1" applyAlignment="1"/>
    <xf numFmtId="4" fontId="14" fillId="0" borderId="6" xfId="1" applyNumberFormat="1" applyFont="1" applyBorder="1" applyAlignment="1"/>
    <xf numFmtId="4" fontId="14" fillId="0" borderId="15" xfId="1" applyNumberFormat="1" applyFont="1" applyBorder="1" applyAlignment="1"/>
    <xf numFmtId="4" fontId="14" fillId="0" borderId="7" xfId="1" applyNumberFormat="1" applyFont="1" applyBorder="1" applyAlignment="1">
      <alignment horizontal="center"/>
    </xf>
    <xf numFmtId="4" fontId="14" fillId="0" borderId="4" xfId="1" applyNumberFormat="1" applyFont="1" applyBorder="1" applyAlignment="1">
      <alignment horizontal="center"/>
    </xf>
    <xf numFmtId="4" fontId="14" fillId="0" borderId="12" xfId="1" applyNumberFormat="1" applyFont="1" applyBorder="1" applyAlignment="1">
      <alignment horizontal="center"/>
    </xf>
    <xf numFmtId="4" fontId="14" fillId="0" borderId="9" xfId="1" applyNumberFormat="1" applyFont="1" applyBorder="1" applyAlignment="1">
      <alignment horizontal="center"/>
    </xf>
    <xf numFmtId="4" fontId="14" fillId="0" borderId="8" xfId="1" applyNumberFormat="1" applyFont="1" applyBorder="1" applyAlignment="1">
      <alignment horizontal="center"/>
    </xf>
    <xf numFmtId="4" fontId="19" fillId="0" borderId="4" xfId="1" applyNumberFormat="1" applyFont="1" applyBorder="1" applyAlignment="1">
      <alignment horizontal="center"/>
    </xf>
    <xf numFmtId="4" fontId="14" fillId="0" borderId="10" xfId="1" applyNumberFormat="1" applyFont="1" applyBorder="1" applyAlignment="1">
      <alignment horizontal="center"/>
    </xf>
    <xf numFmtId="49" fontId="14" fillId="0" borderId="9" xfId="1" applyNumberFormat="1" applyFont="1" applyBorder="1" applyAlignment="1">
      <alignment horizontal="center"/>
    </xf>
    <xf numFmtId="4" fontId="14" fillId="0" borderId="11" xfId="1" applyNumberFormat="1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5" fillId="0" borderId="4" xfId="0" applyFont="1" applyBorder="1"/>
    <xf numFmtId="0" fontId="16" fillId="0" borderId="11" xfId="0" applyFont="1" applyBorder="1" applyAlignment="1">
      <alignment horizontal="center"/>
    </xf>
    <xf numFmtId="0" fontId="16" fillId="0" borderId="11" xfId="0" applyFont="1" applyBorder="1"/>
    <xf numFmtId="165" fontId="14" fillId="0" borderId="0" xfId="0" applyNumberFormat="1" applyFont="1"/>
    <xf numFmtId="165" fontId="16" fillId="0" borderId="7" xfId="0" applyNumberFormat="1" applyFont="1" applyBorder="1" applyAlignment="1">
      <alignment vertical="center"/>
    </xf>
    <xf numFmtId="173" fontId="15" fillId="0" borderId="7" xfId="1" applyNumberFormat="1" applyFont="1" applyBorder="1"/>
    <xf numFmtId="173" fontId="15" fillId="0" borderId="7" xfId="0" applyNumberFormat="1" applyFont="1" applyBorder="1"/>
    <xf numFmtId="173" fontId="15" fillId="0" borderId="10" xfId="1" applyNumberFormat="1" applyFont="1" applyBorder="1"/>
    <xf numFmtId="173" fontId="16" fillId="0" borderId="10" xfId="1" applyNumberFormat="1" applyFont="1" applyBorder="1"/>
    <xf numFmtId="173" fontId="16" fillId="0" borderId="10" xfId="0" applyNumberFormat="1" applyFont="1" applyBorder="1"/>
    <xf numFmtId="173" fontId="15" fillId="0" borderId="10" xfId="0" applyNumberFormat="1" applyFont="1" applyBorder="1"/>
    <xf numFmtId="4" fontId="16" fillId="0" borderId="163" xfId="1" applyNumberFormat="1" applyFont="1" applyBorder="1"/>
    <xf numFmtId="173" fontId="15" fillId="0" borderId="153" xfId="1" applyNumberFormat="1" applyFont="1" applyBorder="1"/>
    <xf numFmtId="173" fontId="16" fillId="0" borderId="153" xfId="1" applyNumberFormat="1" applyFont="1" applyBorder="1"/>
    <xf numFmtId="0" fontId="31" fillId="6" borderId="14" xfId="8" applyFont="1" applyBorder="1"/>
    <xf numFmtId="173" fontId="15" fillId="9" borderId="7" xfId="0" applyNumberFormat="1" applyFont="1" applyFill="1" applyBorder="1"/>
    <xf numFmtId="0" fontId="16" fillId="8" borderId="14" xfId="0" applyFont="1" applyFill="1" applyBorder="1"/>
    <xf numFmtId="0" fontId="15" fillId="8" borderId="5" xfId="0" applyFont="1" applyFill="1" applyBorder="1" applyAlignment="1">
      <alignment horizontal="center"/>
    </xf>
    <xf numFmtId="0" fontId="15" fillId="10" borderId="4" xfId="0" applyFont="1" applyFill="1" applyBorder="1"/>
    <xf numFmtId="0" fontId="16" fillId="10" borderId="4" xfId="0" applyFont="1" applyFill="1" applyBorder="1"/>
    <xf numFmtId="0" fontId="33" fillId="10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173" fontId="34" fillId="0" borderId="2" xfId="1" applyNumberFormat="1" applyFont="1" applyFill="1" applyBorder="1"/>
    <xf numFmtId="173" fontId="34" fillId="0" borderId="1" xfId="1" applyNumberFormat="1" applyFont="1" applyFill="1" applyBorder="1"/>
    <xf numFmtId="174" fontId="18" fillId="0" borderId="0" xfId="0" applyNumberFormat="1" applyFont="1"/>
    <xf numFmtId="165" fontId="16" fillId="0" borderId="0" xfId="0" applyNumberFormat="1" applyFont="1"/>
    <xf numFmtId="0" fontId="14" fillId="0" borderId="16" xfId="0" applyFont="1" applyBorder="1" applyAlignment="1">
      <alignment horizontal="center" vertical="center"/>
    </xf>
    <xf numFmtId="2" fontId="14" fillId="0" borderId="0" xfId="0" applyNumberFormat="1" applyFont="1"/>
    <xf numFmtId="174" fontId="17" fillId="0" borderId="96" xfId="0" applyNumberFormat="1" applyFont="1" applyBorder="1" applyAlignment="1">
      <alignment horizontal="center" wrapText="1"/>
    </xf>
    <xf numFmtId="174" fontId="17" fillId="0" borderId="128" xfId="0" applyNumberFormat="1" applyFont="1" applyBorder="1" applyAlignment="1">
      <alignment horizontal="center" wrapText="1"/>
    </xf>
    <xf numFmtId="178" fontId="14" fillId="0" borderId="1" xfId="4" applyNumberFormat="1" applyFont="1" applyBorder="1"/>
    <xf numFmtId="178" fontId="14" fillId="0" borderId="122" xfId="4" applyNumberFormat="1" applyFont="1" applyBorder="1"/>
    <xf numFmtId="178" fontId="16" fillId="0" borderId="11" xfId="0" applyNumberFormat="1" applyFont="1" applyBorder="1"/>
    <xf numFmtId="178" fontId="14" fillId="0" borderId="1" xfId="2" applyNumberFormat="1" applyFont="1" applyBorder="1"/>
    <xf numFmtId="178" fontId="15" fillId="9" borderId="7" xfId="0" applyNumberFormat="1" applyFont="1" applyFill="1" applyBorder="1"/>
    <xf numFmtId="178" fontId="15" fillId="8" borderId="15" xfId="0" applyNumberFormat="1" applyFont="1" applyFill="1" applyBorder="1"/>
    <xf numFmtId="179" fontId="14" fillId="0" borderId="2" xfId="2" applyNumberFormat="1" applyFont="1" applyFill="1" applyBorder="1"/>
    <xf numFmtId="178" fontId="14" fillId="0" borderId="1" xfId="2" applyNumberFormat="1" applyFont="1" applyFill="1" applyBorder="1"/>
    <xf numFmtId="175" fontId="19" fillId="0" borderId="71" xfId="1" applyNumberFormat="1" applyFont="1" applyBorder="1" applyAlignment="1">
      <alignment horizontal="center"/>
    </xf>
    <xf numFmtId="175" fontId="19" fillId="0" borderId="25" xfId="1" applyNumberFormat="1" applyFont="1" applyBorder="1" applyAlignment="1">
      <alignment horizontal="center"/>
    </xf>
    <xf numFmtId="175" fontId="14" fillId="0" borderId="72" xfId="1" applyNumberFormat="1" applyFont="1" applyBorder="1" applyAlignment="1">
      <alignment horizontal="center" wrapText="1"/>
    </xf>
    <xf numFmtId="175" fontId="14" fillId="0" borderId="30" xfId="1" applyNumberFormat="1" applyFont="1" applyBorder="1" applyAlignment="1">
      <alignment horizontal="center" wrapText="1"/>
    </xf>
    <xf numFmtId="175" fontId="18" fillId="0" borderId="81" xfId="0" applyNumberFormat="1" applyFont="1" applyBorder="1"/>
    <xf numFmtId="175" fontId="14" fillId="0" borderId="33" xfId="1" applyNumberFormat="1" applyFont="1" applyBorder="1" applyAlignment="1">
      <alignment horizontal="center" wrapText="1"/>
    </xf>
    <xf numFmtId="178" fontId="15" fillId="0" borderId="9" xfId="5" applyNumberFormat="1" applyFont="1" applyBorder="1" applyAlignment="1">
      <alignment horizontal="right"/>
    </xf>
    <xf numFmtId="178" fontId="15" fillId="0" borderId="4" xfId="5" applyNumberFormat="1" applyFont="1" applyBorder="1" applyAlignment="1">
      <alignment horizontal="right"/>
    </xf>
    <xf numFmtId="178" fontId="16" fillId="0" borderId="4" xfId="5" applyNumberFormat="1" applyFont="1" applyBorder="1" applyAlignment="1">
      <alignment horizontal="right"/>
    </xf>
    <xf numFmtId="178" fontId="16" fillId="0" borderId="11" xfId="5" applyNumberFormat="1" applyFont="1" applyBorder="1" applyAlignment="1">
      <alignment horizontal="right"/>
    </xf>
    <xf numFmtId="178" fontId="15" fillId="0" borderId="11" xfId="5" applyNumberFormat="1" applyFont="1" applyBorder="1" applyAlignment="1">
      <alignment horizontal="right"/>
    </xf>
    <xf numFmtId="178" fontId="15" fillId="2" borderId="5" xfId="5" applyNumberFormat="1" applyFont="1" applyFill="1" applyBorder="1" applyAlignment="1">
      <alignment horizontal="right"/>
    </xf>
    <xf numFmtId="177" fontId="14" fillId="0" borderId="1" xfId="0" applyNumberFormat="1" applyFont="1" applyBorder="1"/>
    <xf numFmtId="177" fontId="14" fillId="0" borderId="1" xfId="1" applyNumberFormat="1" applyFont="1" applyFill="1" applyBorder="1"/>
    <xf numFmtId="177" fontId="14" fillId="0" borderId="2" xfId="1" applyNumberFormat="1" applyFont="1" applyFill="1" applyBorder="1"/>
    <xf numFmtId="178" fontId="15" fillId="0" borderId="110" xfId="0" applyNumberFormat="1" applyFont="1" applyBorder="1"/>
    <xf numFmtId="178" fontId="14" fillId="0" borderId="1" xfId="1" applyNumberFormat="1" applyFont="1" applyBorder="1"/>
    <xf numFmtId="178" fontId="14" fillId="0" borderId="136" xfId="2" applyNumberFormat="1" applyFont="1" applyBorder="1"/>
    <xf numFmtId="2" fontId="19" fillId="0" borderId="25" xfId="0" applyNumberFormat="1" applyFont="1" applyBorder="1"/>
    <xf numFmtId="2" fontId="19" fillId="0" borderId="0" xfId="2" applyNumberFormat="1" applyFont="1" applyFill="1" applyBorder="1"/>
    <xf numFmtId="2" fontId="19" fillId="0" borderId="1" xfId="0" applyNumberFormat="1" applyFont="1" applyBorder="1"/>
    <xf numFmtId="2" fontId="19" fillId="0" borderId="1" xfId="2" applyNumberFormat="1" applyFont="1" applyFill="1" applyBorder="1"/>
    <xf numFmtId="2" fontId="14" fillId="0" borderId="1" xfId="0" applyNumberFormat="1" applyFont="1" applyBorder="1"/>
    <xf numFmtId="2" fontId="14" fillId="0" borderId="0" xfId="2" applyNumberFormat="1" applyFont="1" applyFill="1" applyBorder="1"/>
    <xf numFmtId="2" fontId="14" fillId="0" borderId="0" xfId="2" applyNumberFormat="1" applyFont="1" applyFill="1" applyBorder="1" applyAlignment="1">
      <alignment horizontal="center"/>
    </xf>
    <xf numFmtId="2" fontId="14" fillId="0" borderId="0" xfId="2" applyNumberFormat="1" applyFont="1" applyBorder="1"/>
    <xf numFmtId="2" fontId="19" fillId="0" borderId="0" xfId="2" applyNumberFormat="1" applyFont="1" applyBorder="1"/>
    <xf numFmtId="2" fontId="14" fillId="0" borderId="37" xfId="0" applyNumberFormat="1" applyFont="1" applyBorder="1"/>
    <xf numFmtId="178" fontId="14" fillId="0" borderId="1" xfId="5" applyNumberFormat="1" applyFont="1" applyBorder="1" applyAlignment="1">
      <alignment horizontal="justify" vertical="center"/>
    </xf>
    <xf numFmtId="178" fontId="14" fillId="0" borderId="1" xfId="5" applyNumberFormat="1" applyFont="1" applyBorder="1" applyAlignment="1">
      <alignment horizontal="center"/>
    </xf>
    <xf numFmtId="178" fontId="19" fillId="0" borderId="1" xfId="0" applyNumberFormat="1" applyFont="1" applyBorder="1"/>
    <xf numFmtId="178" fontId="19" fillId="0" borderId="123" xfId="0" applyNumberFormat="1" applyFont="1" applyBorder="1"/>
    <xf numFmtId="178" fontId="19" fillId="0" borderId="120" xfId="0" applyNumberFormat="1" applyFont="1" applyBorder="1"/>
    <xf numFmtId="178" fontId="14" fillId="0" borderId="18" xfId="4" applyNumberFormat="1" applyFont="1" applyBorder="1"/>
    <xf numFmtId="178" fontId="14" fillId="0" borderId="121" xfId="4" applyNumberFormat="1" applyFont="1" applyBorder="1"/>
    <xf numFmtId="178" fontId="14" fillId="0" borderId="124" xfId="4" applyNumberFormat="1" applyFont="1" applyBorder="1"/>
    <xf numFmtId="179" fontId="14" fillId="0" borderId="37" xfId="2" applyNumberFormat="1" applyFont="1" applyFill="1" applyBorder="1"/>
    <xf numFmtId="179" fontId="14" fillId="0" borderId="22" xfId="2" applyNumberFormat="1" applyFont="1" applyFill="1" applyBorder="1" applyAlignment="1">
      <alignment horizontal="center"/>
    </xf>
    <xf numFmtId="179" fontId="14" fillId="0" borderId="1" xfId="2" applyNumberFormat="1" applyFont="1" applyFill="1" applyBorder="1"/>
    <xf numFmtId="179" fontId="18" fillId="0" borderId="81" xfId="0" applyNumberFormat="1" applyFont="1" applyBorder="1"/>
    <xf numFmtId="179" fontId="18" fillId="0" borderId="0" xfId="0" applyNumberFormat="1" applyFont="1"/>
    <xf numFmtId="179" fontId="14" fillId="0" borderId="85" xfId="2" applyNumberFormat="1" applyFont="1" applyBorder="1"/>
    <xf numFmtId="179" fontId="14" fillId="0" borderId="80" xfId="2" applyNumberFormat="1" applyFont="1" applyBorder="1"/>
    <xf numFmtId="179" fontId="14" fillId="0" borderId="35" xfId="2" applyNumberFormat="1" applyFont="1" applyFill="1" applyBorder="1"/>
    <xf numFmtId="179" fontId="14" fillId="0" borderId="78" xfId="2" applyNumberFormat="1" applyFont="1" applyFill="1" applyBorder="1"/>
    <xf numFmtId="179" fontId="14" fillId="0" borderId="79" xfId="2" applyNumberFormat="1" applyFont="1" applyFill="1" applyBorder="1" applyAlignment="1">
      <alignment horizontal="center"/>
    </xf>
    <xf numFmtId="178" fontId="14" fillId="0" borderId="69" xfId="6" applyNumberFormat="1" applyFont="1" applyBorder="1" applyAlignment="1">
      <alignment horizontal="center"/>
    </xf>
    <xf numFmtId="165" fontId="35" fillId="0" borderId="0" xfId="0" applyNumberFormat="1" applyFont="1"/>
    <xf numFmtId="165" fontId="36" fillId="0" borderId="0" xfId="0" applyNumberFormat="1" applyFont="1"/>
    <xf numFmtId="0" fontId="36" fillId="0" borderId="0" xfId="0" applyFont="1"/>
    <xf numFmtId="178" fontId="14" fillId="0" borderId="1" xfId="0" applyNumberFormat="1" applyFont="1" applyBorder="1" applyAlignment="1">
      <alignment horizontal="justify" vertical="center"/>
    </xf>
    <xf numFmtId="178" fontId="14" fillId="0" borderId="61" xfId="5" applyNumberFormat="1" applyFont="1" applyBorder="1" applyAlignment="1">
      <alignment horizontal="center"/>
    </xf>
    <xf numFmtId="178" fontId="14" fillId="0" borderId="0" xfId="5" applyNumberFormat="1" applyFont="1" applyBorder="1" applyAlignment="1">
      <alignment horizontal="center"/>
    </xf>
    <xf numFmtId="178" fontId="14" fillId="0" borderId="4" xfId="0" applyNumberFormat="1" applyFont="1" applyBorder="1" applyAlignment="1">
      <alignment horizontal="center"/>
    </xf>
    <xf numFmtId="178" fontId="14" fillId="0" borderId="40" xfId="5" applyNumberFormat="1" applyFont="1" applyBorder="1" applyAlignment="1">
      <alignment horizontal="center"/>
    </xf>
    <xf numFmtId="166" fontId="17" fillId="0" borderId="1" xfId="0" applyNumberFormat="1" applyFont="1" applyBorder="1" applyAlignment="1">
      <alignment horizontal="center" wrapText="1"/>
    </xf>
    <xf numFmtId="166" fontId="17" fillId="0" borderId="52" xfId="0" applyNumberFormat="1" applyFont="1" applyBorder="1" applyAlignment="1">
      <alignment horizontal="center" wrapText="1"/>
    </xf>
    <xf numFmtId="166" fontId="18" fillId="0" borderId="52" xfId="4" applyFont="1" applyBorder="1"/>
    <xf numFmtId="166" fontId="18" fillId="0" borderId="1" xfId="0" applyNumberFormat="1" applyFont="1" applyBorder="1" applyAlignment="1">
      <alignment horizontal="left"/>
    </xf>
    <xf numFmtId="166" fontId="18" fillId="0" borderId="52" xfId="0" applyNumberFormat="1" applyFont="1" applyBorder="1" applyAlignment="1">
      <alignment horizontal="left"/>
    </xf>
    <xf numFmtId="165" fontId="19" fillId="0" borderId="0" xfId="0" applyNumberFormat="1" applyFont="1"/>
    <xf numFmtId="178" fontId="14" fillId="0" borderId="115" xfId="2" applyNumberFormat="1" applyFont="1" applyBorder="1"/>
    <xf numFmtId="178" fontId="14" fillId="0" borderId="48" xfId="2" applyNumberFormat="1" applyFont="1" applyBorder="1"/>
    <xf numFmtId="1" fontId="19" fillId="0" borderId="98" xfId="0" applyNumberFormat="1" applyFont="1" applyBorder="1" applyAlignment="1">
      <alignment horizontal="center"/>
    </xf>
    <xf numFmtId="1" fontId="19" fillId="0" borderId="16" xfId="0" applyNumberFormat="1" applyFont="1" applyBorder="1" applyAlignment="1">
      <alignment horizontal="center"/>
    </xf>
    <xf numFmtId="1" fontId="14" fillId="0" borderId="16" xfId="0" applyNumberFormat="1" applyFont="1" applyBorder="1" applyAlignment="1">
      <alignment horizontal="center"/>
    </xf>
    <xf numFmtId="1" fontId="14" fillId="0" borderId="63" xfId="0" applyNumberFormat="1" applyFont="1" applyBorder="1" applyAlignment="1">
      <alignment horizontal="center"/>
    </xf>
    <xf numFmtId="178" fontId="34" fillId="0" borderId="2" xfId="1" applyNumberFormat="1" applyFont="1" applyFill="1" applyBorder="1"/>
    <xf numFmtId="178" fontId="34" fillId="0" borderId="1" xfId="1" applyNumberFormat="1" applyFont="1" applyFill="1" applyBorder="1"/>
    <xf numFmtId="178" fontId="19" fillId="0" borderId="44" xfId="2" applyNumberFormat="1" applyFont="1" applyFill="1" applyBorder="1"/>
    <xf numFmtId="178" fontId="14" fillId="0" borderId="39" xfId="2" applyNumberFormat="1" applyFont="1" applyFill="1" applyBorder="1"/>
    <xf numFmtId="178" fontId="15" fillId="0" borderId="110" xfId="0" applyNumberFormat="1" applyFont="1" applyBorder="1" applyAlignment="1">
      <alignment horizontal="right"/>
    </xf>
    <xf numFmtId="178" fontId="14" fillId="0" borderId="2" xfId="1" applyNumberFormat="1" applyFont="1" applyFill="1" applyBorder="1"/>
    <xf numFmtId="178" fontId="19" fillId="0" borderId="39" xfId="1" applyNumberFormat="1" applyFont="1" applyFill="1" applyBorder="1"/>
    <xf numFmtId="178" fontId="19" fillId="0" borderId="0" xfId="1" applyNumberFormat="1" applyFont="1" applyBorder="1"/>
    <xf numFmtId="178" fontId="19" fillId="0" borderId="112" xfId="1" applyNumberFormat="1" applyFont="1" applyBorder="1"/>
    <xf numFmtId="178" fontId="14" fillId="0" borderId="39" xfId="1" applyNumberFormat="1" applyFont="1" applyFill="1" applyBorder="1"/>
    <xf numFmtId="178" fontId="14" fillId="0" borderId="0" xfId="1" applyNumberFormat="1" applyFont="1" applyBorder="1"/>
    <xf numFmtId="178" fontId="14" fillId="0" borderId="112" xfId="1" applyNumberFormat="1" applyFont="1" applyBorder="1"/>
    <xf numFmtId="178" fontId="19" fillId="0" borderId="88" xfId="1" applyNumberFormat="1" applyFont="1" applyBorder="1"/>
    <xf numFmtId="178" fontId="14" fillId="0" borderId="88" xfId="1" applyNumberFormat="1" applyFont="1" applyBorder="1"/>
    <xf numFmtId="178" fontId="14" fillId="0" borderId="91" xfId="1" applyNumberFormat="1" applyFont="1" applyFill="1" applyBorder="1"/>
    <xf numFmtId="178" fontId="14" fillId="0" borderId="39" xfId="1" applyNumberFormat="1" applyFont="1" applyBorder="1"/>
    <xf numFmtId="178" fontId="19" fillId="0" borderId="52" xfId="5" applyNumberFormat="1" applyFont="1" applyBorder="1" applyAlignment="1">
      <alignment horizontal="center"/>
    </xf>
    <xf numFmtId="178" fontId="19" fillId="0" borderId="1" xfId="2" applyNumberFormat="1" applyFont="1" applyFill="1" applyBorder="1"/>
    <xf numFmtId="178" fontId="14" fillId="0" borderId="1" xfId="2" applyNumberFormat="1" applyFont="1" applyFill="1" applyBorder="1" applyAlignment="1">
      <alignment horizontal="center"/>
    </xf>
    <xf numFmtId="178" fontId="19" fillId="0" borderId="52" xfId="2" applyNumberFormat="1" applyFont="1" applyFill="1" applyBorder="1"/>
    <xf numFmtId="178" fontId="19" fillId="0" borderId="133" xfId="2" applyNumberFormat="1" applyFont="1" applyFill="1" applyBorder="1"/>
    <xf numFmtId="180" fontId="16" fillId="0" borderId="0" xfId="0" applyNumberFormat="1" applyFont="1"/>
    <xf numFmtId="165" fontId="15" fillId="0" borderId="0" xfId="0" applyNumberFormat="1" applyFont="1"/>
    <xf numFmtId="178" fontId="19" fillId="0" borderId="111" xfId="2" applyNumberFormat="1" applyFont="1" applyFill="1" applyBorder="1"/>
    <xf numFmtId="178" fontId="19" fillId="0" borderId="39" xfId="2" applyNumberFormat="1" applyFont="1" applyFill="1" applyBorder="1"/>
    <xf numFmtId="178" fontId="19" fillId="0" borderId="112" xfId="2" applyNumberFormat="1" applyFont="1" applyFill="1" applyBorder="1"/>
    <xf numFmtId="178" fontId="14" fillId="0" borderId="112" xfId="2" applyNumberFormat="1" applyFont="1" applyFill="1" applyBorder="1"/>
    <xf numFmtId="178" fontId="14" fillId="0" borderId="39" xfId="2" applyNumberFormat="1" applyFont="1" applyFill="1" applyBorder="1" applyAlignment="1">
      <alignment horizontal="center"/>
    </xf>
    <xf numFmtId="178" fontId="14" fillId="0" borderId="39" xfId="2" applyNumberFormat="1" applyFont="1" applyBorder="1"/>
    <xf numFmtId="178" fontId="19" fillId="0" borderId="39" xfId="2" applyNumberFormat="1" applyFont="1" applyBorder="1"/>
    <xf numFmtId="178" fontId="19" fillId="0" borderId="112" xfId="2" applyNumberFormat="1" applyFont="1" applyBorder="1"/>
    <xf numFmtId="178" fontId="14" fillId="0" borderId="112" xfId="2" applyNumberFormat="1" applyFont="1" applyBorder="1"/>
    <xf numFmtId="178" fontId="15" fillId="0" borderId="39" xfId="3" applyNumberFormat="1" applyFont="1" applyBorder="1" applyAlignment="1">
      <alignment horizontal="right"/>
    </xf>
    <xf numFmtId="178" fontId="15" fillId="0" borderId="112" xfId="3" applyNumberFormat="1" applyFont="1" applyBorder="1" applyAlignment="1">
      <alignment horizontal="right"/>
    </xf>
    <xf numFmtId="178" fontId="16" fillId="0" borderId="39" xfId="3" applyNumberFormat="1" applyFont="1" applyBorder="1" applyAlignment="1">
      <alignment horizontal="right"/>
    </xf>
    <xf numFmtId="178" fontId="16" fillId="0" borderId="112" xfId="3" quotePrefix="1" applyNumberFormat="1" applyFont="1" applyBorder="1" applyAlignment="1">
      <alignment horizontal="right" wrapText="1"/>
    </xf>
    <xf numFmtId="178" fontId="16" fillId="0" borderId="113" xfId="3" quotePrefix="1" applyNumberFormat="1" applyFont="1" applyBorder="1" applyAlignment="1">
      <alignment horizontal="right" wrapText="1"/>
    </xf>
    <xf numFmtId="178" fontId="16" fillId="0" borderId="68" xfId="0" applyNumberFormat="1" applyFont="1" applyBorder="1" applyAlignment="1">
      <alignment horizontal="right"/>
    </xf>
    <xf numFmtId="0" fontId="19" fillId="0" borderId="39" xfId="0" applyFont="1" applyBorder="1" applyAlignment="1">
      <alignment horizontal="center"/>
    </xf>
    <xf numFmtId="178" fontId="14" fillId="0" borderId="1" xfId="1" applyNumberFormat="1" applyFont="1" applyFill="1" applyBorder="1"/>
    <xf numFmtId="170" fontId="14" fillId="0" borderId="1" xfId="0" applyNumberFormat="1" applyFont="1" applyBorder="1"/>
    <xf numFmtId="0" fontId="14" fillId="0" borderId="39" xfId="0" applyFont="1" applyBorder="1" applyAlignment="1">
      <alignment horizontal="left"/>
    </xf>
    <xf numFmtId="0" fontId="14" fillId="10" borderId="1" xfId="0" applyFont="1" applyFill="1" applyBorder="1"/>
    <xf numFmtId="49" fontId="19" fillId="0" borderId="1" xfId="0" applyNumberFormat="1" applyFont="1" applyBorder="1" applyAlignment="1">
      <alignment horizontal="center"/>
    </xf>
    <xf numFmtId="175" fontId="19" fillId="0" borderId="85" xfId="0" applyNumberFormat="1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173" fontId="19" fillId="0" borderId="122" xfId="4" applyNumberFormat="1" applyFont="1" applyBorder="1"/>
    <xf numFmtId="173" fontId="19" fillId="0" borderId="121" xfId="4" applyNumberFormat="1" applyFont="1" applyBorder="1"/>
    <xf numFmtId="173" fontId="14" fillId="10" borderId="121" xfId="4" applyNumberFormat="1" applyFont="1" applyFill="1" applyBorder="1"/>
    <xf numFmtId="4" fontId="14" fillId="0" borderId="61" xfId="1" applyNumberFormat="1" applyFont="1" applyBorder="1" applyAlignment="1">
      <alignment horizontal="center" wrapText="1"/>
    </xf>
    <xf numFmtId="173" fontId="14" fillId="0" borderId="157" xfId="2" applyNumberFormat="1" applyFont="1" applyBorder="1"/>
    <xf numFmtId="173" fontId="14" fillId="0" borderId="38" xfId="2" applyNumberFormat="1" applyFont="1" applyBorder="1"/>
    <xf numFmtId="173" fontId="14" fillId="0" borderId="157" xfId="2" applyNumberFormat="1" applyFont="1" applyFill="1" applyBorder="1"/>
    <xf numFmtId="173" fontId="14" fillId="0" borderId="157" xfId="2" applyNumberFormat="1" applyFont="1" applyFill="1" applyBorder="1" applyAlignment="1">
      <alignment horizontal="center"/>
    </xf>
    <xf numFmtId="165" fontId="19" fillId="0" borderId="25" xfId="2" applyNumberFormat="1" applyFont="1" applyFill="1" applyBorder="1"/>
    <xf numFmtId="178" fontId="16" fillId="0" borderId="0" xfId="0" applyNumberFormat="1" applyFont="1"/>
    <xf numFmtId="178" fontId="14" fillId="0" borderId="0" xfId="0" applyNumberFormat="1" applyFont="1"/>
    <xf numFmtId="180" fontId="14" fillId="0" borderId="0" xfId="0" applyNumberFormat="1" applyFont="1"/>
    <xf numFmtId="178" fontId="14" fillId="0" borderId="164" xfId="2" applyNumberFormat="1" applyFont="1" applyBorder="1"/>
    <xf numFmtId="0" fontId="19" fillId="0" borderId="55" xfId="0" applyFont="1" applyBorder="1" applyAlignment="1">
      <alignment horizontal="center"/>
    </xf>
    <xf numFmtId="49" fontId="16" fillId="0" borderId="1" xfId="1" applyNumberFormat="1" applyFont="1" applyBorder="1" applyAlignment="1">
      <alignment horizontal="left"/>
    </xf>
    <xf numFmtId="180" fontId="14" fillId="0" borderId="1" xfId="2" applyNumberFormat="1" applyFont="1" applyBorder="1"/>
    <xf numFmtId="180" fontId="19" fillId="0" borderId="25" xfId="2" applyNumberFormat="1" applyFont="1" applyFill="1" applyBorder="1"/>
    <xf numFmtId="180" fontId="14" fillId="12" borderId="1" xfId="2" applyNumberFormat="1" applyFont="1" applyFill="1" applyBorder="1"/>
    <xf numFmtId="173" fontId="14" fillId="0" borderId="13" xfId="2" applyNumberFormat="1" applyFont="1" applyFill="1" applyBorder="1" applyAlignment="1">
      <alignment horizontal="center"/>
    </xf>
    <xf numFmtId="4" fontId="16" fillId="10" borderId="4" xfId="1" applyNumberFormat="1" applyFont="1" applyFill="1" applyBorder="1"/>
    <xf numFmtId="180" fontId="0" fillId="0" borderId="0" xfId="0" applyNumberFormat="1"/>
    <xf numFmtId="2" fontId="14" fillId="0" borderId="46" xfId="0" applyNumberFormat="1" applyFont="1" applyBorder="1"/>
    <xf numFmtId="2" fontId="19" fillId="0" borderId="48" xfId="0" applyNumberFormat="1" applyFont="1" applyBorder="1" applyAlignment="1">
      <alignment horizontal="center"/>
    </xf>
    <xf numFmtId="2" fontId="14" fillId="0" borderId="48" xfId="2" applyNumberFormat="1" applyFont="1" applyBorder="1"/>
    <xf numFmtId="4" fontId="19" fillId="0" borderId="25" xfId="0" applyNumberFormat="1" applyFont="1" applyBorder="1"/>
    <xf numFmtId="4" fontId="19" fillId="0" borderId="1" xfId="0" applyNumberFormat="1" applyFont="1" applyBorder="1"/>
    <xf numFmtId="4" fontId="14" fillId="0" borderId="1" xfId="0" applyNumberFormat="1" applyFont="1" applyBorder="1"/>
    <xf numFmtId="4" fontId="14" fillId="0" borderId="37" xfId="0" applyNumberFormat="1" applyFont="1" applyBorder="1"/>
    <xf numFmtId="4" fontId="19" fillId="0" borderId="48" xfId="0" applyNumberFormat="1" applyFont="1" applyBorder="1" applyAlignment="1">
      <alignment horizontal="center"/>
    </xf>
    <xf numFmtId="4" fontId="14" fillId="0" borderId="48" xfId="2" applyNumberFormat="1" applyFont="1" applyBorder="1"/>
    <xf numFmtId="178" fontId="21" fillId="6" borderId="15" xfId="8" applyNumberFormat="1" applyFont="1" applyBorder="1"/>
    <xf numFmtId="178" fontId="19" fillId="0" borderId="114" xfId="0" applyNumberFormat="1" applyFont="1" applyBorder="1"/>
    <xf numFmtId="181" fontId="16" fillId="0" borderId="137" xfId="1" applyNumberFormat="1" applyFont="1" applyBorder="1" applyAlignment="1">
      <alignment horizontal="left"/>
    </xf>
    <xf numFmtId="181" fontId="15" fillId="0" borderId="137" xfId="0" applyNumberFormat="1" applyFont="1" applyBorder="1" applyAlignment="1">
      <alignment horizontal="left"/>
    </xf>
    <xf numFmtId="49" fontId="14" fillId="0" borderId="91" xfId="0" applyNumberFormat="1" applyFont="1" applyBorder="1"/>
    <xf numFmtId="0" fontId="19" fillId="0" borderId="5" xfId="0" applyFont="1" applyBorder="1" applyAlignment="1">
      <alignment horizontal="center"/>
    </xf>
    <xf numFmtId="178" fontId="14" fillId="0" borderId="5" xfId="0" applyNumberFormat="1" applyFont="1" applyBorder="1" applyAlignment="1">
      <alignment horizontal="center"/>
    </xf>
    <xf numFmtId="173" fontId="14" fillId="0" borderId="62" xfId="2" applyNumberFormat="1" applyFont="1" applyBorder="1"/>
    <xf numFmtId="173" fontId="14" fillId="0" borderId="83" xfId="2" applyNumberFormat="1" applyFont="1" applyFill="1" applyBorder="1" applyAlignment="1">
      <alignment horizontal="center"/>
    </xf>
    <xf numFmtId="173" fontId="19" fillId="0" borderId="83" xfId="2" applyNumberFormat="1" applyFont="1" applyFill="1" applyBorder="1" applyAlignment="1">
      <alignment horizontal="center"/>
    </xf>
    <xf numFmtId="173" fontId="19" fillId="0" borderId="62" xfId="2" applyNumberFormat="1" applyFont="1" applyBorder="1"/>
    <xf numFmtId="175" fontId="14" fillId="0" borderId="85" xfId="2" applyNumberFormat="1" applyFont="1" applyBorder="1"/>
    <xf numFmtId="175" fontId="14" fillId="0" borderId="80" xfId="2" applyNumberFormat="1" applyFont="1" applyBorder="1"/>
    <xf numFmtId="182" fontId="18" fillId="0" borderId="0" xfId="0" applyNumberFormat="1" applyFont="1"/>
    <xf numFmtId="173" fontId="14" fillId="0" borderId="75" xfId="2" applyNumberFormat="1" applyFont="1" applyFill="1" applyBorder="1"/>
    <xf numFmtId="173" fontId="14" fillId="0" borderId="2" xfId="2" applyNumberFormat="1" applyFont="1" applyFill="1" applyBorder="1"/>
    <xf numFmtId="173" fontId="14" fillId="0" borderId="35" xfId="2" applyNumberFormat="1" applyFont="1" applyFill="1" applyBorder="1"/>
    <xf numFmtId="173" fontId="14" fillId="0" borderId="78" xfId="2" applyNumberFormat="1" applyFont="1" applyFill="1" applyBorder="1"/>
    <xf numFmtId="173" fontId="14" fillId="0" borderId="37" xfId="2" applyNumberFormat="1" applyFont="1" applyFill="1" applyBorder="1"/>
    <xf numFmtId="173" fontId="19" fillId="0" borderId="69" xfId="6" applyNumberFormat="1" applyFont="1" applyBorder="1" applyAlignment="1">
      <alignment horizontal="center"/>
    </xf>
    <xf numFmtId="182" fontId="35" fillId="0" borderId="0" xfId="0" applyNumberFormat="1" applyFont="1"/>
    <xf numFmtId="173" fontId="19" fillId="0" borderId="53" xfId="2" applyNumberFormat="1" applyFont="1" applyBorder="1" applyAlignment="1">
      <alignment horizontal="left"/>
    </xf>
    <xf numFmtId="173" fontId="19" fillId="0" borderId="123" xfId="0" applyNumberFormat="1" applyFont="1" applyBorder="1"/>
    <xf numFmtId="173" fontId="19" fillId="0" borderId="120" xfId="0" applyNumberFormat="1" applyFont="1" applyBorder="1"/>
    <xf numFmtId="174" fontId="17" fillId="0" borderId="53" xfId="0" applyNumberFormat="1" applyFont="1" applyBorder="1" applyAlignment="1">
      <alignment horizontal="left"/>
    </xf>
    <xf numFmtId="174" fontId="17" fillId="0" borderId="54" xfId="0" applyNumberFormat="1" applyFont="1" applyBorder="1" applyAlignment="1">
      <alignment horizontal="left"/>
    </xf>
    <xf numFmtId="174" fontId="18" fillId="0" borderId="1" xfId="0" applyNumberFormat="1" applyFont="1" applyBorder="1" applyAlignment="1">
      <alignment horizontal="center" wrapText="1"/>
    </xf>
    <xf numFmtId="174" fontId="17" fillId="0" borderId="1" xfId="0" applyNumberFormat="1" applyFont="1" applyBorder="1" applyAlignment="1">
      <alignment horizontal="center" wrapText="1"/>
    </xf>
    <xf numFmtId="174" fontId="17" fillId="0" borderId="1" xfId="0" applyNumberFormat="1" applyFont="1" applyBorder="1"/>
    <xf numFmtId="174" fontId="18" fillId="0" borderId="1" xfId="0" applyNumberFormat="1" applyFont="1" applyBorder="1"/>
    <xf numFmtId="174" fontId="17" fillId="0" borderId="1" xfId="4" applyNumberFormat="1" applyFont="1" applyBorder="1" applyAlignment="1">
      <alignment horizontal="left"/>
    </xf>
    <xf numFmtId="174" fontId="18" fillId="0" borderId="1" xfId="0" applyNumberFormat="1" applyFont="1" applyBorder="1" applyAlignment="1">
      <alignment horizontal="left"/>
    </xf>
    <xf numFmtId="174" fontId="17" fillId="0" borderId="1" xfId="0" applyNumberFormat="1" applyFont="1" applyBorder="1" applyAlignment="1">
      <alignment horizontal="left"/>
    </xf>
    <xf numFmtId="174" fontId="17" fillId="0" borderId="1" xfId="0" applyNumberFormat="1" applyFont="1" applyBorder="1" applyAlignment="1">
      <alignment horizontal="center"/>
    </xf>
    <xf numFmtId="174" fontId="18" fillId="0" borderId="52" xfId="4" applyNumberFormat="1" applyFont="1" applyBorder="1"/>
    <xf numFmtId="174" fontId="17" fillId="0" borderId="52" xfId="4" applyNumberFormat="1" applyFont="1" applyBorder="1"/>
    <xf numFmtId="174" fontId="17" fillId="0" borderId="52" xfId="4" applyNumberFormat="1" applyFont="1" applyBorder="1" applyAlignment="1">
      <alignment horizontal="left"/>
    </xf>
    <xf numFmtId="174" fontId="18" fillId="0" borderId="52" xfId="0" applyNumberFormat="1" applyFont="1" applyBorder="1"/>
    <xf numFmtId="174" fontId="17" fillId="0" borderId="52" xfId="0" applyNumberFormat="1" applyFont="1" applyBorder="1"/>
    <xf numFmtId="174" fontId="18" fillId="0" borderId="52" xfId="0" applyNumberFormat="1" applyFont="1" applyBorder="1" applyAlignment="1">
      <alignment horizontal="left"/>
    </xf>
    <xf numFmtId="174" fontId="17" fillId="0" borderId="52" xfId="0" applyNumberFormat="1" applyFont="1" applyBorder="1" applyAlignment="1">
      <alignment horizontal="left"/>
    </xf>
    <xf numFmtId="174" fontId="17" fillId="0" borderId="52" xfId="0" applyNumberFormat="1" applyFont="1" applyBorder="1" applyAlignment="1">
      <alignment horizontal="center"/>
    </xf>
    <xf numFmtId="183" fontId="37" fillId="10" borderId="1" xfId="6" applyNumberFormat="1" applyFont="1" applyFill="1" applyBorder="1"/>
    <xf numFmtId="175" fontId="18" fillId="0" borderId="44" xfId="1" applyNumberFormat="1" applyFont="1" applyFill="1" applyBorder="1" applyAlignment="1">
      <alignment horizontal="right"/>
    </xf>
    <xf numFmtId="175" fontId="18" fillId="0" borderId="86" xfId="1" applyNumberFormat="1" applyFont="1" applyFill="1" applyBorder="1" applyAlignment="1">
      <alignment horizontal="right"/>
    </xf>
    <xf numFmtId="175" fontId="17" fillId="0" borderId="87" xfId="1" applyNumberFormat="1" applyFont="1" applyBorder="1"/>
    <xf numFmtId="175" fontId="18" fillId="0" borderId="1" xfId="1" applyNumberFormat="1" applyFont="1" applyFill="1" applyBorder="1" applyAlignment="1">
      <alignment horizontal="right"/>
    </xf>
    <xf numFmtId="175" fontId="17" fillId="0" borderId="1" xfId="1" applyNumberFormat="1" applyFont="1" applyBorder="1"/>
    <xf numFmtId="175" fontId="17" fillId="0" borderId="74" xfId="1" applyNumberFormat="1" applyFont="1" applyBorder="1"/>
    <xf numFmtId="175" fontId="18" fillId="0" borderId="2" xfId="1" applyNumberFormat="1" applyFont="1" applyFill="1" applyBorder="1" applyAlignment="1">
      <alignment horizontal="right"/>
    </xf>
    <xf numFmtId="175" fontId="18" fillId="0" borderId="39" xfId="1" applyNumberFormat="1" applyFont="1" applyFill="1" applyBorder="1" applyAlignment="1">
      <alignment horizontal="right"/>
    </xf>
    <xf numFmtId="175" fontId="18" fillId="0" borderId="88" xfId="1" applyNumberFormat="1" applyFont="1" applyFill="1" applyBorder="1" applyAlignment="1">
      <alignment horizontal="right"/>
    </xf>
    <xf numFmtId="175" fontId="17" fillId="0" borderId="89" xfId="0" applyNumberFormat="1" applyFont="1" applyBorder="1"/>
    <xf numFmtId="175" fontId="18" fillId="0" borderId="1" xfId="0" applyNumberFormat="1" applyFont="1" applyBorder="1"/>
    <xf numFmtId="175" fontId="18" fillId="0" borderId="37" xfId="0" applyNumberFormat="1" applyFont="1" applyBorder="1"/>
    <xf numFmtId="175" fontId="17" fillId="0" borderId="22" xfId="0" applyNumberFormat="1" applyFont="1" applyBorder="1"/>
    <xf numFmtId="175" fontId="17" fillId="0" borderId="15" xfId="0" applyNumberFormat="1" applyFont="1" applyBorder="1"/>
    <xf numFmtId="175" fontId="16" fillId="0" borderId="0" xfId="0" applyNumberFormat="1" applyFont="1"/>
    <xf numFmtId="175" fontId="15" fillId="0" borderId="0" xfId="0" applyNumberFormat="1" applyFont="1"/>
    <xf numFmtId="175" fontId="16" fillId="4" borderId="6" xfId="5" applyNumberFormat="1" applyFont="1" applyFill="1" applyBorder="1"/>
    <xf numFmtId="175" fontId="16" fillId="4" borderId="6" xfId="0" applyNumberFormat="1" applyFont="1" applyFill="1" applyBorder="1"/>
    <xf numFmtId="175" fontId="15" fillId="4" borderId="15" xfId="5" applyNumberFormat="1" applyFont="1" applyFill="1" applyBorder="1"/>
    <xf numFmtId="182" fontId="16" fillId="0" borderId="0" xfId="0" applyNumberFormat="1" applyFont="1"/>
    <xf numFmtId="178" fontId="14" fillId="10" borderId="1" xfId="2" applyNumberFormat="1" applyFont="1" applyFill="1" applyBorder="1"/>
    <xf numFmtId="178" fontId="14" fillId="10" borderId="1" xfId="2" applyNumberFormat="1" applyFont="1" applyFill="1" applyBorder="1" applyAlignment="1">
      <alignment horizontal="center"/>
    </xf>
    <xf numFmtId="178" fontId="14" fillId="10" borderId="37" xfId="2" applyNumberFormat="1" applyFont="1" applyFill="1" applyBorder="1"/>
    <xf numFmtId="178" fontId="19" fillId="10" borderId="25" xfId="2" applyNumberFormat="1" applyFont="1" applyFill="1" applyBorder="1"/>
    <xf numFmtId="178" fontId="19" fillId="10" borderId="1" xfId="2" applyNumberFormat="1" applyFont="1" applyFill="1" applyBorder="1"/>
    <xf numFmtId="4" fontId="14" fillId="10" borderId="1" xfId="2" applyNumberFormat="1" applyFont="1" applyFill="1" applyBorder="1"/>
    <xf numFmtId="4" fontId="14" fillId="10" borderId="1" xfId="2" applyNumberFormat="1" applyFont="1" applyFill="1" applyBorder="1" applyAlignment="1">
      <alignment horizontal="center"/>
    </xf>
    <xf numFmtId="4" fontId="19" fillId="10" borderId="1" xfId="2" applyNumberFormat="1" applyFont="1" applyFill="1" applyBorder="1"/>
    <xf numFmtId="4" fontId="14" fillId="10" borderId="37" xfId="2" applyNumberFormat="1" applyFont="1" applyFill="1" applyBorder="1"/>
    <xf numFmtId="178" fontId="14" fillId="10" borderId="1" xfId="0" applyNumberFormat="1" applyFont="1" applyFill="1" applyBorder="1"/>
    <xf numFmtId="4" fontId="14" fillId="10" borderId="157" xfId="2" applyNumberFormat="1" applyFont="1" applyFill="1" applyBorder="1"/>
    <xf numFmtId="4" fontId="14" fillId="10" borderId="157" xfId="2" applyNumberFormat="1" applyFont="1" applyFill="1" applyBorder="1" applyAlignment="1">
      <alignment horizontal="center"/>
    </xf>
    <xf numFmtId="4" fontId="14" fillId="10" borderId="38" xfId="2" applyNumberFormat="1" applyFont="1" applyFill="1" applyBorder="1"/>
    <xf numFmtId="178" fontId="14" fillId="10" borderId="13" xfId="2" applyNumberFormat="1" applyFont="1" applyFill="1" applyBorder="1"/>
    <xf numFmtId="178" fontId="14" fillId="10" borderId="13" xfId="2" applyNumberFormat="1" applyFont="1" applyFill="1" applyBorder="1" applyAlignment="1">
      <alignment horizontal="center"/>
    </xf>
    <xf numFmtId="178" fontId="14" fillId="10" borderId="82" xfId="2" applyNumberFormat="1" applyFont="1" applyFill="1" applyBorder="1"/>
    <xf numFmtId="2" fontId="14" fillId="10" borderId="1" xfId="2" applyNumberFormat="1" applyFont="1" applyFill="1" applyBorder="1"/>
    <xf numFmtId="2" fontId="14" fillId="10" borderId="1" xfId="2" applyNumberFormat="1" applyFont="1" applyFill="1" applyBorder="1" applyAlignment="1">
      <alignment horizontal="center"/>
    </xf>
    <xf numFmtId="2" fontId="19" fillId="10" borderId="1" xfId="2" applyNumberFormat="1" applyFont="1" applyFill="1" applyBorder="1"/>
    <xf numFmtId="2" fontId="14" fillId="10" borderId="37" xfId="2" applyNumberFormat="1" applyFont="1" applyFill="1" applyBorder="1"/>
    <xf numFmtId="1" fontId="14" fillId="0" borderId="1" xfId="0" applyNumberFormat="1" applyFont="1" applyBorder="1" applyAlignment="1">
      <alignment horizontal="center"/>
    </xf>
    <xf numFmtId="165" fontId="14" fillId="15" borderId="0" xfId="0" applyNumberFormat="1" applyFont="1" applyFill="1"/>
    <xf numFmtId="164" fontId="16" fillId="0" borderId="0" xfId="0" applyNumberFormat="1" applyFont="1"/>
    <xf numFmtId="178" fontId="14" fillId="10" borderId="0" xfId="0" applyNumberFormat="1" applyFont="1" applyFill="1"/>
    <xf numFmtId="180" fontId="19" fillId="0" borderId="1" xfId="2" applyNumberFormat="1" applyFont="1" applyBorder="1"/>
    <xf numFmtId="180" fontId="14" fillId="0" borderId="136" xfId="2" applyNumberFormat="1" applyFont="1" applyBorder="1"/>
    <xf numFmtId="180" fontId="19" fillId="0" borderId="52" xfId="2" applyNumberFormat="1" applyFont="1" applyBorder="1"/>
    <xf numFmtId="166" fontId="17" fillId="0" borderId="1" xfId="0" applyNumberFormat="1" applyFont="1" applyBorder="1" applyAlignment="1">
      <alignment horizontal="left"/>
    </xf>
    <xf numFmtId="166" fontId="17" fillId="0" borderId="52" xfId="0" applyNumberFormat="1" applyFont="1" applyBorder="1" applyAlignment="1">
      <alignment horizontal="left"/>
    </xf>
    <xf numFmtId="1" fontId="16" fillId="0" borderId="24" xfId="0" applyNumberFormat="1" applyFont="1" applyBorder="1" applyAlignment="1">
      <alignment horizontal="left"/>
    </xf>
    <xf numFmtId="1" fontId="16" fillId="0" borderId="27" xfId="0" applyNumberFormat="1" applyFont="1" applyBorder="1" applyAlignment="1">
      <alignment horizontal="left"/>
    </xf>
    <xf numFmtId="170" fontId="15" fillId="0" borderId="24" xfId="0" applyNumberFormat="1" applyFont="1" applyBorder="1" applyAlignment="1">
      <alignment horizontal="center"/>
    </xf>
    <xf numFmtId="169" fontId="16" fillId="0" borderId="26" xfId="0" applyNumberFormat="1" applyFont="1" applyBorder="1"/>
    <xf numFmtId="170" fontId="15" fillId="0" borderId="27" xfId="0" applyNumberFormat="1" applyFont="1" applyBorder="1" applyAlignment="1">
      <alignment horizontal="center"/>
    </xf>
    <xf numFmtId="170" fontId="16" fillId="0" borderId="28" xfId="0" applyNumberFormat="1" applyFont="1" applyBorder="1"/>
    <xf numFmtId="1" fontId="15" fillId="16" borderId="70" xfId="0" applyNumberFormat="1" applyFont="1" applyFill="1" applyBorder="1" applyAlignment="1">
      <alignment horizontal="left"/>
    </xf>
    <xf numFmtId="170" fontId="15" fillId="10" borderId="0" xfId="0" applyNumberFormat="1" applyFont="1" applyFill="1"/>
    <xf numFmtId="170" fontId="15" fillId="10" borderId="0" xfId="0" applyNumberFormat="1" applyFont="1" applyFill="1" applyAlignment="1">
      <alignment horizontal="center"/>
    </xf>
    <xf numFmtId="1" fontId="15" fillId="13" borderId="29" xfId="0" applyNumberFormat="1" applyFont="1" applyFill="1" applyBorder="1" applyAlignment="1">
      <alignment horizontal="left"/>
    </xf>
    <xf numFmtId="9" fontId="16" fillId="0" borderId="0" xfId="0" applyNumberFormat="1" applyFont="1"/>
    <xf numFmtId="165" fontId="15" fillId="17" borderId="0" xfId="0" applyNumberFormat="1" applyFont="1" applyFill="1"/>
    <xf numFmtId="180" fontId="15" fillId="17" borderId="0" xfId="0" applyNumberFormat="1" applyFont="1" applyFill="1"/>
    <xf numFmtId="0" fontId="14" fillId="10" borderId="1" xfId="0" applyFont="1" applyFill="1" applyBorder="1" applyAlignment="1">
      <alignment horizontal="left"/>
    </xf>
    <xf numFmtId="176" fontId="14" fillId="10" borderId="1" xfId="0" applyNumberFormat="1" applyFont="1" applyFill="1" applyBorder="1"/>
    <xf numFmtId="170" fontId="14" fillId="10" borderId="1" xfId="0" applyNumberFormat="1" applyFont="1" applyFill="1" applyBorder="1"/>
    <xf numFmtId="0" fontId="14" fillId="10" borderId="16" xfId="0" applyFont="1" applyFill="1" applyBorder="1" applyAlignment="1">
      <alignment horizontal="left"/>
    </xf>
    <xf numFmtId="173" fontId="14" fillId="10" borderId="1" xfId="4" applyNumberFormat="1" applyFont="1" applyFill="1" applyBorder="1"/>
    <xf numFmtId="173" fontId="14" fillId="10" borderId="18" xfId="4" applyNumberFormat="1" applyFont="1" applyFill="1" applyBorder="1"/>
    <xf numFmtId="173" fontId="14" fillId="10" borderId="122" xfId="4" applyNumberFormat="1" applyFont="1" applyFill="1" applyBorder="1"/>
    <xf numFmtId="174" fontId="18" fillId="10" borderId="1" xfId="0" applyNumberFormat="1" applyFont="1" applyFill="1" applyBorder="1" applyAlignment="1">
      <alignment horizontal="center" wrapText="1"/>
    </xf>
    <xf numFmtId="4" fontId="14" fillId="10" borderId="95" xfId="1" applyNumberFormat="1" applyFont="1" applyFill="1" applyBorder="1" applyAlignment="1">
      <alignment horizontal="center" wrapText="1"/>
    </xf>
    <xf numFmtId="0" fontId="16" fillId="10" borderId="4" xfId="0" applyFont="1" applyFill="1" applyBorder="1" applyAlignment="1">
      <alignment vertical="center" wrapText="1"/>
    </xf>
    <xf numFmtId="4" fontId="16" fillId="10" borderId="4" xfId="1" applyNumberFormat="1" applyFont="1" applyFill="1" applyBorder="1" applyAlignment="1">
      <alignment wrapText="1"/>
    </xf>
    <xf numFmtId="165" fontId="16" fillId="10" borderId="7" xfId="0" applyNumberFormat="1" applyFont="1" applyFill="1" applyBorder="1" applyAlignment="1">
      <alignment vertical="center"/>
    </xf>
    <xf numFmtId="173" fontId="16" fillId="10" borderId="4" xfId="0" applyNumberFormat="1" applyFont="1" applyFill="1" applyBorder="1"/>
    <xf numFmtId="173" fontId="14" fillId="0" borderId="39" xfId="4" applyNumberFormat="1" applyFont="1" applyBorder="1"/>
    <xf numFmtId="173" fontId="14" fillId="0" borderId="91" xfId="4" applyNumberFormat="1" applyFont="1" applyBorder="1"/>
    <xf numFmtId="0" fontId="18" fillId="0" borderId="66" xfId="0" applyFont="1" applyBorder="1" applyAlignment="1">
      <alignment horizontal="center"/>
    </xf>
    <xf numFmtId="0" fontId="18" fillId="0" borderId="39" xfId="0" applyFont="1" applyBorder="1"/>
    <xf numFmtId="180" fontId="19" fillId="0" borderId="125" xfId="4" applyNumberFormat="1" applyFont="1" applyBorder="1" applyAlignment="1">
      <alignment horizontal="left"/>
    </xf>
    <xf numFmtId="170" fontId="16" fillId="0" borderId="169" xfId="0" applyNumberFormat="1" applyFont="1" applyBorder="1"/>
    <xf numFmtId="165" fontId="15" fillId="0" borderId="115" xfId="0" applyNumberFormat="1" applyFont="1" applyBorder="1"/>
    <xf numFmtId="180" fontId="19" fillId="0" borderId="53" xfId="4" applyNumberFormat="1" applyFont="1" applyBorder="1" applyAlignment="1">
      <alignment horizontal="left"/>
    </xf>
    <xf numFmtId="185" fontId="14" fillId="0" borderId="1" xfId="5" applyNumberFormat="1" applyFont="1" applyBorder="1" applyAlignment="1">
      <alignment horizontal="center"/>
    </xf>
    <xf numFmtId="185" fontId="14" fillId="0" borderId="96" xfId="6" applyNumberFormat="1" applyFont="1" applyBorder="1" applyAlignment="1">
      <alignment horizontal="justify" vertical="center"/>
    </xf>
    <xf numFmtId="185" fontId="14" fillId="0" borderId="2" xfId="6" applyNumberFormat="1" applyFont="1" applyBorder="1" applyAlignment="1">
      <alignment horizontal="justify" vertical="center"/>
    </xf>
    <xf numFmtId="185" fontId="14" fillId="0" borderId="37" xfId="6" applyNumberFormat="1" applyFont="1" applyBorder="1" applyAlignment="1">
      <alignment horizontal="justify" vertical="center"/>
    </xf>
    <xf numFmtId="185" fontId="14" fillId="0" borderId="128" xfId="6" applyNumberFormat="1" applyFont="1" applyBorder="1" applyAlignment="1">
      <alignment horizontal="justify" vertical="center"/>
    </xf>
    <xf numFmtId="185" fontId="14" fillId="0" borderId="1" xfId="6" applyNumberFormat="1" applyFont="1" applyBorder="1" applyAlignment="1">
      <alignment horizontal="justify" vertical="center"/>
    </xf>
    <xf numFmtId="185" fontId="14" fillId="0" borderId="52" xfId="6" applyNumberFormat="1" applyFont="1" applyBorder="1" applyAlignment="1">
      <alignment horizontal="justify" vertical="center"/>
    </xf>
    <xf numFmtId="185" fontId="19" fillId="0" borderId="1" xfId="6" applyNumberFormat="1" applyFont="1" applyBorder="1" applyAlignment="1">
      <alignment horizontal="justify" vertical="center"/>
    </xf>
    <xf numFmtId="185" fontId="19" fillId="0" borderId="36" xfId="6" applyNumberFormat="1" applyFont="1" applyBorder="1" applyAlignment="1">
      <alignment horizontal="right"/>
    </xf>
    <xf numFmtId="185" fontId="14" fillId="0" borderId="36" xfId="6" applyNumberFormat="1" applyFont="1" applyBorder="1" applyAlignment="1">
      <alignment horizontal="right"/>
    </xf>
    <xf numFmtId="185" fontId="19" fillId="0" borderId="57" xfId="6" applyNumberFormat="1" applyFont="1" applyBorder="1" applyAlignment="1">
      <alignment horizontal="right"/>
    </xf>
    <xf numFmtId="185" fontId="19" fillId="0" borderId="60" xfId="6" applyNumberFormat="1" applyFont="1" applyBorder="1" applyAlignment="1">
      <alignment horizontal="right"/>
    </xf>
    <xf numFmtId="185" fontId="14" fillId="0" borderId="1" xfId="5" applyNumberFormat="1" applyFont="1" applyBorder="1" applyAlignment="1">
      <alignment horizontal="justify" vertical="center"/>
    </xf>
    <xf numFmtId="185" fontId="14" fillId="0" borderId="1" xfId="0" applyNumberFormat="1" applyFont="1" applyBorder="1" applyAlignment="1">
      <alignment horizontal="justify" vertical="center"/>
    </xf>
    <xf numFmtId="185" fontId="14" fillId="0" borderId="2" xfId="0" applyNumberFormat="1" applyFont="1" applyBorder="1" applyAlignment="1">
      <alignment horizontal="justify" vertical="center"/>
    </xf>
    <xf numFmtId="185" fontId="14" fillId="0" borderId="52" xfId="0" applyNumberFormat="1" applyFont="1" applyBorder="1" applyAlignment="1">
      <alignment horizontal="justify" vertical="center"/>
    </xf>
    <xf numFmtId="185" fontId="19" fillId="0" borderId="1" xfId="5" applyNumberFormat="1" applyFont="1" applyBorder="1" applyAlignment="1">
      <alignment horizontal="justify" vertical="center"/>
    </xf>
    <xf numFmtId="185" fontId="19" fillId="0" borderId="1" xfId="0" applyNumberFormat="1" applyFont="1" applyBorder="1" applyAlignment="1">
      <alignment horizontal="justify" vertical="center"/>
    </xf>
    <xf numFmtId="185" fontId="14" fillId="0" borderId="1" xfId="0" applyNumberFormat="1" applyFont="1" applyBorder="1"/>
    <xf numFmtId="185" fontId="19" fillId="0" borderId="1" xfId="0" applyNumberFormat="1" applyFont="1" applyBorder="1"/>
    <xf numFmtId="185" fontId="14" fillId="0" borderId="52" xfId="0" applyNumberFormat="1" applyFont="1" applyBorder="1"/>
    <xf numFmtId="185" fontId="14" fillId="0" borderId="2" xfId="5" applyNumberFormat="1" applyFont="1" applyBorder="1" applyAlignment="1">
      <alignment horizontal="justify" vertical="center"/>
    </xf>
    <xf numFmtId="185" fontId="19" fillId="0" borderId="2" xfId="0" applyNumberFormat="1" applyFont="1" applyBorder="1" applyAlignment="1">
      <alignment horizontal="justify" vertical="center"/>
    </xf>
    <xf numFmtId="185" fontId="14" fillId="0" borderId="62" xfId="0" applyNumberFormat="1" applyFont="1" applyBorder="1" applyAlignment="1">
      <alignment horizontal="justify" vertical="center"/>
    </xf>
    <xf numFmtId="175" fontId="17" fillId="0" borderId="5" xfId="0" applyNumberFormat="1" applyFont="1" applyBorder="1"/>
    <xf numFmtId="4" fontId="19" fillId="10" borderId="25" xfId="2" applyNumberFormat="1" applyFont="1" applyFill="1" applyBorder="1"/>
    <xf numFmtId="178" fontId="19" fillId="0" borderId="25" xfId="2" applyNumberFormat="1" applyFont="1" applyFill="1" applyBorder="1"/>
    <xf numFmtId="2" fontId="19" fillId="10" borderId="25" xfId="2" applyNumberFormat="1" applyFont="1" applyFill="1" applyBorder="1"/>
    <xf numFmtId="49" fontId="19" fillId="0" borderId="0" xfId="0" applyNumberFormat="1" applyFont="1"/>
    <xf numFmtId="186" fontId="14" fillId="0" borderId="1" xfId="2" applyNumberFormat="1" applyFont="1" applyBorder="1"/>
    <xf numFmtId="186" fontId="14" fillId="0" borderId="37" xfId="2" applyNumberFormat="1" applyFont="1" applyBorder="1"/>
    <xf numFmtId="165" fontId="15" fillId="0" borderId="7" xfId="0" applyNumberFormat="1" applyFont="1" applyBorder="1" applyAlignment="1">
      <alignment vertical="center"/>
    </xf>
    <xf numFmtId="44" fontId="16" fillId="0" borderId="0" xfId="0" applyNumberFormat="1" applyFont="1"/>
    <xf numFmtId="181" fontId="15" fillId="0" borderId="137" xfId="1" applyNumberFormat="1" applyFont="1" applyBorder="1" applyAlignment="1">
      <alignment horizontal="left"/>
    </xf>
    <xf numFmtId="186" fontId="0" fillId="0" borderId="0" xfId="0" applyNumberFormat="1"/>
    <xf numFmtId="165" fontId="16" fillId="10" borderId="0" xfId="0" applyNumberFormat="1" applyFont="1" applyFill="1"/>
    <xf numFmtId="0" fontId="16" fillId="10" borderId="0" xfId="0" applyFont="1" applyFill="1" applyAlignment="1">
      <alignment horizontal="left"/>
    </xf>
    <xf numFmtId="0" fontId="19" fillId="10" borderId="14" xfId="0" applyFont="1" applyFill="1" applyBorder="1" applyAlignment="1">
      <alignment horizontal="center" wrapText="1"/>
    </xf>
    <xf numFmtId="4" fontId="16" fillId="10" borderId="9" xfId="1" applyNumberFormat="1" applyFont="1" applyFill="1" applyBorder="1"/>
    <xf numFmtId="173" fontId="16" fillId="10" borderId="7" xfId="1" applyNumberFormat="1" applyFont="1" applyFill="1" applyBorder="1"/>
    <xf numFmtId="173" fontId="15" fillId="10" borderId="7" xfId="1" applyNumberFormat="1" applyFont="1" applyFill="1" applyBorder="1"/>
    <xf numFmtId="173" fontId="15" fillId="10" borderId="7" xfId="0" applyNumberFormat="1" applyFont="1" applyFill="1" applyBorder="1"/>
    <xf numFmtId="178" fontId="15" fillId="10" borderId="102" xfId="0" applyNumberFormat="1" applyFont="1" applyFill="1" applyBorder="1"/>
    <xf numFmtId="4" fontId="16" fillId="10" borderId="0" xfId="0" applyNumberFormat="1" applyFont="1" applyFill="1"/>
    <xf numFmtId="168" fontId="26" fillId="10" borderId="0" xfId="1" applyFont="1" applyFill="1" applyAlignment="1">
      <alignment horizontal="center"/>
    </xf>
    <xf numFmtId="167" fontId="24" fillId="10" borderId="0" xfId="6" applyFont="1" applyFill="1" applyAlignment="1">
      <alignment horizontal="center"/>
    </xf>
    <xf numFmtId="0" fontId="19" fillId="10" borderId="8" xfId="0" applyFont="1" applyFill="1" applyBorder="1" applyAlignment="1">
      <alignment horizontal="center" wrapText="1"/>
    </xf>
    <xf numFmtId="173" fontId="15" fillId="10" borderId="4" xfId="1" applyNumberFormat="1" applyFont="1" applyFill="1" applyBorder="1"/>
    <xf numFmtId="173" fontId="15" fillId="10" borderId="4" xfId="0" applyNumberFormat="1" applyFont="1" applyFill="1" applyBorder="1"/>
    <xf numFmtId="165" fontId="15" fillId="10" borderId="7" xfId="0" applyNumberFormat="1" applyFont="1" applyFill="1" applyBorder="1" applyAlignment="1">
      <alignment vertical="center"/>
    </xf>
    <xf numFmtId="178" fontId="15" fillId="10" borderId="110" xfId="0" applyNumberFormat="1" applyFont="1" applyFill="1" applyBorder="1"/>
    <xf numFmtId="0" fontId="16" fillId="10" borderId="0" xfId="0" applyFont="1" applyFill="1"/>
    <xf numFmtId="166" fontId="16" fillId="10" borderId="0" xfId="0" applyNumberFormat="1" applyFont="1" applyFill="1"/>
    <xf numFmtId="173" fontId="16" fillId="10" borderId="4" xfId="1" applyNumberFormat="1" applyFont="1" applyFill="1" applyBorder="1"/>
    <xf numFmtId="173" fontId="15" fillId="10" borderId="110" xfId="0" applyNumberFormat="1" applyFont="1" applyFill="1" applyBorder="1"/>
    <xf numFmtId="4" fontId="15" fillId="10" borderId="0" xfId="0" applyNumberFormat="1" applyFont="1" applyFill="1"/>
    <xf numFmtId="165" fontId="15" fillId="10" borderId="0" xfId="0" applyNumberFormat="1" applyFont="1" applyFill="1"/>
    <xf numFmtId="3" fontId="16" fillId="10" borderId="0" xfId="0" applyNumberFormat="1" applyFont="1" applyFill="1"/>
    <xf numFmtId="4" fontId="16" fillId="10" borderId="104" xfId="1" applyNumberFormat="1" applyFont="1" applyFill="1" applyBorder="1" applyAlignment="1"/>
    <xf numFmtId="4" fontId="16" fillId="10" borderId="106" xfId="1" applyNumberFormat="1" applyFont="1" applyFill="1" applyBorder="1" applyAlignment="1">
      <alignment horizontal="center"/>
    </xf>
    <xf numFmtId="4" fontId="15" fillId="10" borderId="9" xfId="1" applyNumberFormat="1" applyFont="1" applyFill="1" applyBorder="1"/>
    <xf numFmtId="4" fontId="15" fillId="10" borderId="4" xfId="1" applyNumberFormat="1" applyFont="1" applyFill="1" applyBorder="1"/>
    <xf numFmtId="0" fontId="16" fillId="10" borderId="4" xfId="0" applyFont="1" applyFill="1" applyBorder="1" applyAlignment="1">
      <alignment vertical="center"/>
    </xf>
    <xf numFmtId="0" fontId="15" fillId="10" borderId="110" xfId="0" applyFont="1" applyFill="1" applyBorder="1" applyAlignment="1">
      <alignment horizontal="center"/>
    </xf>
    <xf numFmtId="4" fontId="16" fillId="10" borderId="10" xfId="1" applyNumberFormat="1" applyFont="1" applyFill="1" applyBorder="1" applyAlignment="1">
      <alignment horizontal="center"/>
    </xf>
    <xf numFmtId="0" fontId="16" fillId="10" borderId="0" xfId="0" applyFont="1" applyFill="1" applyAlignment="1">
      <alignment horizontal="right"/>
    </xf>
    <xf numFmtId="0" fontId="15" fillId="16" borderId="41" xfId="0" applyFont="1" applyFill="1" applyBorder="1" applyAlignment="1">
      <alignment vertical="center" wrapText="1"/>
    </xf>
    <xf numFmtId="1" fontId="15" fillId="16" borderId="42" xfId="0" applyNumberFormat="1" applyFont="1" applyFill="1" applyBorder="1" applyAlignment="1">
      <alignment horizontal="left" vertical="center" wrapText="1"/>
    </xf>
    <xf numFmtId="1" fontId="16" fillId="0" borderId="73" xfId="0" applyNumberFormat="1" applyFont="1" applyBorder="1" applyAlignment="1">
      <alignment horizontal="left"/>
    </xf>
    <xf numFmtId="0" fontId="16" fillId="0" borderId="92" xfId="0" applyFont="1" applyBorder="1" applyAlignment="1">
      <alignment horizontal="left"/>
    </xf>
    <xf numFmtId="0" fontId="16" fillId="0" borderId="40" xfId="0" applyFont="1" applyBorder="1" applyAlignment="1">
      <alignment horizontal="left"/>
    </xf>
    <xf numFmtId="49" fontId="16" fillId="10" borderId="39" xfId="0" applyNumberFormat="1" applyFont="1" applyFill="1" applyBorder="1"/>
    <xf numFmtId="49" fontId="16" fillId="10" borderId="0" xfId="0" applyNumberFormat="1" applyFont="1" applyFill="1"/>
    <xf numFmtId="0" fontId="14" fillId="10" borderId="39" xfId="0" applyFont="1" applyFill="1" applyBorder="1"/>
    <xf numFmtId="2" fontId="19" fillId="0" borderId="0" xfId="0" applyNumberFormat="1" applyFont="1"/>
    <xf numFmtId="2" fontId="15" fillId="0" borderId="0" xfId="0" applyNumberFormat="1" applyFont="1"/>
    <xf numFmtId="186" fontId="19" fillId="0" borderId="1" xfId="2" applyNumberFormat="1" applyFont="1" applyBorder="1"/>
    <xf numFmtId="173" fontId="19" fillId="0" borderId="13" xfId="2" applyNumberFormat="1" applyFont="1" applyBorder="1"/>
    <xf numFmtId="173" fontId="19" fillId="0" borderId="115" xfId="2" applyNumberFormat="1" applyFont="1" applyBorder="1"/>
    <xf numFmtId="186" fontId="16" fillId="0" borderId="0" xfId="0" applyNumberFormat="1" applyFont="1"/>
    <xf numFmtId="173" fontId="19" fillId="0" borderId="52" xfId="0" applyNumberFormat="1" applyFont="1" applyBorder="1"/>
    <xf numFmtId="173" fontId="14" fillId="10" borderId="2" xfId="2" applyNumberFormat="1" applyFont="1" applyFill="1" applyBorder="1"/>
    <xf numFmtId="173" fontId="14" fillId="10" borderId="1" xfId="2" applyNumberFormat="1" applyFont="1" applyFill="1" applyBorder="1"/>
    <xf numFmtId="173" fontId="14" fillId="10" borderId="37" xfId="2" applyNumberFormat="1" applyFont="1" applyFill="1" applyBorder="1"/>
    <xf numFmtId="173" fontId="14" fillId="10" borderId="75" xfId="2" applyNumberFormat="1" applyFont="1" applyFill="1" applyBorder="1"/>
    <xf numFmtId="173" fontId="14" fillId="10" borderId="35" xfId="2" applyNumberFormat="1" applyFont="1" applyFill="1" applyBorder="1"/>
    <xf numFmtId="173" fontId="14" fillId="10" borderId="83" xfId="2" applyNumberFormat="1" applyFont="1" applyFill="1" applyBorder="1" applyAlignment="1">
      <alignment horizontal="center"/>
    </xf>
    <xf numFmtId="165" fontId="14" fillId="0" borderId="2" xfId="0" applyNumberFormat="1" applyFont="1" applyBorder="1"/>
    <xf numFmtId="0" fontId="14" fillId="14" borderId="1" xfId="0" applyFont="1" applyFill="1" applyBorder="1"/>
    <xf numFmtId="165" fontId="16" fillId="14" borderId="1" xfId="0" applyNumberFormat="1" applyFont="1" applyFill="1" applyBorder="1"/>
    <xf numFmtId="165" fontId="14" fillId="14" borderId="1" xfId="0" applyNumberFormat="1" applyFont="1" applyFill="1" applyBorder="1"/>
    <xf numFmtId="165" fontId="16" fillId="18" borderId="1" xfId="0" applyNumberFormat="1" applyFont="1" applyFill="1" applyBorder="1"/>
    <xf numFmtId="43" fontId="14" fillId="0" borderId="0" xfId="0" applyNumberFormat="1" applyFont="1"/>
    <xf numFmtId="173" fontId="14" fillId="0" borderId="0" xfId="0" applyNumberFormat="1" applyFont="1"/>
    <xf numFmtId="186" fontId="14" fillId="0" borderId="0" xfId="0" applyNumberFormat="1" applyFont="1"/>
    <xf numFmtId="2" fontId="15" fillId="19" borderId="1" xfId="0" applyNumberFormat="1" applyFont="1" applyFill="1" applyBorder="1"/>
    <xf numFmtId="165" fontId="14" fillId="18" borderId="0" xfId="0" applyNumberFormat="1" applyFont="1" applyFill="1"/>
    <xf numFmtId="165" fontId="16" fillId="14" borderId="0" xfId="0" applyNumberFormat="1" applyFont="1" applyFill="1"/>
    <xf numFmtId="49" fontId="15" fillId="10" borderId="39" xfId="0" applyNumberFormat="1" applyFont="1" applyFill="1" applyBorder="1"/>
    <xf numFmtId="0" fontId="16" fillId="20" borderId="0" xfId="0" applyFont="1" applyFill="1"/>
    <xf numFmtId="166" fontId="16" fillId="20" borderId="0" xfId="0" applyNumberFormat="1" applyFont="1" applyFill="1" applyAlignment="1">
      <alignment horizontal="right"/>
    </xf>
    <xf numFmtId="166" fontId="15" fillId="20" borderId="0" xfId="0" applyNumberFormat="1" applyFont="1" applyFill="1"/>
    <xf numFmtId="0" fontId="16" fillId="20" borderId="0" xfId="0" applyFont="1" applyFill="1" applyAlignment="1">
      <alignment horizontal="right"/>
    </xf>
    <xf numFmtId="166" fontId="15" fillId="20" borderId="0" xfId="2" applyFont="1" applyFill="1"/>
    <xf numFmtId="166" fontId="15" fillId="20" borderId="36" xfId="0" applyNumberFormat="1" applyFont="1" applyFill="1" applyBorder="1"/>
    <xf numFmtId="0" fontId="21" fillId="6" borderId="5" xfId="8" applyFont="1" applyBorder="1" applyAlignment="1">
      <alignment horizontal="center"/>
    </xf>
    <xf numFmtId="1" fontId="14" fillId="0" borderId="45" xfId="0" applyNumberFormat="1" applyFont="1" applyBorder="1" applyAlignment="1">
      <alignment horizontal="center"/>
    </xf>
    <xf numFmtId="2" fontId="14" fillId="0" borderId="39" xfId="0" applyNumberFormat="1" applyFont="1" applyBorder="1"/>
    <xf numFmtId="185" fontId="14" fillId="0" borderId="13" xfId="0" applyNumberFormat="1" applyFont="1" applyBorder="1" applyAlignment="1">
      <alignment horizontal="justify" vertical="center"/>
    </xf>
    <xf numFmtId="0" fontId="16" fillId="0" borderId="13" xfId="0" applyFont="1" applyBorder="1" applyAlignment="1">
      <alignment horizontal="left"/>
    </xf>
    <xf numFmtId="0" fontId="16" fillId="0" borderId="157" xfId="0" applyFont="1" applyBorder="1" applyAlignment="1">
      <alignment horizontal="left"/>
    </xf>
    <xf numFmtId="170" fontId="16" fillId="0" borderId="171" xfId="0" applyNumberFormat="1" applyFont="1" applyBorder="1"/>
    <xf numFmtId="170" fontId="15" fillId="0" borderId="76" xfId="0" applyNumberFormat="1" applyFont="1" applyBorder="1" applyAlignment="1">
      <alignment horizontal="center"/>
    </xf>
    <xf numFmtId="170" fontId="16" fillId="0" borderId="90" xfId="0" applyNumberFormat="1" applyFont="1" applyBorder="1"/>
    <xf numFmtId="170" fontId="15" fillId="0" borderId="73" xfId="0" applyNumberFormat="1" applyFont="1" applyBorder="1" applyAlignment="1">
      <alignment horizontal="center"/>
    </xf>
    <xf numFmtId="169" fontId="16" fillId="0" borderId="74" xfId="0" applyNumberFormat="1" applyFont="1" applyBorder="1"/>
    <xf numFmtId="43" fontId="16" fillId="0" borderId="1" xfId="0" applyNumberFormat="1" applyFont="1" applyBorder="1" applyAlignment="1">
      <alignment horizontal="center"/>
    </xf>
    <xf numFmtId="165" fontId="19" fillId="11" borderId="1" xfId="0" applyNumberFormat="1" applyFont="1" applyFill="1" applyBorder="1"/>
    <xf numFmtId="178" fontId="14" fillId="5" borderId="164" xfId="1" applyNumberFormat="1" applyFont="1" applyFill="1" applyBorder="1"/>
    <xf numFmtId="0" fontId="14" fillId="0" borderId="53" xfId="0" applyFont="1" applyBorder="1" applyAlignment="1">
      <alignment horizontal="left"/>
    </xf>
    <xf numFmtId="0" fontId="14" fillId="0" borderId="53" xfId="0" applyFont="1" applyBorder="1"/>
    <xf numFmtId="173" fontId="14" fillId="0" borderId="53" xfId="0" applyNumberFormat="1" applyFont="1" applyBorder="1"/>
    <xf numFmtId="173" fontId="14" fillId="0" borderId="53" xfId="1" applyNumberFormat="1" applyFont="1" applyFill="1" applyBorder="1"/>
    <xf numFmtId="173" fontId="14" fillId="0" borderId="53" xfId="1" applyNumberFormat="1" applyFont="1" applyBorder="1"/>
    <xf numFmtId="178" fontId="14" fillId="10" borderId="39" xfId="2" applyNumberFormat="1" applyFont="1" applyFill="1" applyBorder="1"/>
    <xf numFmtId="178" fontId="14" fillId="10" borderId="88" xfId="2" applyNumberFormat="1" applyFont="1" applyFill="1" applyBorder="1"/>
    <xf numFmtId="2" fontId="14" fillId="10" borderId="39" xfId="2" applyNumberFormat="1" applyFont="1" applyFill="1" applyBorder="1"/>
    <xf numFmtId="4" fontId="14" fillId="0" borderId="39" xfId="0" applyNumberFormat="1" applyFont="1" applyBorder="1"/>
    <xf numFmtId="4" fontId="14" fillId="10" borderId="39" xfId="2" applyNumberFormat="1" applyFont="1" applyFill="1" applyBorder="1"/>
    <xf numFmtId="4" fontId="14" fillId="10" borderId="0" xfId="2" applyNumberFormat="1" applyFont="1" applyFill="1" applyBorder="1"/>
    <xf numFmtId="0" fontId="15" fillId="10" borderId="4" xfId="0" applyFont="1" applyFill="1" applyBorder="1" applyAlignment="1">
      <alignment vertical="center" wrapText="1"/>
    </xf>
    <xf numFmtId="4" fontId="16" fillId="10" borderId="4" xfId="1" applyNumberFormat="1" applyFont="1" applyFill="1" applyBorder="1" applyAlignment="1">
      <alignment vertical="center" wrapText="1"/>
    </xf>
    <xf numFmtId="173" fontId="16" fillId="10" borderId="7" xfId="0" applyNumberFormat="1" applyFont="1" applyFill="1" applyBorder="1"/>
    <xf numFmtId="0" fontId="16" fillId="0" borderId="172" xfId="0" applyFont="1" applyBorder="1"/>
    <xf numFmtId="0" fontId="15" fillId="16" borderId="50" xfId="0" applyFont="1" applyFill="1" applyBorder="1" applyAlignment="1">
      <alignment vertical="center" wrapText="1"/>
    </xf>
    <xf numFmtId="0" fontId="15" fillId="16" borderId="50" xfId="0" applyFont="1" applyFill="1" applyBorder="1" applyAlignment="1">
      <alignment horizontal="center" vertical="center" wrapText="1"/>
    </xf>
    <xf numFmtId="0" fontId="15" fillId="16" borderId="51" xfId="0" applyFont="1" applyFill="1" applyBorder="1" applyAlignment="1">
      <alignment horizontal="center" vertical="center" wrapText="1"/>
    </xf>
    <xf numFmtId="0" fontId="15" fillId="0" borderId="164" xfId="0" applyFont="1" applyBorder="1" applyAlignment="1">
      <alignment horizontal="center"/>
    </xf>
    <xf numFmtId="183" fontId="15" fillId="0" borderId="164" xfId="0" applyNumberFormat="1" applyFont="1" applyBorder="1"/>
    <xf numFmtId="0" fontId="16" fillId="0" borderId="1" xfId="0" applyFont="1" applyBorder="1"/>
    <xf numFmtId="183" fontId="16" fillId="0" borderId="1" xfId="0" applyNumberFormat="1" applyFont="1" applyBorder="1" applyAlignment="1">
      <alignment horizontal="left"/>
    </xf>
    <xf numFmtId="183" fontId="16" fillId="0" borderId="1" xfId="0" applyNumberFormat="1" applyFont="1" applyBorder="1"/>
    <xf numFmtId="165" fontId="16" fillId="0" borderId="1" xfId="0" applyNumberFormat="1" applyFont="1" applyBorder="1"/>
    <xf numFmtId="185" fontId="14" fillId="10" borderId="1" xfId="5" applyNumberFormat="1" applyFont="1" applyFill="1" applyBorder="1" applyAlignment="1">
      <alignment horizontal="justify" vertical="center"/>
    </xf>
    <xf numFmtId="0" fontId="16" fillId="23" borderId="82" xfId="0" applyFont="1" applyFill="1" applyBorder="1"/>
    <xf numFmtId="0" fontId="16" fillId="23" borderId="38" xfId="0" applyFont="1" applyFill="1" applyBorder="1"/>
    <xf numFmtId="0" fontId="16" fillId="23" borderId="88" xfId="0" applyFont="1" applyFill="1" applyBorder="1"/>
    <xf numFmtId="0" fontId="16" fillId="23" borderId="0" xfId="0" applyFont="1" applyFill="1"/>
    <xf numFmtId="0" fontId="16" fillId="23" borderId="92" xfId="0" applyFont="1" applyFill="1" applyBorder="1"/>
    <xf numFmtId="0" fontId="16" fillId="23" borderId="40" xfId="0" applyFont="1" applyFill="1" applyBorder="1"/>
    <xf numFmtId="184" fontId="16" fillId="23" borderId="78" xfId="0" applyNumberFormat="1" applyFont="1" applyFill="1" applyBorder="1"/>
    <xf numFmtId="10" fontId="16" fillId="23" borderId="91" xfId="7" applyNumberFormat="1" applyFont="1" applyFill="1" applyBorder="1"/>
    <xf numFmtId="10" fontId="16" fillId="23" borderId="75" xfId="0" applyNumberFormat="1" applyFont="1" applyFill="1" applyBorder="1"/>
    <xf numFmtId="0" fontId="14" fillId="0" borderId="150" xfId="0" applyFont="1" applyBorder="1"/>
    <xf numFmtId="0" fontId="19" fillId="0" borderId="164" xfId="0" applyFont="1" applyBorder="1" applyAlignment="1">
      <alignment horizontal="center"/>
    </xf>
    <xf numFmtId="180" fontId="19" fillId="0" borderId="164" xfId="2" applyNumberFormat="1" applyFont="1" applyBorder="1"/>
    <xf numFmtId="173" fontId="19" fillId="0" borderId="164" xfId="2" applyNumberFormat="1" applyFont="1" applyBorder="1"/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24" xfId="0" applyBorder="1"/>
    <xf numFmtId="0" fontId="4" fillId="0" borderId="25" xfId="0" applyFont="1" applyBorder="1" applyAlignment="1">
      <alignment vertical="center" wrapText="1"/>
    </xf>
    <xf numFmtId="0" fontId="0" fillId="0" borderId="27" xfId="0" applyBorder="1"/>
    <xf numFmtId="0" fontId="0" fillId="0" borderId="29" xfId="0" applyBorder="1"/>
    <xf numFmtId="0" fontId="3" fillId="0" borderId="30" xfId="0" applyFont="1" applyBorder="1" applyAlignment="1">
      <alignment vertical="center" wrapText="1"/>
    </xf>
    <xf numFmtId="185" fontId="0" fillId="0" borderId="28" xfId="6" applyNumberFormat="1" applyFont="1" applyBorder="1"/>
    <xf numFmtId="185" fontId="0" fillId="0" borderId="31" xfId="6" applyNumberFormat="1" applyFont="1" applyBorder="1"/>
    <xf numFmtId="185" fontId="4" fillId="0" borderId="26" xfId="6" applyNumberFormat="1" applyFont="1" applyBorder="1"/>
    <xf numFmtId="185" fontId="4" fillId="0" borderId="28" xfId="6" applyNumberFormat="1" applyFont="1" applyBorder="1"/>
    <xf numFmtId="0" fontId="3" fillId="0" borderId="0" xfId="0" applyFont="1"/>
    <xf numFmtId="0" fontId="3" fillId="24" borderId="0" xfId="0" applyFont="1" applyFill="1"/>
    <xf numFmtId="185" fontId="0" fillId="0" borderId="0" xfId="6" applyNumberFormat="1" applyFont="1"/>
    <xf numFmtId="185" fontId="0" fillId="24" borderId="0" xfId="6" applyNumberFormat="1" applyFont="1" applyFill="1"/>
    <xf numFmtId="0" fontId="19" fillId="0" borderId="39" xfId="0" applyFont="1" applyBorder="1" applyAlignment="1">
      <alignment vertical="center" wrapText="1"/>
    </xf>
    <xf numFmtId="0" fontId="14" fillId="0" borderId="39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39" xfId="0" applyFont="1" applyBorder="1" applyAlignment="1">
      <alignment wrapText="1"/>
    </xf>
    <xf numFmtId="0" fontId="14" fillId="0" borderId="39" xfId="0" applyFont="1" applyBorder="1" applyAlignment="1">
      <alignment wrapText="1"/>
    </xf>
    <xf numFmtId="178" fontId="14" fillId="0" borderId="88" xfId="2" applyNumberFormat="1" applyFont="1" applyFill="1" applyBorder="1"/>
    <xf numFmtId="0" fontId="14" fillId="0" borderId="91" xfId="0" applyFont="1" applyBorder="1" applyAlignment="1">
      <alignment horizontal="center"/>
    </xf>
    <xf numFmtId="0" fontId="19" fillId="0" borderId="91" xfId="0" applyFont="1" applyBorder="1" applyAlignment="1">
      <alignment horizontal="center"/>
    </xf>
    <xf numFmtId="173" fontId="14" fillId="0" borderId="88" xfId="2" applyNumberFormat="1" applyFont="1" applyFill="1" applyBorder="1"/>
    <xf numFmtId="1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vertical="center" wrapText="1" shrinkToFit="1"/>
    </xf>
    <xf numFmtId="2" fontId="14" fillId="10" borderId="2" xfId="2" applyNumberFormat="1" applyFont="1" applyFill="1" applyBorder="1"/>
    <xf numFmtId="178" fontId="19" fillId="0" borderId="62" xfId="2" applyNumberFormat="1" applyFont="1" applyFill="1" applyBorder="1"/>
    <xf numFmtId="0" fontId="1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1" fontId="14" fillId="0" borderId="1" xfId="0" applyNumberFormat="1" applyFont="1" applyBorder="1" applyAlignment="1">
      <alignment horizontal="center" wrapText="1"/>
    </xf>
    <xf numFmtId="173" fontId="19" fillId="0" borderId="1" xfId="1" applyNumberFormat="1" applyFont="1" applyBorder="1"/>
    <xf numFmtId="173" fontId="19" fillId="0" borderId="2" xfId="1" applyNumberFormat="1" applyFont="1" applyFill="1" applyBorder="1"/>
    <xf numFmtId="4" fontId="9" fillId="0" borderId="0" xfId="0" applyNumberFormat="1" applyFont="1"/>
    <xf numFmtId="4" fontId="19" fillId="0" borderId="42" xfId="1" applyNumberFormat="1" applyFont="1" applyBorder="1" applyAlignment="1">
      <alignment horizontal="center"/>
    </xf>
    <xf numFmtId="0" fontId="14" fillId="0" borderId="42" xfId="0" applyFont="1" applyBorder="1" applyAlignment="1">
      <alignment horizontal="left"/>
    </xf>
    <xf numFmtId="166" fontId="15" fillId="0" borderId="3" xfId="0" applyNumberFormat="1" applyFont="1" applyBorder="1"/>
    <xf numFmtId="173" fontId="14" fillId="10" borderId="2" xfId="1" applyNumberFormat="1" applyFont="1" applyFill="1" applyBorder="1"/>
    <xf numFmtId="44" fontId="0" fillId="0" borderId="0" xfId="0" applyNumberFormat="1"/>
    <xf numFmtId="4" fontId="0" fillId="23" borderId="1" xfId="0" applyNumberFormat="1" applyFill="1" applyBorder="1" applyAlignment="1">
      <alignment vertical="center" wrapText="1"/>
    </xf>
    <xf numFmtId="44" fontId="0" fillId="23" borderId="1" xfId="0" applyNumberFormat="1" applyFill="1" applyBorder="1"/>
    <xf numFmtId="4" fontId="0" fillId="21" borderId="1" xfId="0" applyNumberFormat="1" applyFill="1" applyBorder="1" applyAlignment="1">
      <alignment vertical="center" wrapText="1"/>
    </xf>
    <xf numFmtId="44" fontId="0" fillId="21" borderId="1" xfId="0" applyNumberFormat="1" applyFill="1" applyBorder="1"/>
    <xf numFmtId="4" fontId="0" fillId="25" borderId="1" xfId="0" applyNumberFormat="1" applyFill="1" applyBorder="1" applyAlignment="1">
      <alignment vertical="center" wrapText="1"/>
    </xf>
    <xf numFmtId="44" fontId="0" fillId="25" borderId="1" xfId="0" applyNumberFormat="1" applyFill="1" applyBorder="1"/>
    <xf numFmtId="4" fontId="0" fillId="26" borderId="1" xfId="0" applyNumberFormat="1" applyFill="1" applyBorder="1" applyAlignment="1">
      <alignment vertical="center" wrapText="1"/>
    </xf>
    <xf numFmtId="44" fontId="0" fillId="26" borderId="1" xfId="0" applyNumberFormat="1" applyFill="1" applyBorder="1"/>
    <xf numFmtId="0" fontId="0" fillId="0" borderId="1" xfId="0" applyBorder="1"/>
    <xf numFmtId="0" fontId="4" fillId="27" borderId="1" xfId="0" applyFont="1" applyFill="1" applyBorder="1" applyAlignment="1">
      <alignment vertical="center" wrapText="1"/>
    </xf>
    <xf numFmtId="44" fontId="4" fillId="27" borderId="1" xfId="0" applyNumberFormat="1" applyFont="1" applyFill="1" applyBorder="1"/>
    <xf numFmtId="0" fontId="4" fillId="27" borderId="37" xfId="0" applyFont="1" applyFill="1" applyBorder="1" applyAlignment="1">
      <alignment horizontal="center" vertical="center" wrapText="1"/>
    </xf>
    <xf numFmtId="178" fontId="14" fillId="11" borderId="37" xfId="2" applyNumberFormat="1" applyFont="1" applyFill="1" applyBorder="1"/>
    <xf numFmtId="186" fontId="19" fillId="0" borderId="0" xfId="0" applyNumberFormat="1" applyFont="1"/>
    <xf numFmtId="173" fontId="14" fillId="11" borderId="1" xfId="1" applyNumberFormat="1" applyFont="1" applyFill="1" applyBorder="1"/>
    <xf numFmtId="173" fontId="14" fillId="11" borderId="53" xfId="1" applyNumberFormat="1" applyFont="1" applyFill="1" applyBorder="1"/>
    <xf numFmtId="0" fontId="14" fillId="10" borderId="16" xfId="0" applyFont="1" applyFill="1" applyBorder="1" applyAlignment="1">
      <alignment horizontal="center"/>
    </xf>
    <xf numFmtId="0" fontId="14" fillId="10" borderId="0" xfId="0" applyFont="1" applyFill="1"/>
    <xf numFmtId="166" fontId="14" fillId="10" borderId="0" xfId="2" applyFont="1" applyFill="1" applyBorder="1"/>
    <xf numFmtId="1" fontId="14" fillId="10" borderId="16" xfId="0" applyNumberFormat="1" applyFont="1" applyFill="1" applyBorder="1" applyAlignment="1">
      <alignment horizontal="center"/>
    </xf>
    <xf numFmtId="2" fontId="14" fillId="10" borderId="1" xfId="0" applyNumberFormat="1" applyFont="1" applyFill="1" applyBorder="1"/>
    <xf numFmtId="4" fontId="14" fillId="10" borderId="1" xfId="0" applyNumberFormat="1" applyFont="1" applyFill="1" applyBorder="1"/>
    <xf numFmtId="178" fontId="19" fillId="10" borderId="52" xfId="2" applyNumberFormat="1" applyFont="1" applyFill="1" applyBorder="1"/>
    <xf numFmtId="165" fontId="14" fillId="10" borderId="0" xfId="0" applyNumberFormat="1" applyFont="1" applyFill="1"/>
    <xf numFmtId="0" fontId="16" fillId="0" borderId="18" xfId="0" applyFont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5" fillId="0" borderId="15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/>
    </xf>
    <xf numFmtId="49" fontId="14" fillId="0" borderId="37" xfId="0" applyNumberFormat="1" applyFont="1" applyBorder="1" applyAlignment="1">
      <alignment horizontal="center"/>
    </xf>
    <xf numFmtId="185" fontId="19" fillId="0" borderId="37" xfId="5" applyNumberFormat="1" applyFont="1" applyBorder="1" applyAlignment="1">
      <alignment horizontal="justify" vertical="center"/>
    </xf>
    <xf numFmtId="0" fontId="14" fillId="0" borderId="150" xfId="0" applyFont="1" applyBorder="1" applyAlignment="1">
      <alignment horizontal="center"/>
    </xf>
    <xf numFmtId="0" fontId="19" fillId="0" borderId="164" xfId="0" applyFont="1" applyBorder="1"/>
    <xf numFmtId="0" fontId="14" fillId="0" borderId="164" xfId="0" applyFont="1" applyBorder="1"/>
    <xf numFmtId="49" fontId="14" fillId="0" borderId="164" xfId="0" applyNumberFormat="1" applyFont="1" applyBorder="1" applyAlignment="1">
      <alignment horizontal="center"/>
    </xf>
    <xf numFmtId="185" fontId="19" fillId="0" borderId="113" xfId="5" applyNumberFormat="1" applyFont="1" applyBorder="1" applyAlignment="1">
      <alignment horizontal="justify" vertical="center"/>
    </xf>
    <xf numFmtId="170" fontId="15" fillId="16" borderId="50" xfId="0" applyNumberFormat="1" applyFont="1" applyFill="1" applyBorder="1" applyAlignment="1">
      <alignment horizontal="center" vertical="center" wrapText="1"/>
    </xf>
    <xf numFmtId="185" fontId="14" fillId="0" borderId="1" xfId="5" applyNumberFormat="1" applyFont="1" applyFill="1" applyBorder="1" applyAlignment="1">
      <alignment horizontal="justify" vertical="center"/>
    </xf>
    <xf numFmtId="178" fontId="17" fillId="0" borderId="60" xfId="1" applyNumberFormat="1" applyFont="1" applyBorder="1"/>
    <xf numFmtId="178" fontId="17" fillId="0" borderId="117" xfId="1" applyNumberFormat="1" applyFont="1" applyBorder="1"/>
    <xf numFmtId="44" fontId="32" fillId="7" borderId="4" xfId="9" applyNumberFormat="1" applyFont="1" applyBorder="1" applyAlignment="1">
      <alignment horizontal="center" wrapText="1"/>
    </xf>
    <xf numFmtId="44" fontId="32" fillId="7" borderId="4" xfId="9" applyNumberFormat="1" applyFont="1" applyBorder="1"/>
    <xf numFmtId="44" fontId="32" fillId="7" borderId="7" xfId="9" applyNumberFormat="1" applyFont="1" applyBorder="1"/>
    <xf numFmtId="181" fontId="19" fillId="0" borderId="79" xfId="2" applyNumberFormat="1" applyFont="1" applyFill="1" applyBorder="1" applyAlignment="1">
      <alignment horizontal="center"/>
    </xf>
    <xf numFmtId="174" fontId="19" fillId="0" borderId="84" xfId="2" applyNumberFormat="1" applyFont="1" applyFill="1" applyBorder="1" applyAlignment="1">
      <alignment horizontal="center"/>
    </xf>
    <xf numFmtId="175" fontId="19" fillId="0" borderId="84" xfId="2" applyNumberFormat="1" applyFont="1" applyFill="1" applyBorder="1" applyAlignment="1">
      <alignment horizontal="center"/>
    </xf>
    <xf numFmtId="4" fontId="42" fillId="10" borderId="37" xfId="1" applyNumberFormat="1" applyFont="1" applyFill="1" applyBorder="1" applyAlignment="1">
      <alignment horizontal="center" wrapText="1"/>
    </xf>
    <xf numFmtId="4" fontId="14" fillId="10" borderId="72" xfId="1" applyNumberFormat="1" applyFont="1" applyFill="1" applyBorder="1" applyAlignment="1">
      <alignment horizontal="center" wrapText="1"/>
    </xf>
    <xf numFmtId="4" fontId="14" fillId="10" borderId="42" xfId="1" applyNumberFormat="1" applyFont="1" applyFill="1" applyBorder="1" applyAlignment="1">
      <alignment horizontal="center" wrapText="1"/>
    </xf>
    <xf numFmtId="4" fontId="14" fillId="10" borderId="96" xfId="1" applyNumberFormat="1" applyFont="1" applyFill="1" applyBorder="1" applyAlignment="1">
      <alignment horizontal="center" wrapText="1"/>
    </xf>
    <xf numFmtId="4" fontId="41" fillId="10" borderId="1" xfId="1" applyNumberFormat="1" applyFont="1" applyFill="1" applyBorder="1" applyAlignment="1">
      <alignment horizontal="center" wrapText="1"/>
    </xf>
    <xf numFmtId="183" fontId="16" fillId="11" borderId="1" xfId="0" applyNumberFormat="1" applyFont="1" applyFill="1" applyBorder="1" applyAlignment="1">
      <alignment horizontal="left"/>
    </xf>
    <xf numFmtId="183" fontId="16" fillId="11" borderId="1" xfId="0" applyNumberFormat="1" applyFont="1" applyFill="1" applyBorder="1"/>
    <xf numFmtId="178" fontId="14" fillId="28" borderId="1" xfId="2" applyNumberFormat="1" applyFont="1" applyFill="1" applyBorder="1"/>
    <xf numFmtId="4" fontId="14" fillId="28" borderId="1" xfId="2" applyNumberFormat="1" applyFont="1" applyFill="1" applyBorder="1"/>
    <xf numFmtId="2" fontId="14" fillId="28" borderId="1" xfId="2" applyNumberFormat="1" applyFont="1" applyFill="1" applyBorder="1"/>
    <xf numFmtId="2" fontId="14" fillId="0" borderId="133" xfId="2" applyNumberFormat="1" applyFont="1" applyFill="1" applyBorder="1"/>
    <xf numFmtId="173" fontId="16" fillId="0" borderId="7" xfId="0" applyNumberFormat="1" applyFont="1" applyBorder="1"/>
    <xf numFmtId="4" fontId="15" fillId="10" borderId="4" xfId="1" applyNumberFormat="1" applyFont="1" applyFill="1" applyBorder="1" applyAlignment="1">
      <alignment vertical="center" wrapText="1"/>
    </xf>
    <xf numFmtId="2" fontId="16" fillId="0" borderId="1" xfId="0" applyNumberFormat="1" applyFont="1" applyBorder="1"/>
    <xf numFmtId="2" fontId="19" fillId="15" borderId="1" xfId="0" applyNumberFormat="1" applyFont="1" applyFill="1" applyBorder="1"/>
    <xf numFmtId="4" fontId="16" fillId="0" borderId="10" xfId="1" applyNumberFormat="1" applyFont="1" applyBorder="1"/>
    <xf numFmtId="4" fontId="15" fillId="10" borderId="10" xfId="1" applyNumberFormat="1" applyFont="1" applyFill="1" applyBorder="1"/>
    <xf numFmtId="173" fontId="15" fillId="10" borderId="39" xfId="1" applyNumberFormat="1" applyFont="1" applyFill="1" applyBorder="1"/>
    <xf numFmtId="4" fontId="16" fillId="10" borderId="91" xfId="1" applyNumberFormat="1" applyFont="1" applyFill="1" applyBorder="1"/>
    <xf numFmtId="173" fontId="15" fillId="10" borderId="91" xfId="1" applyNumberFormat="1" applyFont="1" applyFill="1" applyBorder="1"/>
    <xf numFmtId="173" fontId="16" fillId="10" borderId="91" xfId="1" applyNumberFormat="1" applyFont="1" applyFill="1" applyBorder="1"/>
    <xf numFmtId="0" fontId="15" fillId="0" borderId="107" xfId="0" applyFont="1" applyBorder="1" applyAlignment="1">
      <alignment horizontal="left"/>
    </xf>
    <xf numFmtId="4" fontId="15" fillId="10" borderId="70" xfId="1" applyNumberFormat="1" applyFont="1" applyFill="1" applyBorder="1"/>
    <xf numFmtId="4" fontId="15" fillId="0" borderId="81" xfId="1" applyNumberFormat="1" applyFont="1" applyBorder="1"/>
    <xf numFmtId="4" fontId="15" fillId="0" borderId="9" xfId="1" applyNumberFormat="1" applyFont="1" applyBorder="1"/>
    <xf numFmtId="4" fontId="15" fillId="0" borderId="8" xfId="1" applyNumberFormat="1" applyFont="1" applyBorder="1"/>
    <xf numFmtId="4" fontId="15" fillId="0" borderId="163" xfId="1" applyNumberFormat="1" applyFont="1" applyBorder="1"/>
    <xf numFmtId="4" fontId="15" fillId="10" borderId="91" xfId="1" applyNumberFormat="1" applyFont="1" applyFill="1" applyBorder="1"/>
    <xf numFmtId="4" fontId="16" fillId="10" borderId="37" xfId="1" applyNumberFormat="1" applyFont="1" applyFill="1" applyBorder="1" applyAlignment="1">
      <alignment horizontal="center" wrapText="1"/>
    </xf>
    <xf numFmtId="165" fontId="15" fillId="14" borderId="1" xfId="0" applyNumberFormat="1" applyFont="1" applyFill="1" applyBorder="1"/>
    <xf numFmtId="43" fontId="16" fillId="0" borderId="1" xfId="6" applyNumberFormat="1" applyFont="1" applyBorder="1"/>
    <xf numFmtId="43" fontId="14" fillId="0" borderId="1" xfId="6" applyNumberFormat="1" applyFont="1" applyBorder="1"/>
    <xf numFmtId="43" fontId="19" fillId="15" borderId="1" xfId="6" applyNumberFormat="1" applyFont="1" applyFill="1" applyBorder="1"/>
    <xf numFmtId="43" fontId="19" fillId="0" borderId="1" xfId="6" applyNumberFormat="1" applyFont="1" applyBorder="1"/>
    <xf numFmtId="4" fontId="16" fillId="10" borderId="78" xfId="1" applyNumberFormat="1" applyFont="1" applyFill="1" applyBorder="1" applyAlignment="1">
      <alignment horizontal="center" wrapText="1"/>
    </xf>
    <xf numFmtId="4" fontId="43" fillId="10" borderId="30" xfId="1" applyNumberFormat="1" applyFont="1" applyFill="1" applyBorder="1" applyAlignment="1">
      <alignment horizontal="center" wrapText="1"/>
    </xf>
    <xf numFmtId="4" fontId="43" fillId="10" borderId="96" xfId="1" applyNumberFormat="1" applyFont="1" applyFill="1" applyBorder="1" applyAlignment="1">
      <alignment horizontal="center" wrapText="1"/>
    </xf>
    <xf numFmtId="4" fontId="43" fillId="10" borderId="95" xfId="1" applyNumberFormat="1" applyFont="1" applyFill="1" applyBorder="1" applyAlignment="1">
      <alignment horizontal="center" wrapText="1"/>
    </xf>
    <xf numFmtId="4" fontId="44" fillId="10" borderId="37" xfId="1" applyNumberFormat="1" applyFont="1" applyFill="1" applyBorder="1" applyAlignment="1">
      <alignment horizontal="center" wrapText="1"/>
    </xf>
    <xf numFmtId="4" fontId="43" fillId="10" borderId="42" xfId="1" applyNumberFormat="1" applyFont="1" applyFill="1" applyBorder="1" applyAlignment="1">
      <alignment horizontal="center" wrapText="1"/>
    </xf>
    <xf numFmtId="4" fontId="45" fillId="10" borderId="42" xfId="1" applyNumberFormat="1" applyFont="1" applyFill="1" applyBorder="1" applyAlignment="1">
      <alignment horizontal="center" wrapText="1"/>
    </xf>
    <xf numFmtId="4" fontId="45" fillId="10" borderId="131" xfId="1" applyNumberFormat="1" applyFont="1" applyFill="1" applyBorder="1" applyAlignment="1">
      <alignment horizontal="center" wrapText="1"/>
    </xf>
    <xf numFmtId="4" fontId="46" fillId="10" borderId="37" xfId="1" applyNumberFormat="1" applyFont="1" applyFill="1" applyBorder="1" applyAlignment="1">
      <alignment horizontal="center" wrapText="1"/>
    </xf>
    <xf numFmtId="178" fontId="19" fillId="10" borderId="2" xfId="2" applyNumberFormat="1" applyFont="1" applyFill="1" applyBorder="1"/>
    <xf numFmtId="182" fontId="16" fillId="11" borderId="0" xfId="0" applyNumberFormat="1" applyFont="1" applyFill="1"/>
    <xf numFmtId="0" fontId="16" fillId="11" borderId="0" xfId="0" applyFont="1" applyFill="1"/>
    <xf numFmtId="184" fontId="15" fillId="11" borderId="0" xfId="0" applyNumberFormat="1" applyFont="1" applyFill="1"/>
    <xf numFmtId="0" fontId="15" fillId="11" borderId="0" xfId="0" applyFont="1" applyFill="1"/>
    <xf numFmtId="4" fontId="14" fillId="0" borderId="164" xfId="2" applyNumberFormat="1" applyFont="1" applyBorder="1"/>
    <xf numFmtId="4" fontId="19" fillId="0" borderId="25" xfId="2" applyNumberFormat="1" applyFont="1" applyFill="1" applyBorder="1"/>
    <xf numFmtId="4" fontId="19" fillId="0" borderId="1" xfId="2" applyNumberFormat="1" applyFont="1" applyFill="1" applyBorder="1"/>
    <xf numFmtId="4" fontId="14" fillId="0" borderId="1" xfId="2" applyNumberFormat="1" applyFont="1" applyFill="1" applyBorder="1"/>
    <xf numFmtId="4" fontId="14" fillId="0" borderId="1" xfId="2" applyNumberFormat="1" applyFont="1" applyFill="1" applyBorder="1" applyAlignment="1">
      <alignment horizontal="center"/>
    </xf>
    <xf numFmtId="4" fontId="14" fillId="0" borderId="1" xfId="2" applyNumberFormat="1" applyFont="1" applyBorder="1"/>
    <xf numFmtId="4" fontId="19" fillId="0" borderId="1" xfId="2" applyNumberFormat="1" applyFont="1" applyBorder="1"/>
    <xf numFmtId="4" fontId="14" fillId="0" borderId="37" xfId="2" applyNumberFormat="1" applyFont="1" applyBorder="1"/>
    <xf numFmtId="4" fontId="19" fillId="0" borderId="164" xfId="2" applyNumberFormat="1" applyFont="1" applyBorder="1"/>
    <xf numFmtId="4" fontId="3" fillId="21" borderId="1" xfId="0" applyNumberFormat="1" applyFont="1" applyFill="1" applyBorder="1" applyAlignment="1">
      <alignment vertical="center" wrapText="1"/>
    </xf>
    <xf numFmtId="166" fontId="19" fillId="9" borderId="0" xfId="0" applyNumberFormat="1" applyFont="1" applyFill="1"/>
    <xf numFmtId="2" fontId="19" fillId="0" borderId="39" xfId="0" applyNumberFormat="1" applyFont="1" applyBorder="1"/>
    <xf numFmtId="0" fontId="15" fillId="16" borderId="173" xfId="0" applyFont="1" applyFill="1" applyBorder="1" applyAlignment="1">
      <alignment horizontal="center" vertical="center" wrapText="1"/>
    </xf>
    <xf numFmtId="173" fontId="19" fillId="0" borderId="1" xfId="1" applyNumberFormat="1" applyFont="1" applyFill="1" applyBorder="1"/>
    <xf numFmtId="178" fontId="19" fillId="0" borderId="1" xfId="1" applyNumberFormat="1" applyFont="1" applyFill="1" applyBorder="1"/>
    <xf numFmtId="178" fontId="19" fillId="0" borderId="91" xfId="1" applyNumberFormat="1" applyFont="1" applyFill="1" applyBorder="1"/>
    <xf numFmtId="44" fontId="14" fillId="0" borderId="0" xfId="0" applyNumberFormat="1" applyFont="1"/>
    <xf numFmtId="44" fontId="14" fillId="15" borderId="0" xfId="0" applyNumberFormat="1" applyFont="1" applyFill="1"/>
    <xf numFmtId="176" fontId="15" fillId="23" borderId="1" xfId="5" applyNumberFormat="1" applyFont="1" applyFill="1" applyBorder="1"/>
    <xf numFmtId="183" fontId="15" fillId="23" borderId="164" xfId="0" applyNumberFormat="1" applyFont="1" applyFill="1" applyBorder="1"/>
    <xf numFmtId="165" fontId="15" fillId="23" borderId="115" xfId="0" applyNumberFormat="1" applyFont="1" applyFill="1" applyBorder="1"/>
    <xf numFmtId="166" fontId="15" fillId="26" borderId="1" xfId="0" applyNumberFormat="1" applyFont="1" applyFill="1" applyBorder="1"/>
    <xf numFmtId="165" fontId="15" fillId="26" borderId="164" xfId="0" applyNumberFormat="1" applyFont="1" applyFill="1" applyBorder="1"/>
    <xf numFmtId="183" fontId="16" fillId="26" borderId="1" xfId="0" applyNumberFormat="1" applyFont="1" applyFill="1" applyBorder="1"/>
    <xf numFmtId="165" fontId="15" fillId="26" borderId="115" xfId="0" applyNumberFormat="1" applyFont="1" applyFill="1" applyBorder="1"/>
    <xf numFmtId="165" fontId="15" fillId="10" borderId="170" xfId="0" applyNumberFormat="1" applyFont="1" applyFill="1" applyBorder="1"/>
    <xf numFmtId="176" fontId="15" fillId="10" borderId="23" xfId="0" applyNumberFormat="1" applyFont="1" applyFill="1" applyBorder="1"/>
    <xf numFmtId="170" fontId="15" fillId="10" borderId="29" xfId="0" applyNumberFormat="1" applyFont="1" applyFill="1" applyBorder="1" applyAlignment="1">
      <alignment horizontal="center"/>
    </xf>
    <xf numFmtId="166" fontId="15" fillId="29" borderId="1" xfId="0" applyNumberFormat="1" applyFont="1" applyFill="1" applyBorder="1"/>
    <xf numFmtId="165" fontId="15" fillId="29" borderId="164" xfId="0" applyNumberFormat="1" applyFont="1" applyFill="1" applyBorder="1"/>
    <xf numFmtId="183" fontId="15" fillId="29" borderId="164" xfId="0" applyNumberFormat="1" applyFont="1" applyFill="1" applyBorder="1"/>
    <xf numFmtId="183" fontId="16" fillId="29" borderId="1" xfId="0" applyNumberFormat="1" applyFont="1" applyFill="1" applyBorder="1"/>
    <xf numFmtId="170" fontId="24" fillId="29" borderId="169" xfId="0" applyNumberFormat="1" applyFont="1" applyFill="1" applyBorder="1"/>
    <xf numFmtId="4" fontId="16" fillId="9" borderId="4" xfId="1" applyNumberFormat="1" applyFont="1" applyFill="1" applyBorder="1" applyAlignment="1">
      <alignment vertical="center" wrapText="1"/>
    </xf>
    <xf numFmtId="4" fontId="16" fillId="9" borderId="4" xfId="1" applyNumberFormat="1" applyFont="1" applyFill="1" applyBorder="1"/>
    <xf numFmtId="44" fontId="4" fillId="10" borderId="39" xfId="0" applyNumberFormat="1" applyFont="1" applyFill="1" applyBorder="1"/>
    <xf numFmtId="0" fontId="15" fillId="0" borderId="0" xfId="0" applyFont="1" applyAlignment="1">
      <alignment horizontal="center"/>
    </xf>
    <xf numFmtId="0" fontId="15" fillId="4" borderId="141" xfId="0" applyFont="1" applyFill="1" applyBorder="1" applyAlignment="1">
      <alignment horizontal="left" vertical="top" wrapText="1"/>
    </xf>
    <xf numFmtId="0" fontId="15" fillId="4" borderId="142" xfId="0" applyFont="1" applyFill="1" applyBorder="1" applyAlignment="1">
      <alignment horizontal="left" vertical="top" wrapText="1"/>
    </xf>
    <xf numFmtId="0" fontId="15" fillId="4" borderId="143" xfId="0" applyFont="1" applyFill="1" applyBorder="1" applyAlignment="1">
      <alignment horizontal="left" vertical="top" wrapText="1"/>
    </xf>
    <xf numFmtId="0" fontId="15" fillId="4" borderId="144" xfId="0" applyFont="1" applyFill="1" applyBorder="1" applyAlignment="1">
      <alignment horizontal="left" vertical="top" wrapText="1"/>
    </xf>
    <xf numFmtId="0" fontId="15" fillId="4" borderId="0" xfId="0" applyFont="1" applyFill="1" applyAlignment="1">
      <alignment horizontal="left" vertical="top" wrapText="1"/>
    </xf>
    <xf numFmtId="0" fontId="15" fillId="4" borderId="145" xfId="0" applyFont="1" applyFill="1" applyBorder="1" applyAlignment="1">
      <alignment horizontal="left" vertical="top" wrapText="1"/>
    </xf>
    <xf numFmtId="0" fontId="15" fillId="4" borderId="146" xfId="0" applyFont="1" applyFill="1" applyBorder="1" applyAlignment="1">
      <alignment horizontal="left" vertical="top" wrapText="1"/>
    </xf>
    <xf numFmtId="0" fontId="15" fillId="4" borderId="147" xfId="0" applyFont="1" applyFill="1" applyBorder="1" applyAlignment="1">
      <alignment horizontal="left" vertical="top" wrapText="1"/>
    </xf>
    <xf numFmtId="0" fontId="15" fillId="4" borderId="148" xfId="0" applyFont="1" applyFill="1" applyBorder="1" applyAlignment="1">
      <alignment horizontal="left" vertical="top" wrapText="1"/>
    </xf>
    <xf numFmtId="0" fontId="20" fillId="0" borderId="0" xfId="0" applyFont="1" applyAlignment="1">
      <alignment horizontal="center"/>
    </xf>
    <xf numFmtId="0" fontId="16" fillId="0" borderId="13" xfId="0" applyFont="1" applyBorder="1" applyAlignment="1">
      <alignment horizontal="left"/>
    </xf>
    <xf numFmtId="0" fontId="16" fillId="0" borderId="35" xfId="0" applyFont="1" applyBorder="1" applyAlignment="1">
      <alignment horizontal="left"/>
    </xf>
    <xf numFmtId="0" fontId="15" fillId="0" borderId="13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7" fillId="0" borderId="56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16" fillId="0" borderId="157" xfId="0" applyFont="1" applyBorder="1" applyAlignment="1">
      <alignment horizontal="left"/>
    </xf>
    <xf numFmtId="0" fontId="15" fillId="10" borderId="166" xfId="0" applyFont="1" applyFill="1" applyBorder="1" applyAlignment="1">
      <alignment horizontal="left"/>
    </xf>
    <xf numFmtId="0" fontId="15" fillId="10" borderId="168" xfId="0" applyFont="1" applyFill="1" applyBorder="1" applyAlignment="1">
      <alignment horizontal="left"/>
    </xf>
    <xf numFmtId="0" fontId="15" fillId="16" borderId="89" xfId="0" applyFont="1" applyFill="1" applyBorder="1" applyAlignment="1">
      <alignment horizontal="center"/>
    </xf>
    <xf numFmtId="0" fontId="15" fillId="16" borderId="6" xfId="0" applyFont="1" applyFill="1" applyBorder="1" applyAlignment="1">
      <alignment horizontal="center"/>
    </xf>
    <xf numFmtId="0" fontId="15" fillId="16" borderId="12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16" fillId="0" borderId="165" xfId="0" applyFont="1" applyBorder="1" applyAlignment="1">
      <alignment horizontal="left"/>
    </xf>
    <xf numFmtId="0" fontId="16" fillId="0" borderId="167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57" xfId="0" applyFont="1" applyBorder="1" applyAlignment="1">
      <alignment horizontal="left"/>
    </xf>
    <xf numFmtId="0" fontId="29" fillId="0" borderId="0" xfId="0" applyFont="1" applyAlignment="1">
      <alignment horizontal="center"/>
    </xf>
    <xf numFmtId="0" fontId="19" fillId="0" borderId="9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49" xfId="0" applyFont="1" applyBorder="1" applyAlignment="1">
      <alignment horizontal="center" vertical="center" wrapText="1"/>
    </xf>
    <xf numFmtId="0" fontId="19" fillId="0" borderId="104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13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38" xfId="0" applyFont="1" applyBorder="1" applyAlignment="1">
      <alignment horizontal="center"/>
    </xf>
    <xf numFmtId="0" fontId="19" fillId="0" borderId="152" xfId="0" applyFont="1" applyBorder="1" applyAlignment="1">
      <alignment horizontal="center" vertical="center"/>
    </xf>
    <xf numFmtId="0" fontId="19" fillId="0" borderId="153" xfId="0" applyFont="1" applyBorder="1" applyAlignment="1">
      <alignment horizontal="center" vertical="center"/>
    </xf>
    <xf numFmtId="0" fontId="19" fillId="0" borderId="154" xfId="0" applyFont="1" applyBorder="1" applyAlignment="1">
      <alignment horizontal="center" vertical="center"/>
    </xf>
    <xf numFmtId="9" fontId="19" fillId="0" borderId="14" xfId="0" applyNumberFormat="1" applyFont="1" applyBorder="1" applyAlignment="1">
      <alignment horizontal="center"/>
    </xf>
    <xf numFmtId="9" fontId="19" fillId="0" borderId="6" xfId="0" applyNumberFormat="1" applyFont="1" applyBorder="1" applyAlignment="1">
      <alignment horizontal="center"/>
    </xf>
    <xf numFmtId="0" fontId="19" fillId="0" borderId="49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150" xfId="0" applyFont="1" applyBorder="1" applyAlignment="1">
      <alignment horizontal="center" vertical="center"/>
    </xf>
    <xf numFmtId="0" fontId="19" fillId="0" borderId="94" xfId="0" applyFont="1" applyBorder="1" applyAlignment="1">
      <alignment horizontal="center" vertical="center" wrapText="1"/>
    </xf>
    <xf numFmtId="0" fontId="14" fillId="0" borderId="90" xfId="0" applyFont="1" applyBorder="1" applyAlignment="1">
      <alignment horizontal="center" vertical="center" wrapText="1"/>
    </xf>
    <xf numFmtId="0" fontId="14" fillId="0" borderId="151" xfId="0" applyFont="1" applyBorder="1" applyAlignment="1">
      <alignment horizontal="center" vertical="center" wrapText="1"/>
    </xf>
    <xf numFmtId="0" fontId="19" fillId="0" borderId="9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4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73" fontId="19" fillId="0" borderId="59" xfId="5" applyNumberFormat="1" applyFont="1" applyBorder="1" applyAlignment="1">
      <alignment horizontal="center"/>
    </xf>
    <xf numFmtId="178" fontId="14" fillId="0" borderId="97" xfId="0" applyNumberFormat="1" applyFont="1" applyBorder="1" applyAlignment="1">
      <alignment horizontal="center" vertical="center" wrapText="1"/>
    </xf>
    <xf numFmtId="178" fontId="14" fillId="0" borderId="1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9" fillId="0" borderId="156" xfId="0" applyFont="1" applyBorder="1" applyAlignment="1">
      <alignment horizontal="center" vertical="center" wrapText="1"/>
    </xf>
    <xf numFmtId="0" fontId="19" fillId="0" borderId="85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179" fontId="14" fillId="0" borderId="156" xfId="0" applyNumberFormat="1" applyFont="1" applyBorder="1" applyAlignment="1">
      <alignment horizontal="center" vertical="center" wrapText="1"/>
    </xf>
    <xf numFmtId="179" fontId="14" fillId="0" borderId="85" xfId="0" applyNumberFormat="1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/>
    </xf>
    <xf numFmtId="49" fontId="14" fillId="0" borderId="14" xfId="1" applyNumberFormat="1" applyFont="1" applyFill="1" applyBorder="1" applyAlignment="1">
      <alignment horizontal="center"/>
    </xf>
    <xf numFmtId="49" fontId="14" fillId="0" borderId="15" xfId="1" applyNumberFormat="1" applyFont="1" applyFill="1" applyBorder="1" applyAlignment="1">
      <alignment horizontal="center"/>
    </xf>
    <xf numFmtId="49" fontId="14" fillId="0" borderId="58" xfId="1" applyNumberFormat="1" applyFont="1" applyFill="1" applyBorder="1" applyAlignment="1">
      <alignment horizontal="center"/>
    </xf>
    <xf numFmtId="49" fontId="14" fillId="0" borderId="155" xfId="1" applyNumberFormat="1" applyFont="1" applyFill="1" applyBorder="1" applyAlignment="1">
      <alignment horizontal="center"/>
    </xf>
    <xf numFmtId="0" fontId="19" fillId="0" borderId="51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 wrapText="1"/>
    </xf>
    <xf numFmtId="175" fontId="19" fillId="0" borderId="156" xfId="0" applyNumberFormat="1" applyFont="1" applyBorder="1" applyAlignment="1">
      <alignment horizontal="center" vertical="center" wrapText="1"/>
    </xf>
    <xf numFmtId="175" fontId="19" fillId="0" borderId="85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4" fontId="17" fillId="22" borderId="8" xfId="1" applyNumberFormat="1" applyFont="1" applyFill="1" applyBorder="1" applyAlignment="1">
      <alignment horizontal="center"/>
    </xf>
    <xf numFmtId="4" fontId="17" fillId="22" borderId="81" xfId="1" applyNumberFormat="1" applyFont="1" applyFill="1" applyBorder="1" applyAlignment="1">
      <alignment horizontal="center"/>
    </xf>
    <xf numFmtId="4" fontId="17" fillId="22" borderId="12" xfId="1" applyNumberFormat="1" applyFont="1" applyFill="1" applyBorder="1" applyAlignment="1">
      <alignment horizontal="center"/>
    </xf>
    <xf numFmtId="4" fontId="18" fillId="0" borderId="9" xfId="1" applyNumberFormat="1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4" fontId="18" fillId="0" borderId="9" xfId="1" applyNumberFormat="1" applyFont="1" applyFill="1" applyBorder="1" applyAlignment="1">
      <alignment horizontal="center" vertical="center" wrapText="1"/>
    </xf>
    <xf numFmtId="4" fontId="18" fillId="0" borderId="11" xfId="1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5" fillId="22" borderId="13" xfId="0" applyFont="1" applyFill="1" applyBorder="1" applyAlignment="1">
      <alignment horizontal="center"/>
    </xf>
    <xf numFmtId="0" fontId="25" fillId="22" borderId="157" xfId="0" applyFont="1" applyFill="1" applyBorder="1" applyAlignment="1">
      <alignment horizontal="center"/>
    </xf>
    <xf numFmtId="0" fontId="25" fillId="22" borderId="35" xfId="0" applyFont="1" applyFill="1" applyBorder="1" applyAlignment="1">
      <alignment horizontal="center"/>
    </xf>
    <xf numFmtId="49" fontId="18" fillId="0" borderId="14" xfId="1" applyNumberFormat="1" applyFont="1" applyFill="1" applyBorder="1" applyAlignment="1">
      <alignment horizontal="center"/>
    </xf>
    <xf numFmtId="49" fontId="18" fillId="0" borderId="79" xfId="1" applyNumberFormat="1" applyFont="1" applyFill="1" applyBorder="1" applyAlignment="1">
      <alignment horizontal="center"/>
    </xf>
    <xf numFmtId="49" fontId="18" fillId="0" borderId="106" xfId="1" applyNumberFormat="1" applyFont="1" applyFill="1" applyBorder="1" applyAlignment="1">
      <alignment horizontal="center"/>
    </xf>
    <xf numFmtId="49" fontId="18" fillId="0" borderId="83" xfId="1" applyNumberFormat="1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0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4" fillId="27" borderId="1" xfId="0" applyFont="1" applyFill="1" applyBorder="1" applyAlignment="1">
      <alignment horizontal="center" vertical="center" wrapText="1"/>
    </xf>
    <xf numFmtId="0" fontId="4" fillId="27" borderId="1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90" wrapText="1"/>
    </xf>
    <xf numFmtId="0" fontId="4" fillId="0" borderId="39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15" fillId="0" borderId="160" xfId="0" applyFont="1" applyBorder="1" applyAlignment="1">
      <alignment horizontal="center"/>
    </xf>
    <xf numFmtId="0" fontId="15" fillId="0" borderId="159" xfId="0" applyFont="1" applyBorder="1" applyAlignment="1">
      <alignment horizontal="center"/>
    </xf>
    <xf numFmtId="0" fontId="19" fillId="0" borderId="51" xfId="0" applyFont="1" applyBorder="1" applyAlignment="1">
      <alignment horizontal="center" vertical="center"/>
    </xf>
    <xf numFmtId="0" fontId="16" fillId="0" borderId="62" xfId="0" applyFont="1" applyBorder="1"/>
    <xf numFmtId="0" fontId="17" fillId="0" borderId="0" xfId="0" applyFont="1" applyAlignment="1">
      <alignment horizontal="center"/>
    </xf>
    <xf numFmtId="0" fontId="19" fillId="0" borderId="158" xfId="0" applyFont="1" applyBorder="1" applyAlignment="1">
      <alignment horizontal="center"/>
    </xf>
    <xf numFmtId="0" fontId="19" fillId="0" borderId="159" xfId="0" applyFont="1" applyBorder="1" applyAlignment="1">
      <alignment horizontal="center"/>
    </xf>
    <xf numFmtId="0" fontId="19" fillId="0" borderId="127" xfId="0" applyFont="1" applyBorder="1" applyAlignment="1">
      <alignment horizontal="center"/>
    </xf>
    <xf numFmtId="0" fontId="19" fillId="0" borderId="96" xfId="0" applyFont="1" applyBorder="1" applyAlignment="1">
      <alignment horizontal="center"/>
    </xf>
    <xf numFmtId="0" fontId="15" fillId="0" borderId="161" xfId="0" applyFont="1" applyBorder="1" applyAlignment="1">
      <alignment horizontal="center"/>
    </xf>
    <xf numFmtId="0" fontId="15" fillId="0" borderId="134" xfId="0" applyFont="1" applyBorder="1" applyAlignment="1">
      <alignment horizontal="center" vertical="center" wrapText="1"/>
    </xf>
    <xf numFmtId="0" fontId="15" fillId="0" borderId="162" xfId="0" applyFont="1" applyBorder="1" applyAlignment="1">
      <alignment horizontal="center" vertical="center" wrapText="1"/>
    </xf>
    <xf numFmtId="0" fontId="15" fillId="0" borderId="104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130" xfId="0" applyFont="1" applyBorder="1" applyAlignment="1">
      <alignment horizontal="center" vertical="center" wrapText="1"/>
    </xf>
    <xf numFmtId="0" fontId="15" fillId="0" borderId="103" xfId="0" applyFont="1" applyBorder="1" applyAlignment="1">
      <alignment horizontal="center" vertical="center"/>
    </xf>
    <xf numFmtId="0" fontId="15" fillId="0" borderId="105" xfId="0" applyFont="1" applyBorder="1" applyAlignment="1">
      <alignment horizontal="center" vertical="center"/>
    </xf>
    <xf numFmtId="4" fontId="15" fillId="10" borderId="97" xfId="1" applyNumberFormat="1" applyFont="1" applyFill="1" applyBorder="1" applyAlignment="1">
      <alignment horizontal="center" vertical="center"/>
    </xf>
    <xf numFmtId="4" fontId="15" fillId="10" borderId="11" xfId="1" applyNumberFormat="1" applyFont="1" applyFill="1" applyBorder="1" applyAlignment="1">
      <alignment horizontal="center" vertical="center"/>
    </xf>
    <xf numFmtId="4" fontId="19" fillId="0" borderId="14" xfId="1" applyNumberFormat="1" applyFont="1" applyBorder="1" applyAlignment="1">
      <alignment horizontal="center"/>
    </xf>
    <xf numFmtId="4" fontId="19" fillId="0" borderId="6" xfId="1" applyNumberFormat="1" applyFont="1" applyBorder="1" applyAlignment="1">
      <alignment horizontal="center"/>
    </xf>
    <xf numFmtId="4" fontId="19" fillId="0" borderId="15" xfId="1" applyNumberFormat="1" applyFont="1" applyBorder="1" applyAlignment="1">
      <alignment horizontal="center"/>
    </xf>
    <xf numFmtId="4" fontId="14" fillId="0" borderId="9" xfId="1" applyNumberFormat="1" applyFont="1" applyBorder="1" applyAlignment="1">
      <alignment horizontal="center" wrapText="1"/>
    </xf>
    <xf numFmtId="4" fontId="14" fillId="0" borderId="4" xfId="1" applyNumberFormat="1" applyFont="1" applyBorder="1" applyAlignment="1">
      <alignment horizontal="center" wrapText="1"/>
    </xf>
    <xf numFmtId="4" fontId="14" fillId="0" borderId="11" xfId="1" applyNumberFormat="1" applyFont="1" applyBorder="1" applyAlignment="1">
      <alignment horizontal="center" wrapText="1"/>
    </xf>
    <xf numFmtId="4" fontId="14" fillId="0" borderId="32" xfId="1" applyNumberFormat="1" applyFont="1" applyBorder="1" applyAlignment="1">
      <alignment horizontal="center"/>
    </xf>
    <xf numFmtId="4" fontId="14" fillId="0" borderId="33" xfId="1" applyNumberFormat="1" applyFont="1" applyBorder="1" applyAlignment="1">
      <alignment horizontal="center"/>
    </xf>
    <xf numFmtId="4" fontId="14" fillId="0" borderId="34" xfId="1" applyNumberFormat="1" applyFont="1" applyBorder="1" applyAlignment="1">
      <alignment horizontal="center"/>
    </xf>
    <xf numFmtId="49" fontId="14" fillId="0" borderId="9" xfId="1" applyNumberFormat="1" applyFont="1" applyBorder="1" applyAlignment="1">
      <alignment horizontal="center" vertical="center" wrapText="1"/>
    </xf>
    <xf numFmtId="49" fontId="14" fillId="0" borderId="11" xfId="1" applyNumberFormat="1" applyFont="1" applyBorder="1" applyAlignment="1">
      <alignment horizontal="center" vertical="center" wrapText="1"/>
    </xf>
    <xf numFmtId="49" fontId="14" fillId="0" borderId="14" xfId="1" applyNumberFormat="1" applyFont="1" applyBorder="1" applyAlignment="1">
      <alignment horizontal="center" vertical="center" wrapText="1"/>
    </xf>
    <xf numFmtId="49" fontId="14" fillId="0" borderId="15" xfId="1" applyNumberFormat="1" applyFont="1" applyBorder="1" applyAlignment="1">
      <alignment horizontal="center" vertical="center" wrapText="1"/>
    </xf>
    <xf numFmtId="4" fontId="14" fillId="0" borderId="21" xfId="1" applyNumberFormat="1" applyFont="1" applyBorder="1" applyAlignment="1">
      <alignment horizontal="center"/>
    </xf>
    <xf numFmtId="4" fontId="14" fillId="0" borderId="22" xfId="1" applyNumberFormat="1" applyFont="1" applyBorder="1" applyAlignment="1">
      <alignment horizontal="center"/>
    </xf>
    <xf numFmtId="4" fontId="14" fillId="0" borderId="23" xfId="1" applyNumberFormat="1" applyFont="1" applyBorder="1" applyAlignment="1">
      <alignment horizontal="center"/>
    </xf>
    <xf numFmtId="4" fontId="14" fillId="0" borderId="9" xfId="1" applyNumberFormat="1" applyFont="1" applyBorder="1" applyAlignment="1">
      <alignment horizontal="center"/>
    </xf>
    <xf numFmtId="4" fontId="14" fillId="0" borderId="4" xfId="1" applyNumberFormat="1" applyFont="1" applyBorder="1" applyAlignment="1">
      <alignment horizontal="center"/>
    </xf>
    <xf numFmtId="4" fontId="14" fillId="0" borderId="11" xfId="1" applyNumberFormat="1" applyFont="1" applyBorder="1" applyAlignment="1">
      <alignment horizontal="center"/>
    </xf>
    <xf numFmtId="0" fontId="19" fillId="0" borderId="4" xfId="0" applyFont="1" applyBorder="1" applyAlignment="1">
      <alignment horizontal="center" vertical="center" textRotation="90" wrapText="1"/>
    </xf>
    <xf numFmtId="0" fontId="19" fillId="0" borderId="11" xfId="0" applyFont="1" applyBorder="1" applyAlignment="1">
      <alignment horizontal="center" vertical="center" textRotation="90" wrapText="1"/>
    </xf>
    <xf numFmtId="0" fontId="19" fillId="0" borderId="4" xfId="0" applyFont="1" applyBorder="1" applyAlignment="1">
      <alignment horizontal="center" vertical="center" wrapText="1"/>
    </xf>
    <xf numFmtId="4" fontId="14" fillId="0" borderId="81" xfId="1" applyNumberFormat="1" applyFont="1" applyBorder="1" applyAlignment="1">
      <alignment horizontal="center"/>
    </xf>
    <xf numFmtId="4" fontId="14" fillId="0" borderId="9" xfId="1" applyNumberFormat="1" applyFont="1" applyBorder="1" applyAlignment="1">
      <alignment horizontal="center" vertical="center" wrapText="1"/>
    </xf>
    <xf numFmtId="4" fontId="14" fillId="0" borderId="11" xfId="1" applyNumberFormat="1" applyFont="1" applyBorder="1" applyAlignment="1">
      <alignment horizontal="center" vertical="center" wrapText="1"/>
    </xf>
    <xf numFmtId="49" fontId="14" fillId="0" borderId="6" xfId="1" applyNumberFormat="1" applyFont="1" applyBorder="1" applyAlignment="1">
      <alignment horizontal="center" vertical="center" wrapText="1"/>
    </xf>
    <xf numFmtId="49" fontId="15" fillId="0" borderId="58" xfId="1" applyNumberFormat="1" applyFont="1" applyBorder="1" applyAlignment="1">
      <alignment horizontal="center"/>
    </xf>
    <xf numFmtId="49" fontId="15" fillId="0" borderId="84" xfId="1" applyNumberFormat="1" applyFont="1" applyBorder="1" applyAlignment="1">
      <alignment horizontal="center"/>
    </xf>
    <xf numFmtId="0" fontId="17" fillId="0" borderId="0" xfId="0" applyFont="1" applyAlignment="1">
      <alignment horizontal="left"/>
    </xf>
    <xf numFmtId="0" fontId="27" fillId="8" borderId="106" xfId="0" applyFont="1" applyFill="1" applyBorder="1" applyAlignment="1">
      <alignment horizontal="center"/>
    </xf>
    <xf numFmtId="0" fontId="27" fillId="8" borderId="3" xfId="0" applyFont="1" applyFill="1" applyBorder="1" applyAlignment="1">
      <alignment horizontal="center"/>
    </xf>
    <xf numFmtId="0" fontId="27" fillId="8" borderId="140" xfId="0" applyFont="1" applyFill="1" applyBorder="1" applyAlignment="1">
      <alignment horizontal="center"/>
    </xf>
    <xf numFmtId="0" fontId="18" fillId="6" borderId="106" xfId="8" applyFont="1" applyBorder="1" applyAlignment="1">
      <alignment horizontal="center"/>
    </xf>
    <xf numFmtId="0" fontId="18" fillId="6" borderId="3" xfId="8" applyFont="1" applyBorder="1" applyAlignment="1">
      <alignment horizontal="center"/>
    </xf>
    <xf numFmtId="0" fontId="18" fillId="6" borderId="140" xfId="8" applyFont="1" applyBorder="1" applyAlignment="1">
      <alignment horizontal="center"/>
    </xf>
    <xf numFmtId="0" fontId="21" fillId="6" borderId="8" xfId="8" applyFont="1" applyBorder="1" applyAlignment="1">
      <alignment horizontal="center"/>
    </xf>
    <xf numFmtId="0" fontId="21" fillId="6" borderId="81" xfId="8" applyFont="1" applyBorder="1" applyAlignment="1">
      <alignment horizontal="center"/>
    </xf>
    <xf numFmtId="0" fontId="21" fillId="6" borderId="12" xfId="8" applyFont="1" applyBorder="1" applyAlignment="1">
      <alignment horizontal="center"/>
    </xf>
    <xf numFmtId="49" fontId="21" fillId="6" borderId="10" xfId="8" applyNumberFormat="1" applyFont="1" applyBorder="1" applyAlignment="1">
      <alignment horizontal="center"/>
    </xf>
    <xf numFmtId="49" fontId="21" fillId="6" borderId="0" xfId="8" applyNumberFormat="1" applyFont="1" applyBorder="1" applyAlignment="1">
      <alignment horizontal="center"/>
    </xf>
    <xf numFmtId="49" fontId="21" fillId="6" borderId="7" xfId="8" applyNumberFormat="1" applyFont="1" applyBorder="1" applyAlignment="1">
      <alignment horizontal="center"/>
    </xf>
    <xf numFmtId="0" fontId="21" fillId="6" borderId="10" xfId="8" applyFont="1" applyBorder="1" applyAlignment="1">
      <alignment horizontal="center"/>
    </xf>
    <xf numFmtId="0" fontId="21" fillId="6" borderId="0" xfId="8" applyFont="1" applyBorder="1" applyAlignment="1">
      <alignment horizontal="center"/>
    </xf>
    <xf numFmtId="0" fontId="21" fillId="6" borderId="7" xfId="8" applyFont="1" applyBorder="1" applyAlignment="1">
      <alignment horizontal="center"/>
    </xf>
    <xf numFmtId="0" fontId="21" fillId="8" borderId="8" xfId="0" applyFont="1" applyFill="1" applyBorder="1" applyAlignment="1">
      <alignment horizontal="center"/>
    </xf>
    <xf numFmtId="0" fontId="21" fillId="8" borderId="81" xfId="0" applyFont="1" applyFill="1" applyBorder="1" applyAlignment="1">
      <alignment horizontal="center"/>
    </xf>
    <xf numFmtId="0" fontId="21" fillId="8" borderId="12" xfId="0" applyFont="1" applyFill="1" applyBorder="1" applyAlignment="1">
      <alignment horizontal="center"/>
    </xf>
    <xf numFmtId="49" fontId="21" fillId="8" borderId="10" xfId="0" applyNumberFormat="1" applyFont="1" applyFill="1" applyBorder="1" applyAlignment="1">
      <alignment horizontal="center"/>
    </xf>
    <xf numFmtId="49" fontId="21" fillId="8" borderId="0" xfId="0" applyNumberFormat="1" applyFont="1" applyFill="1" applyAlignment="1">
      <alignment horizontal="center"/>
    </xf>
    <xf numFmtId="49" fontId="21" fillId="8" borderId="7" xfId="0" applyNumberFormat="1" applyFont="1" applyFill="1" applyBorder="1" applyAlignment="1">
      <alignment horizontal="center"/>
    </xf>
    <xf numFmtId="0" fontId="21" fillId="8" borderId="10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  <xf numFmtId="0" fontId="21" fillId="8" borderId="7" xfId="0" applyFont="1" applyFill="1" applyBorder="1" applyAlignment="1">
      <alignment horizontal="center"/>
    </xf>
    <xf numFmtId="49" fontId="20" fillId="0" borderId="3" xfId="0" applyNumberFormat="1" applyFont="1" applyBorder="1" applyAlignment="1">
      <alignment horizontal="center"/>
    </xf>
    <xf numFmtId="49" fontId="20" fillId="0" borderId="0" xfId="0" applyNumberFormat="1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7" fillId="2" borderId="87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/>
    </xf>
    <xf numFmtId="0" fontId="11" fillId="2" borderId="8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2" fillId="2" borderId="106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140" xfId="0" applyFont="1" applyFill="1" applyBorder="1" applyAlignment="1">
      <alignment horizontal="center"/>
    </xf>
    <xf numFmtId="0" fontId="16" fillId="10" borderId="0" xfId="0" applyFont="1" applyFill="1" applyAlignment="1">
      <alignment horizontal="center"/>
    </xf>
  </cellXfs>
  <cellStyles count="11">
    <cellStyle name="40% - Énfasis3" xfId="9" builtinId="39"/>
    <cellStyle name="Énfasis1" xfId="8" builtinId="29"/>
    <cellStyle name="Euro" xfId="1" xr:uid="{00000000-0005-0000-0000-000002000000}"/>
    <cellStyle name="Millares" xfId="2" builtinId="3"/>
    <cellStyle name="Millares_bienes y servicios 2003 juayua" xfId="3" xr:uid="{00000000-0005-0000-0000-000004000000}"/>
    <cellStyle name="Millares_Presupuesto_Ingresos2003" xfId="4" xr:uid="{00000000-0005-0000-0000-000005000000}"/>
    <cellStyle name="Millares_Presupuesto2003_Juayua_Modelo" xfId="5" xr:uid="{00000000-0005-0000-0000-000006000000}"/>
    <cellStyle name="Moneda" xfId="6" builtinId="4"/>
    <cellStyle name="Moneda 2" xfId="10" xr:uid="{61BC9558-2C79-49E3-B700-2EAF98239E47}"/>
    <cellStyle name="Normal" xfId="0" builtinId="0"/>
    <cellStyle name="Porcentaje" xfId="7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Distribución de Egresos por adquisición de Bienes y Servicios por Unidad Administrativa - presupuesto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95000"/>
                <a:lumOff val="5000"/>
              </a:schemeClr>
            </a:solidFill>
            <a:ln w="50800">
              <a:solidFill>
                <a:srgbClr val="00B050"/>
              </a:solidFill>
            </a:ln>
            <a:effectLst/>
          </c:spPr>
          <c:invertIfNegative val="0"/>
          <c:dLbls>
            <c:dLbl>
              <c:idx val="36"/>
              <c:spPr>
                <a:solidFill>
                  <a:schemeClr val="bg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CB2-4EFE-8D5B-53C121CAD9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(UNIDAD_PPTO!$B$7:$B$44,UNIDAD_PPTO!$B$46)</c:f>
              <c:strCache>
                <c:ptCount val="39"/>
                <c:pt idx="0">
                  <c:v>Concejo Municipal</c:v>
                </c:pt>
                <c:pt idx="1">
                  <c:v>Despacho Municipal</c:v>
                </c:pt>
                <c:pt idx="2">
                  <c:v>Gerencia General</c:v>
                </c:pt>
                <c:pt idx="3">
                  <c:v>Auditoría Interna</c:v>
                </c:pt>
                <c:pt idx="4">
                  <c:v>Sindicatura</c:v>
                </c:pt>
                <c:pt idx="5">
                  <c:v>Unidad Contravencional</c:v>
                </c:pt>
                <c:pt idx="6">
                  <c:v>Secretaría</c:v>
                </c:pt>
                <c:pt idx="7">
                  <c:v>Comunicaciones</c:v>
                </c:pt>
                <c:pt idx="8">
                  <c:v>Archivo Municipal</c:v>
                </c:pt>
                <c:pt idx="9">
                  <c:v>Acceso a la Información publica</c:v>
                </c:pt>
                <c:pt idx="10">
                  <c:v>Informática</c:v>
                </c:pt>
                <c:pt idx="11">
                  <c:v>Gerencia Admin. Financiero</c:v>
                </c:pt>
                <c:pt idx="12">
                  <c:v>Gerencia de Planificación y Desarrollo Territorial</c:v>
                </c:pt>
                <c:pt idx="13">
                  <c:v>Gerencia de Desarrollo Económico Local</c:v>
                </c:pt>
                <c:pt idx="14">
                  <c:v>Unidad de Administración Tributaria Municipal</c:v>
                </c:pt>
                <c:pt idx="15">
                  <c:v>Tesorería</c:v>
                </c:pt>
                <c:pt idx="16">
                  <c:v>Contabilidad</c:v>
                </c:pt>
                <c:pt idx="17">
                  <c:v>UNIDAD DE COMPRAS PUBLICAS</c:v>
                </c:pt>
                <c:pt idx="18">
                  <c:v>Recursos Humano</c:v>
                </c:pt>
                <c:pt idx="19">
                  <c:v>Proyección Social</c:v>
                </c:pt>
                <c:pt idx="20">
                  <c:v>Unidad de Presupuesto</c:v>
                </c:pt>
                <c:pt idx="21">
                  <c:v>Supervisión de Proyectos</c:v>
                </c:pt>
                <c:pt idx="22">
                  <c:v>Diseño y Ejecución de Proyectos</c:v>
                </c:pt>
                <c:pt idx="23">
                  <c:v>Unidad de PINA</c:v>
                </c:pt>
                <c:pt idx="24">
                  <c:v>Medio Ambiente y Gestión de Riesgos</c:v>
                </c:pt>
                <c:pt idx="25">
                  <c:v>Unidad Agropecuaria</c:v>
                </c:pt>
                <c:pt idx="26">
                  <c:v>Unidad de la Mujer</c:v>
                </c:pt>
                <c:pt idx="27">
                  <c:v>Supervisor de Desarro y emprendimiento local</c:v>
                </c:pt>
                <c:pt idx="28">
                  <c:v>Unidad Deportiva</c:v>
                </c:pt>
                <c:pt idx="29">
                  <c:v>Servicios Generales</c:v>
                </c:pt>
                <c:pt idx="30">
                  <c:v>Bodega municipal</c:v>
                </c:pt>
                <c:pt idx="31">
                  <c:v>Regsitro del Estado Familiar</c:v>
                </c:pt>
                <c:pt idx="32">
                  <c:v>Mercado Municipal</c:v>
                </c:pt>
                <c:pt idx="33">
                  <c:v>Alumbrado Público</c:v>
                </c:pt>
                <c:pt idx="34">
                  <c:v>Aseo y Administracion de Servicios Diversos</c:v>
                </c:pt>
                <c:pt idx="35">
                  <c:v>Administración de Proyectos de Agua</c:v>
                </c:pt>
                <c:pt idx="36">
                  <c:v>Cuerpo de Agentes Municipales</c:v>
                </c:pt>
                <c:pt idx="37">
                  <c:v>Parqueo Municipal 1a categoria</c:v>
                </c:pt>
                <c:pt idx="38">
                  <c:v>NOMINA SALARIAL</c:v>
                </c:pt>
              </c:strCache>
            </c:strRef>
          </c:cat>
          <c:val>
            <c:numRef>
              <c:f>(UNIDAD_PPTO!$F$7:$F$44,UNIDAD_PPTO!$F$46)</c:f>
              <c:numCache>
                <c:formatCode>_("$"* #,##0.00_);_("$"* \(#,##0.00\);_("$"* "-"??_);_(@_)</c:formatCode>
                <c:ptCount val="39"/>
                <c:pt idx="0">
                  <c:v>1148124.3999999999</c:v>
                </c:pt>
                <c:pt idx="1">
                  <c:v>16193.220000000001</c:v>
                </c:pt>
                <c:pt idx="2">
                  <c:v>1000</c:v>
                </c:pt>
                <c:pt idx="3">
                  <c:v>1535</c:v>
                </c:pt>
                <c:pt idx="4">
                  <c:v>6200</c:v>
                </c:pt>
                <c:pt idx="5">
                  <c:v>4300</c:v>
                </c:pt>
                <c:pt idx="6">
                  <c:v>500</c:v>
                </c:pt>
                <c:pt idx="7">
                  <c:v>16522.900000000001</c:v>
                </c:pt>
                <c:pt idx="8">
                  <c:v>1000</c:v>
                </c:pt>
                <c:pt idx="9">
                  <c:v>640</c:v>
                </c:pt>
                <c:pt idx="10">
                  <c:v>65563</c:v>
                </c:pt>
                <c:pt idx="11">
                  <c:v>1000</c:v>
                </c:pt>
                <c:pt idx="12">
                  <c:v>10000</c:v>
                </c:pt>
                <c:pt idx="13">
                  <c:v>42501</c:v>
                </c:pt>
                <c:pt idx="14">
                  <c:v>30150</c:v>
                </c:pt>
                <c:pt idx="15">
                  <c:v>32666</c:v>
                </c:pt>
                <c:pt idx="16">
                  <c:v>2100</c:v>
                </c:pt>
                <c:pt idx="17">
                  <c:v>2560</c:v>
                </c:pt>
                <c:pt idx="18">
                  <c:v>25730</c:v>
                </c:pt>
                <c:pt idx="19">
                  <c:v>246842.25</c:v>
                </c:pt>
                <c:pt idx="20">
                  <c:v>900</c:v>
                </c:pt>
                <c:pt idx="21">
                  <c:v>0</c:v>
                </c:pt>
                <c:pt idx="22">
                  <c:v>223593.74</c:v>
                </c:pt>
                <c:pt idx="23">
                  <c:v>20600</c:v>
                </c:pt>
                <c:pt idx="24">
                  <c:v>47996</c:v>
                </c:pt>
                <c:pt idx="25">
                  <c:v>22860</c:v>
                </c:pt>
                <c:pt idx="26">
                  <c:v>13460</c:v>
                </c:pt>
                <c:pt idx="28">
                  <c:v>37260.26</c:v>
                </c:pt>
                <c:pt idx="29">
                  <c:v>110000</c:v>
                </c:pt>
                <c:pt idx="30">
                  <c:v>14500</c:v>
                </c:pt>
                <c:pt idx="31">
                  <c:v>11454.9</c:v>
                </c:pt>
                <c:pt idx="32">
                  <c:v>3362.5</c:v>
                </c:pt>
                <c:pt idx="33">
                  <c:v>111576</c:v>
                </c:pt>
                <c:pt idx="34">
                  <c:v>428497.56</c:v>
                </c:pt>
                <c:pt idx="35">
                  <c:v>49490.02</c:v>
                </c:pt>
                <c:pt idx="36">
                  <c:v>5800</c:v>
                </c:pt>
                <c:pt idx="37">
                  <c:v>15340</c:v>
                </c:pt>
                <c:pt idx="38">
                  <c:v>1895512.13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2-4EFE-8D5B-53C121CAD9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20586543"/>
        <c:axId val="320588207"/>
      </c:barChart>
      <c:catAx>
        <c:axId val="320586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0588207"/>
        <c:crosses val="autoZero"/>
        <c:auto val="1"/>
        <c:lblAlgn val="ctr"/>
        <c:lblOffset val="100"/>
        <c:noMultiLvlLbl val="0"/>
      </c:catAx>
      <c:valAx>
        <c:axId val="320588207"/>
        <c:scaling>
          <c:orientation val="minMax"/>
        </c:scaling>
        <c:delete val="1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320586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Distribución de Ingresos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021868582379669"/>
          <c:y val="0.14994204981855694"/>
          <c:w val="0.50465381490795547"/>
          <c:h val="0.7607537784838360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3E4-4002-A788-B99105BDF35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03E4-4002-A788-B99105BDF35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3E4-4002-A788-B99105BDF356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03E4-4002-A788-B99105BDF356}"/>
              </c:ext>
            </c:extLst>
          </c:dPt>
          <c:dPt>
            <c:idx val="4"/>
            <c:bubble3D val="0"/>
            <c:spPr>
              <a:solidFill>
                <a:schemeClr val="tx1">
                  <a:lumMod val="95000"/>
                  <a:lumOff val="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3E4-4002-A788-B99105BDF35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03E4-4002-A788-B99105BDF35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3E4-4002-A788-B99105BDF356}"/>
              </c:ext>
            </c:extLst>
          </c:dPt>
          <c:dPt>
            <c:idx val="7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03E4-4002-A788-B99105BDF356}"/>
              </c:ext>
            </c:extLst>
          </c:dPt>
          <c:dLbls>
            <c:dLbl>
              <c:idx val="0"/>
              <c:layout>
                <c:manualLayout>
                  <c:x val="4.0766628616214225E-2"/>
                  <c:y val="-3.057945340583751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E4-4002-A788-B99105BDF356}"/>
                </c:ext>
              </c:extLst>
            </c:dLbl>
            <c:dLbl>
              <c:idx val="1"/>
              <c:layout>
                <c:manualLayout>
                  <c:x val="-6.2840563620185225E-2"/>
                  <c:y val="-9.748649846124370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E4-4002-A788-B99105BDF356}"/>
                </c:ext>
              </c:extLst>
            </c:dLbl>
            <c:dLbl>
              <c:idx val="2"/>
              <c:layout>
                <c:manualLayout>
                  <c:x val="5.0309201585472085E-2"/>
                  <c:y val="9.78538942037843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E4-4002-A788-B99105BDF356}"/>
                </c:ext>
              </c:extLst>
            </c:dLbl>
            <c:dLbl>
              <c:idx val="3"/>
              <c:layout>
                <c:manualLayout>
                  <c:x val="1.1649104528112181E-2"/>
                  <c:y val="0.1044909670839401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E4-4002-A788-B99105BDF356}"/>
                </c:ext>
              </c:extLst>
            </c:dLbl>
            <c:dLbl>
              <c:idx val="4"/>
              <c:layout>
                <c:manualLayout>
                  <c:x val="-3.3669464612431657E-2"/>
                  <c:y val="-5.018773616705352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E4-4002-A788-B99105BDF35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E4-4002-A788-B99105BDF35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E4-4002-A788-B99105BDF356}"/>
                </c:ext>
              </c:extLst>
            </c:dLbl>
            <c:dLbl>
              <c:idx val="7"/>
              <c:layout>
                <c:manualLayout>
                  <c:x val="2.7595042502728188E-3"/>
                  <c:y val="-9.035285532990076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E4-4002-A788-B99105BDF356}"/>
                </c:ext>
              </c:extLst>
            </c:dLbl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ResCE!$A$11:$B$18</c:f>
              <c:multiLvlStrCache>
                <c:ptCount val="8"/>
                <c:lvl>
                  <c:pt idx="0">
                    <c:v>IMPUESTOS  </c:v>
                  </c:pt>
                  <c:pt idx="1">
                    <c:v>TASAS Y DERECHOS</c:v>
                  </c:pt>
                  <c:pt idx="2">
                    <c:v>INGRESOS FINANCIEROS Y OTROS</c:v>
                  </c:pt>
                  <c:pt idx="3">
                    <c:v>TRANSFERENCIAS CORRIENTES  </c:v>
                  </c:pt>
                  <c:pt idx="4">
                    <c:v>VENTA DE ACTIVOS</c:v>
                  </c:pt>
                  <c:pt idx="5">
                    <c:v>TRANSFERENCIAS DE CAPITAL</c:v>
                  </c:pt>
                  <c:pt idx="6">
                    <c:v>CONTRATACIONES DE EMPRESTITOS</c:v>
                  </c:pt>
                  <c:pt idx="7">
                    <c:v>SALDOS DE AÑOS ANTERIORES</c:v>
                  </c:pt>
                </c:lvl>
                <c:lvl>
                  <c:pt idx="0">
                    <c:v>11</c:v>
                  </c:pt>
                  <c:pt idx="1">
                    <c:v>12</c:v>
                  </c:pt>
                  <c:pt idx="2">
                    <c:v>15</c:v>
                  </c:pt>
                  <c:pt idx="3">
                    <c:v>16</c:v>
                  </c:pt>
                  <c:pt idx="4">
                    <c:v>21</c:v>
                  </c:pt>
                  <c:pt idx="5">
                    <c:v>22</c:v>
                  </c:pt>
                  <c:pt idx="6">
                    <c:v>31</c:v>
                  </c:pt>
                  <c:pt idx="7">
                    <c:v>32</c:v>
                  </c:pt>
                </c:lvl>
              </c:multiLvlStrCache>
            </c:multiLvlStrRef>
          </c:cat>
          <c:val>
            <c:numRef>
              <c:f>ResCE!$C$11:$C$18</c:f>
              <c:numCache>
                <c:formatCode>_("$"* #,##0.00_);_("$"* \(#,##0.00\);_("$"* "-"??_);_(@_)</c:formatCode>
                <c:ptCount val="8"/>
                <c:pt idx="0">
                  <c:v>861420</c:v>
                </c:pt>
                <c:pt idx="1">
                  <c:v>1254400</c:v>
                </c:pt>
                <c:pt idx="2">
                  <c:v>101400.7</c:v>
                </c:pt>
                <c:pt idx="3">
                  <c:v>1407042.8399999999</c:v>
                </c:pt>
                <c:pt idx="4">
                  <c:v>3000</c:v>
                </c:pt>
                <c:pt idx="5">
                  <c:v>22500</c:v>
                </c:pt>
                <c:pt idx="6">
                  <c:v>0</c:v>
                </c:pt>
                <c:pt idx="7">
                  <c:v>1018532.34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4-4002-A788-B99105BDF35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69180363972903347"/>
          <c:y val="0.23098822575627598"/>
          <c:w val="0.29632798337430416"/>
          <c:h val="0.7126723250366949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Erogaciones</a:t>
            </a:r>
            <a:r>
              <a:rPr lang="en-US" baseline="0"/>
              <a:t> - 2024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DD0-42C2-91DB-8E55DDF2DA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DD0-42C2-91DB-8E55DDF2DA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DD0-42C2-91DB-8E55DDF2DA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CCB-4809-B43A-A59386FE7A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DD0-42C2-91DB-8E55DDF2DA9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CCB-4809-B43A-A59386FE7AF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CCB-4809-B43A-A59386FE7AFE}"/>
              </c:ext>
            </c:extLst>
          </c:dPt>
          <c:dLbls>
            <c:dLbl>
              <c:idx val="3"/>
              <c:layout>
                <c:manualLayout>
                  <c:x val="-4.2211062114333564E-2"/>
                  <c:y val="-3.021731678197565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CB-4809-B43A-A59386FE7AFE}"/>
                </c:ext>
              </c:extLst>
            </c:dLbl>
            <c:dLbl>
              <c:idx val="5"/>
              <c:layout>
                <c:manualLayout>
                  <c:x val="-7.1537718224120486E-2"/>
                  <c:y val="-2.718443978742842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CB-4809-B43A-A59386FE7AFE}"/>
                </c:ext>
              </c:extLst>
            </c:dLbl>
            <c:dLbl>
              <c:idx val="6"/>
              <c:layout>
                <c:manualLayout>
                  <c:x val="-4.7058655231229381E-2"/>
                  <c:y val="-7.224799342088598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CB-4809-B43A-A59386FE7AFE}"/>
                </c:ext>
              </c:extLst>
            </c:dLbl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ResCE!$B$26:$B$32</c:f>
              <c:strCache>
                <c:ptCount val="7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TRANSFERENCIAS CORRIENTES</c:v>
                </c:pt>
                <c:pt idx="4">
                  <c:v>INVERSIONES EN ACTIVOS FIJOS</c:v>
                </c:pt>
                <c:pt idx="5">
                  <c:v>AMORTIZACION DE ENDEUDAMIENTO PUBLICO</c:v>
                </c:pt>
                <c:pt idx="6">
                  <c:v>CUENTAS X PAGAR AÑOS ANTERIORES</c:v>
                </c:pt>
              </c:strCache>
            </c:strRef>
          </c:cat>
          <c:val>
            <c:numRef>
              <c:f>ResCE!$C$26:$C$32</c:f>
              <c:numCache>
                <c:formatCode>_-[$$-240A]\ * #,##0.00_ ;_-[$$-240A]\ * \-#,##0.00\ ;_-[$$-240A]\ * "-"_ ;_-@_ </c:formatCode>
                <c:ptCount val="7"/>
                <c:pt idx="0">
                  <c:v>1895512.13</c:v>
                </c:pt>
                <c:pt idx="1">
                  <c:v>1302337.25</c:v>
                </c:pt>
                <c:pt idx="2">
                  <c:v>524883.56000000006</c:v>
                </c:pt>
                <c:pt idx="3">
                  <c:v>45401</c:v>
                </c:pt>
                <c:pt idx="4">
                  <c:v>453134.58999999997</c:v>
                </c:pt>
                <c:pt idx="5">
                  <c:v>262286</c:v>
                </c:pt>
                <c:pt idx="6">
                  <c:v>184741.35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CB-4809-B43A-A59386FE7AF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291534742014438"/>
          <c:y val="0.14500732044642059"/>
          <c:w val="0.29379114858491345"/>
          <c:h val="0.8171097492810425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48</xdr:row>
      <xdr:rowOff>152399</xdr:rowOff>
    </xdr:from>
    <xdr:to>
      <xdr:col>9</xdr:col>
      <xdr:colOff>352424</xdr:colOff>
      <xdr:row>79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0CC56A-A5B5-43F0-B206-6971E13E4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11628</xdr:colOff>
      <xdr:row>2</xdr:row>
      <xdr:rowOff>23120</xdr:rowOff>
    </xdr:from>
    <xdr:to>
      <xdr:col>11</xdr:col>
      <xdr:colOff>663539</xdr:colOff>
      <xdr:row>24</xdr:row>
      <xdr:rowOff>170149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43409C4-0D57-4063-AE67-59CDBABA4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1027417</xdr:colOff>
      <xdr:row>25</xdr:row>
      <xdr:rowOff>46445</xdr:rowOff>
    </xdr:from>
    <xdr:to>
      <xdr:col>11</xdr:col>
      <xdr:colOff>695646</xdr:colOff>
      <xdr:row>44</xdr:row>
      <xdr:rowOff>42809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A2C1957-63CE-080F-0086-DD0354DF2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21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5356" name="AutoShape 1">
          <a:extLst>
            <a:ext uri="{FF2B5EF4-FFF2-40B4-BE49-F238E27FC236}">
              <a16:creationId xmlns:a16="http://schemas.microsoft.com/office/drawing/2014/main" id="{00000000-0008-0000-0F00-0000EC140000}"/>
            </a:ext>
          </a:extLst>
        </xdr:cNvPr>
        <xdr:cNvSpPr>
          <a:spLocks/>
        </xdr:cNvSpPr>
      </xdr:nvSpPr>
      <xdr:spPr bwMode="auto">
        <a:xfrm>
          <a:off x="3776382" y="60960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4"/>
  <sheetViews>
    <sheetView zoomScale="190" zoomScaleNormal="190" workbookViewId="0">
      <selection sqref="A1:E1"/>
    </sheetView>
  </sheetViews>
  <sheetFormatPr baseColWidth="10" defaultColWidth="11.42578125" defaultRowHeight="12.75" x14ac:dyDescent="0.2"/>
  <cols>
    <col min="1" max="1" width="4" style="30" customWidth="1"/>
    <col min="2" max="2" width="3.42578125" style="30" customWidth="1"/>
    <col min="3" max="3" width="5.85546875" style="30" customWidth="1"/>
    <col min="4" max="4" width="5.140625" style="30" bestFit="1" customWidth="1"/>
    <col min="5" max="5" width="65.7109375" style="30" customWidth="1"/>
    <col min="6" max="16384" width="11.42578125" style="30"/>
  </cols>
  <sheetData>
    <row r="1" spans="1:5" x14ac:dyDescent="0.2">
      <c r="A1" s="1114" t="s">
        <v>217</v>
      </c>
      <c r="B1" s="1114"/>
      <c r="C1" s="1114"/>
      <c r="D1" s="1114"/>
      <c r="E1" s="1114"/>
    </row>
    <row r="2" spans="1:5" x14ac:dyDescent="0.2">
      <c r="A2" s="1114" t="s">
        <v>198</v>
      </c>
      <c r="B2" s="1114"/>
      <c r="C2" s="1114"/>
      <c r="D2" s="1114"/>
      <c r="E2" s="1114"/>
    </row>
    <row r="3" spans="1:5" x14ac:dyDescent="0.2">
      <c r="A3" s="1114" t="s">
        <v>199</v>
      </c>
      <c r="B3" s="1114"/>
      <c r="C3" s="1114"/>
      <c r="D3" s="1114"/>
      <c r="E3" s="1114"/>
    </row>
    <row r="4" spans="1:5" x14ac:dyDescent="0.2">
      <c r="A4" s="1114" t="s">
        <v>944</v>
      </c>
      <c r="B4" s="1114"/>
      <c r="C4" s="1114"/>
      <c r="D4" s="1114"/>
      <c r="E4" s="1114"/>
    </row>
    <row r="5" spans="1:5" x14ac:dyDescent="0.2">
      <c r="A5" s="62" t="s">
        <v>256</v>
      </c>
      <c r="B5" s="62" t="s">
        <v>257</v>
      </c>
      <c r="C5" s="62" t="s">
        <v>258</v>
      </c>
      <c r="D5" s="62" t="s">
        <v>426</v>
      </c>
      <c r="E5" s="63" t="s">
        <v>89</v>
      </c>
    </row>
    <row r="6" spans="1:5" x14ac:dyDescent="0.2">
      <c r="A6" s="64" t="s">
        <v>0</v>
      </c>
      <c r="B6" s="65"/>
      <c r="C6" s="66"/>
      <c r="D6" s="65"/>
      <c r="E6" s="67" t="s">
        <v>166</v>
      </c>
    </row>
    <row r="7" spans="1:5" x14ac:dyDescent="0.2">
      <c r="A7" s="68"/>
      <c r="B7" s="69" t="s">
        <v>1</v>
      </c>
      <c r="C7" s="70"/>
      <c r="D7" s="69"/>
      <c r="E7" s="71" t="s">
        <v>167</v>
      </c>
    </row>
    <row r="8" spans="1:5" x14ac:dyDescent="0.2">
      <c r="A8" s="68"/>
      <c r="B8" s="72"/>
      <c r="C8" s="70" t="s">
        <v>1</v>
      </c>
      <c r="D8" s="69"/>
      <c r="E8" s="71" t="s">
        <v>437</v>
      </c>
    </row>
    <row r="9" spans="1:5" x14ac:dyDescent="0.2">
      <c r="A9" s="68"/>
      <c r="B9" s="72"/>
      <c r="C9" s="70"/>
      <c r="D9" s="72" t="s">
        <v>1</v>
      </c>
      <c r="E9" s="81" t="s">
        <v>282</v>
      </c>
    </row>
    <row r="10" spans="1:5" x14ac:dyDescent="0.2">
      <c r="A10" s="68"/>
      <c r="B10" s="72"/>
      <c r="C10" s="70"/>
      <c r="D10" s="72" t="s">
        <v>200</v>
      </c>
      <c r="E10" s="81" t="s">
        <v>283</v>
      </c>
    </row>
    <row r="11" spans="1:5" x14ac:dyDescent="0.2">
      <c r="A11" s="68"/>
      <c r="B11" s="72"/>
      <c r="C11" s="70"/>
      <c r="D11" s="72" t="s">
        <v>10</v>
      </c>
      <c r="E11" s="81" t="s">
        <v>244</v>
      </c>
    </row>
    <row r="12" spans="1:5" x14ac:dyDescent="0.2">
      <c r="A12" s="68"/>
      <c r="B12" s="72"/>
      <c r="C12" s="70"/>
      <c r="D12" s="72" t="s">
        <v>12</v>
      </c>
      <c r="E12" s="81" t="s">
        <v>346</v>
      </c>
    </row>
    <row r="13" spans="1:5" x14ac:dyDescent="0.2">
      <c r="A13" s="68"/>
      <c r="B13" s="72"/>
      <c r="C13" s="70"/>
      <c r="D13" s="72" t="s">
        <v>172</v>
      </c>
      <c r="E13" s="81" t="s">
        <v>248</v>
      </c>
    </row>
    <row r="14" spans="1:5" x14ac:dyDescent="0.2">
      <c r="A14" s="853"/>
      <c r="B14" s="854"/>
      <c r="C14" s="880"/>
      <c r="D14" s="854" t="s">
        <v>427</v>
      </c>
      <c r="E14" s="855" t="s">
        <v>699</v>
      </c>
    </row>
    <row r="15" spans="1:5" x14ac:dyDescent="0.2">
      <c r="A15" s="68"/>
      <c r="B15" s="72"/>
      <c r="C15" s="70"/>
      <c r="D15" s="72" t="s">
        <v>538</v>
      </c>
      <c r="E15" s="81" t="s">
        <v>250</v>
      </c>
    </row>
    <row r="16" spans="1:5" x14ac:dyDescent="0.2">
      <c r="A16" s="68"/>
      <c r="B16" s="72"/>
      <c r="C16" s="70"/>
      <c r="D16" s="72" t="s">
        <v>428</v>
      </c>
      <c r="E16" s="81" t="s">
        <v>525</v>
      </c>
    </row>
    <row r="17" spans="1:5" ht="10.5" customHeight="1" x14ac:dyDescent="0.2">
      <c r="A17" s="68"/>
      <c r="B17" s="72"/>
      <c r="C17" s="68"/>
      <c r="D17" s="72" t="s">
        <v>539</v>
      </c>
      <c r="E17" s="81" t="s">
        <v>526</v>
      </c>
    </row>
    <row r="18" spans="1:5" x14ac:dyDescent="0.2">
      <c r="A18" s="68"/>
      <c r="B18" s="72"/>
      <c r="C18" s="68"/>
      <c r="D18" s="72" t="s">
        <v>429</v>
      </c>
      <c r="E18" s="81" t="s">
        <v>637</v>
      </c>
    </row>
    <row r="19" spans="1:5" x14ac:dyDescent="0.2">
      <c r="A19" s="68"/>
      <c r="B19" s="72"/>
      <c r="C19" s="68"/>
      <c r="D19" s="72" t="s">
        <v>540</v>
      </c>
      <c r="E19" s="81" t="s">
        <v>638</v>
      </c>
    </row>
    <row r="20" spans="1:5" x14ac:dyDescent="0.2">
      <c r="A20" s="68"/>
      <c r="B20" s="72"/>
      <c r="C20" s="70" t="s">
        <v>200</v>
      </c>
      <c r="D20" s="72"/>
      <c r="E20" s="73" t="s">
        <v>537</v>
      </c>
    </row>
    <row r="21" spans="1:5" x14ac:dyDescent="0.2">
      <c r="A21" s="68"/>
      <c r="B21" s="72"/>
      <c r="C21" s="70"/>
      <c r="D21" s="72" t="s">
        <v>1</v>
      </c>
      <c r="E21" s="81" t="s">
        <v>527</v>
      </c>
    </row>
    <row r="22" spans="1:5" x14ac:dyDescent="0.2">
      <c r="A22" s="68"/>
      <c r="B22" s="72"/>
      <c r="C22" s="68"/>
      <c r="D22" s="72" t="s">
        <v>200</v>
      </c>
      <c r="E22" s="81" t="s">
        <v>731</v>
      </c>
    </row>
    <row r="23" spans="1:5" x14ac:dyDescent="0.2">
      <c r="A23" s="68"/>
      <c r="B23" s="72"/>
      <c r="C23" s="70"/>
      <c r="D23" s="72" t="s">
        <v>10</v>
      </c>
      <c r="E23" s="81" t="s">
        <v>528</v>
      </c>
    </row>
    <row r="24" spans="1:5" x14ac:dyDescent="0.2">
      <c r="A24" s="68"/>
      <c r="B24" s="72"/>
      <c r="C24" s="70"/>
      <c r="D24" s="72" t="s">
        <v>12</v>
      </c>
      <c r="E24" s="81" t="s">
        <v>529</v>
      </c>
    </row>
    <row r="25" spans="1:5" x14ac:dyDescent="0.2">
      <c r="A25" s="68"/>
      <c r="B25" s="72"/>
      <c r="C25" s="70"/>
      <c r="D25" s="72" t="s">
        <v>172</v>
      </c>
      <c r="E25" s="81" t="s">
        <v>207</v>
      </c>
    </row>
    <row r="26" spans="1:5" x14ac:dyDescent="0.2">
      <c r="A26" s="68"/>
      <c r="B26" s="72"/>
      <c r="C26" s="70"/>
      <c r="D26" s="72" t="s">
        <v>427</v>
      </c>
      <c r="E26" s="81" t="s">
        <v>182</v>
      </c>
    </row>
    <row r="27" spans="1:5" x14ac:dyDescent="0.2">
      <c r="A27" s="68"/>
      <c r="B27" s="72"/>
      <c r="C27" s="70"/>
      <c r="D27" s="72" t="s">
        <v>538</v>
      </c>
      <c r="E27" s="81" t="s">
        <v>439</v>
      </c>
    </row>
    <row r="28" spans="1:5" x14ac:dyDescent="0.2">
      <c r="A28" s="68"/>
      <c r="B28" s="72"/>
      <c r="C28" s="70"/>
      <c r="D28" s="72" t="s">
        <v>428</v>
      </c>
      <c r="E28" s="81" t="s">
        <v>530</v>
      </c>
    </row>
    <row r="29" spans="1:5" x14ac:dyDescent="0.2">
      <c r="A29" s="68"/>
      <c r="B29" s="72"/>
      <c r="C29" s="70"/>
      <c r="D29" s="72" t="s">
        <v>539</v>
      </c>
      <c r="E29" s="81" t="s">
        <v>531</v>
      </c>
    </row>
    <row r="30" spans="1:5" x14ac:dyDescent="0.2">
      <c r="A30" s="68"/>
      <c r="B30" s="72"/>
      <c r="C30" s="68"/>
      <c r="D30" s="72" t="s">
        <v>429</v>
      </c>
      <c r="E30" s="81" t="s">
        <v>514</v>
      </c>
    </row>
    <row r="31" spans="1:5" x14ac:dyDescent="0.2">
      <c r="A31" s="68"/>
      <c r="B31" s="72"/>
      <c r="C31" s="68"/>
      <c r="D31" s="72" t="s">
        <v>540</v>
      </c>
      <c r="E31" s="81" t="s">
        <v>532</v>
      </c>
    </row>
    <row r="32" spans="1:5" x14ac:dyDescent="0.2">
      <c r="A32" s="68"/>
      <c r="B32" s="72"/>
      <c r="C32" s="68"/>
      <c r="D32" s="72" t="s">
        <v>737</v>
      </c>
      <c r="E32" s="81" t="s">
        <v>533</v>
      </c>
    </row>
    <row r="33" spans="1:5" x14ac:dyDescent="0.2">
      <c r="A33" s="68"/>
      <c r="B33" s="72"/>
      <c r="C33" s="68"/>
      <c r="D33" s="72" t="s">
        <v>541</v>
      </c>
      <c r="E33" s="81" t="s">
        <v>441</v>
      </c>
    </row>
    <row r="34" spans="1:5" x14ac:dyDescent="0.2">
      <c r="A34" s="68"/>
      <c r="B34" s="72"/>
      <c r="C34" s="68"/>
      <c r="D34" s="72" t="s">
        <v>542</v>
      </c>
      <c r="E34" s="81" t="s">
        <v>696</v>
      </c>
    </row>
    <row r="35" spans="1:5" x14ac:dyDescent="0.2">
      <c r="A35" s="68"/>
      <c r="B35" s="72"/>
      <c r="C35" s="68"/>
      <c r="D35" s="72" t="s">
        <v>573</v>
      </c>
      <c r="E35" s="81" t="s">
        <v>622</v>
      </c>
    </row>
    <row r="36" spans="1:5" x14ac:dyDescent="0.2">
      <c r="A36" s="68"/>
      <c r="B36" s="72"/>
      <c r="C36" s="68"/>
      <c r="D36" s="72" t="s">
        <v>574</v>
      </c>
      <c r="E36" s="81" t="s">
        <v>729</v>
      </c>
    </row>
    <row r="37" spans="1:5" x14ac:dyDescent="0.2">
      <c r="A37" s="68"/>
      <c r="B37" s="72"/>
      <c r="C37" s="68"/>
      <c r="D37" s="72" t="s">
        <v>848</v>
      </c>
      <c r="E37" s="81" t="s">
        <v>849</v>
      </c>
    </row>
    <row r="38" spans="1:5" x14ac:dyDescent="0.2">
      <c r="A38" s="68"/>
      <c r="B38" s="72"/>
      <c r="C38" s="68"/>
      <c r="D38" s="72" t="s">
        <v>935</v>
      </c>
      <c r="E38" s="81" t="s">
        <v>936</v>
      </c>
    </row>
    <row r="39" spans="1:5" x14ac:dyDescent="0.2">
      <c r="A39" s="68"/>
      <c r="B39" s="69" t="s">
        <v>200</v>
      </c>
      <c r="C39" s="70"/>
      <c r="D39" s="69"/>
      <c r="E39" s="73" t="s">
        <v>168</v>
      </c>
    </row>
    <row r="40" spans="1:5" x14ac:dyDescent="0.2">
      <c r="A40" s="68"/>
      <c r="B40" s="72"/>
      <c r="C40" s="70" t="s">
        <v>1</v>
      </c>
      <c r="D40" s="72"/>
      <c r="E40" s="73" t="s">
        <v>451</v>
      </c>
    </row>
    <row r="41" spans="1:5" x14ac:dyDescent="0.2">
      <c r="A41" s="68"/>
      <c r="B41" s="72"/>
      <c r="C41" s="70"/>
      <c r="D41" s="72" t="s">
        <v>1</v>
      </c>
      <c r="E41" s="81" t="s">
        <v>487</v>
      </c>
    </row>
    <row r="42" spans="1:5" x14ac:dyDescent="0.2">
      <c r="A42" s="68"/>
      <c r="B42" s="72"/>
      <c r="C42" s="68"/>
      <c r="D42" s="72" t="s">
        <v>200</v>
      </c>
      <c r="E42" s="81" t="s">
        <v>442</v>
      </c>
    </row>
    <row r="43" spans="1:5" x14ac:dyDescent="0.2">
      <c r="A43" s="853"/>
      <c r="B43" s="854"/>
      <c r="C43" s="853"/>
      <c r="D43" s="854" t="s">
        <v>10</v>
      </c>
      <c r="E43" s="855" t="s">
        <v>695</v>
      </c>
    </row>
    <row r="44" spans="1:5" ht="12" customHeight="1" x14ac:dyDescent="0.2">
      <c r="A44" s="68"/>
      <c r="B44" s="69"/>
      <c r="C44" s="70" t="s">
        <v>200</v>
      </c>
      <c r="D44" s="69"/>
      <c r="E44" s="73" t="s">
        <v>452</v>
      </c>
    </row>
    <row r="45" spans="1:5" x14ac:dyDescent="0.2">
      <c r="A45" s="68"/>
      <c r="B45" s="72"/>
      <c r="C45" s="68"/>
      <c r="D45" s="72" t="s">
        <v>1</v>
      </c>
      <c r="E45" s="81" t="s">
        <v>280</v>
      </c>
    </row>
    <row r="46" spans="1:5" x14ac:dyDescent="0.2">
      <c r="A46" s="68"/>
      <c r="B46" s="72"/>
      <c r="C46" s="68"/>
      <c r="D46" s="72" t="s">
        <v>200</v>
      </c>
      <c r="E46" s="81" t="s">
        <v>534</v>
      </c>
    </row>
    <row r="47" spans="1:5" x14ac:dyDescent="0.2">
      <c r="A47" s="68"/>
      <c r="B47" s="72"/>
      <c r="C47" s="68"/>
      <c r="D47" s="72" t="s">
        <v>10</v>
      </c>
      <c r="E47" s="81" t="s">
        <v>535</v>
      </c>
    </row>
    <row r="48" spans="1:5" x14ac:dyDescent="0.2">
      <c r="A48" s="68"/>
      <c r="B48" s="72"/>
      <c r="C48" s="68"/>
      <c r="D48" s="72" t="s">
        <v>12</v>
      </c>
      <c r="E48" s="81" t="s">
        <v>536</v>
      </c>
    </row>
    <row r="49" spans="1:5" x14ac:dyDescent="0.2">
      <c r="A49" s="68"/>
      <c r="B49" s="72"/>
      <c r="C49" s="68"/>
      <c r="D49" s="72" t="s">
        <v>172</v>
      </c>
      <c r="E49" s="81" t="s">
        <v>443</v>
      </c>
    </row>
    <row r="50" spans="1:5" x14ac:dyDescent="0.2">
      <c r="A50" s="68"/>
      <c r="B50" s="72"/>
      <c r="C50" s="68"/>
      <c r="D50" s="72" t="s">
        <v>427</v>
      </c>
      <c r="E50" s="81" t="s">
        <v>625</v>
      </c>
    </row>
    <row r="51" spans="1:5" x14ac:dyDescent="0.2">
      <c r="A51" s="75">
        <v>3</v>
      </c>
      <c r="B51" s="76"/>
      <c r="C51" s="77"/>
      <c r="D51" s="76"/>
      <c r="E51" s="78" t="s">
        <v>408</v>
      </c>
    </row>
    <row r="52" spans="1:5" x14ac:dyDescent="0.2">
      <c r="A52" s="79"/>
      <c r="B52" s="80" t="s">
        <v>10</v>
      </c>
      <c r="C52" s="74"/>
      <c r="D52" s="80"/>
      <c r="E52" s="81" t="s">
        <v>202</v>
      </c>
    </row>
    <row r="53" spans="1:5" x14ac:dyDescent="0.2">
      <c r="A53" s="79"/>
      <c r="B53" s="80"/>
      <c r="C53" s="74" t="s">
        <v>13</v>
      </c>
      <c r="D53" s="80"/>
      <c r="E53" s="81" t="s">
        <v>203</v>
      </c>
    </row>
    <row r="54" spans="1:5" x14ac:dyDescent="0.2">
      <c r="A54" s="79"/>
      <c r="B54" s="80"/>
      <c r="C54" s="74"/>
      <c r="D54" s="80" t="s">
        <v>1</v>
      </c>
      <c r="E54" s="81" t="s">
        <v>667</v>
      </c>
    </row>
    <row r="55" spans="1:5" x14ac:dyDescent="0.2">
      <c r="A55" s="75">
        <v>4</v>
      </c>
      <c r="B55" s="76"/>
      <c r="C55" s="77"/>
      <c r="D55" s="76"/>
      <c r="E55" s="78" t="s">
        <v>170</v>
      </c>
    </row>
    <row r="56" spans="1:5" x14ac:dyDescent="0.2">
      <c r="A56" s="79"/>
      <c r="B56" s="80" t="s">
        <v>12</v>
      </c>
      <c r="C56" s="74"/>
      <c r="D56" s="80"/>
      <c r="E56" s="81" t="s">
        <v>204</v>
      </c>
    </row>
    <row r="57" spans="1:5" x14ac:dyDescent="0.2">
      <c r="A57" s="79"/>
      <c r="B57" s="80"/>
      <c r="C57" s="74" t="s">
        <v>11</v>
      </c>
      <c r="D57" s="80"/>
      <c r="E57" s="81" t="s">
        <v>205</v>
      </c>
    </row>
    <row r="58" spans="1:5" x14ac:dyDescent="0.2">
      <c r="A58" s="79"/>
      <c r="B58" s="80"/>
      <c r="C58" s="74"/>
      <c r="D58" s="80" t="s">
        <v>1</v>
      </c>
      <c r="E58" s="81" t="s">
        <v>668</v>
      </c>
    </row>
    <row r="59" spans="1:5" x14ac:dyDescent="0.2">
      <c r="A59" s="75">
        <v>5</v>
      </c>
      <c r="B59" s="76"/>
      <c r="C59" s="77"/>
      <c r="D59" s="76"/>
      <c r="E59" s="82" t="s">
        <v>171</v>
      </c>
    </row>
    <row r="60" spans="1:5" x14ac:dyDescent="0.2">
      <c r="A60" s="81"/>
      <c r="B60" s="80" t="s">
        <v>172</v>
      </c>
      <c r="C60" s="74"/>
      <c r="D60" s="80"/>
      <c r="E60" s="81" t="s">
        <v>173</v>
      </c>
    </row>
    <row r="61" spans="1:5" x14ac:dyDescent="0.2">
      <c r="A61" s="81"/>
      <c r="B61" s="80"/>
      <c r="C61" s="74" t="s">
        <v>145</v>
      </c>
      <c r="D61" s="74"/>
      <c r="E61" s="660" t="s">
        <v>197</v>
      </c>
    </row>
    <row r="62" spans="1:5" x14ac:dyDescent="0.2">
      <c r="A62" s="83"/>
      <c r="B62" s="84"/>
      <c r="C62" s="85"/>
      <c r="D62" s="84" t="s">
        <v>1</v>
      </c>
      <c r="E62" s="83" t="s">
        <v>669</v>
      </c>
    </row>
    <row r="63" spans="1:5" x14ac:dyDescent="0.2">
      <c r="A63" s="52"/>
      <c r="B63" s="80"/>
      <c r="C63" s="80"/>
      <c r="D63" s="80"/>
      <c r="E63" s="52"/>
    </row>
    <row r="64" spans="1:5" x14ac:dyDescent="0.2">
      <c r="A64" s="52"/>
      <c r="B64" s="80"/>
      <c r="C64" s="80"/>
      <c r="D64" s="143"/>
      <c r="E64" s="52"/>
    </row>
  </sheetData>
  <mergeCells count="4">
    <mergeCell ref="A1:E1"/>
    <mergeCell ref="A2:E2"/>
    <mergeCell ref="A3:E3"/>
    <mergeCell ref="A4:E4"/>
  </mergeCells>
  <phoneticPr fontId="0" type="noConversion"/>
  <pageMargins left="0.98425196850393704" right="0.98425196850393704" top="0.47244094488188981" bottom="0.98425196850393704" header="0" footer="0"/>
  <pageSetup scale="95" orientation="portrait" horizontalDpi="4294967294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65E7D-F9A7-410A-B337-F35662D38AC8}">
  <dimension ref="A1:N23"/>
  <sheetViews>
    <sheetView workbookViewId="0">
      <selection activeCell="G9" sqref="G9"/>
    </sheetView>
  </sheetViews>
  <sheetFormatPr baseColWidth="10" defaultRowHeight="12.75" x14ac:dyDescent="0.2"/>
  <cols>
    <col min="2" max="2" width="31.7109375" customWidth="1"/>
    <col min="3" max="3" width="15.140625" customWidth="1"/>
    <col min="6" max="6" width="32.28515625" customWidth="1"/>
    <col min="7" max="7" width="18.5703125" customWidth="1"/>
  </cols>
  <sheetData>
    <row r="1" spans="1:14" x14ac:dyDescent="0.2">
      <c r="A1" s="1114" t="s">
        <v>268</v>
      </c>
      <c r="B1" s="1114"/>
      <c r="C1" s="1114"/>
      <c r="D1" s="1114"/>
      <c r="E1" s="1114"/>
      <c r="F1" s="1114"/>
      <c r="G1" s="1114"/>
      <c r="H1" s="1114"/>
      <c r="I1" s="1114"/>
      <c r="J1" s="1114"/>
      <c r="K1" s="1114"/>
      <c r="L1" s="1114"/>
      <c r="M1" s="1114"/>
      <c r="N1" s="1114"/>
    </row>
    <row r="2" spans="1:14" x14ac:dyDescent="0.2">
      <c r="A2" s="1114" t="s">
        <v>789</v>
      </c>
      <c r="B2" s="1114"/>
      <c r="C2" s="1114"/>
      <c r="D2" s="1114"/>
      <c r="E2" s="1114"/>
      <c r="F2" s="1114"/>
      <c r="G2" s="1114"/>
      <c r="H2" s="1114"/>
      <c r="I2" s="1114"/>
      <c r="J2" s="1114"/>
      <c r="K2" s="1114"/>
      <c r="L2" s="1114"/>
      <c r="M2" s="1114"/>
      <c r="N2" s="1114"/>
    </row>
    <row r="3" spans="1:14" x14ac:dyDescent="0.2">
      <c r="A3" s="1191" t="s">
        <v>72</v>
      </c>
      <c r="B3" s="1191"/>
      <c r="C3" s="1191"/>
      <c r="D3" s="1191"/>
      <c r="E3" s="1191"/>
      <c r="F3" s="1191"/>
      <c r="G3" s="1191"/>
      <c r="H3" s="1191"/>
      <c r="I3" s="1191"/>
      <c r="J3" s="1191"/>
      <c r="K3" s="1191"/>
      <c r="L3" s="1191"/>
      <c r="M3" s="1191"/>
      <c r="N3" s="1191"/>
    </row>
    <row r="4" spans="1:14" ht="13.5" thickBot="1" x14ac:dyDescent="0.25"/>
    <row r="5" spans="1:14" x14ac:dyDescent="0.2">
      <c r="E5" s="942">
        <v>72</v>
      </c>
      <c r="F5" s="943" t="s">
        <v>43</v>
      </c>
      <c r="G5" s="949">
        <f>G6+G8</f>
        <v>112373.4</v>
      </c>
    </row>
    <row r="6" spans="1:14" ht="25.5" x14ac:dyDescent="0.2">
      <c r="E6" s="944">
        <v>721</v>
      </c>
      <c r="F6" s="940" t="s">
        <v>790</v>
      </c>
      <c r="G6" s="950">
        <f>SUM(G7)</f>
        <v>58973.4</v>
      </c>
    </row>
    <row r="7" spans="1:14" ht="25.5" x14ac:dyDescent="0.2">
      <c r="E7" s="944">
        <v>72101</v>
      </c>
      <c r="F7" s="941" t="s">
        <v>790</v>
      </c>
      <c r="G7" s="947">
        <v>58973.4</v>
      </c>
    </row>
    <row r="8" spans="1:14" ht="25.5" x14ac:dyDescent="0.2">
      <c r="E8" s="944">
        <v>722</v>
      </c>
      <c r="F8" s="940" t="s">
        <v>791</v>
      </c>
      <c r="G8" s="950">
        <f>SUM(G9)</f>
        <v>53400</v>
      </c>
    </row>
    <row r="9" spans="1:14" ht="26.25" thickBot="1" x14ac:dyDescent="0.25">
      <c r="E9" s="945">
        <v>72201</v>
      </c>
      <c r="F9" s="946" t="s">
        <v>791</v>
      </c>
      <c r="G9" s="948">
        <f>53400</f>
        <v>53400</v>
      </c>
    </row>
    <row r="10" spans="1:14" x14ac:dyDescent="0.2">
      <c r="B10" s="939"/>
    </row>
    <row r="11" spans="1:14" x14ac:dyDescent="0.2">
      <c r="B11" s="939"/>
    </row>
    <row r="12" spans="1:14" x14ac:dyDescent="0.2">
      <c r="B12" s="939"/>
      <c r="E12" s="951" t="s">
        <v>796</v>
      </c>
      <c r="F12" s="951" t="s">
        <v>792</v>
      </c>
      <c r="G12" s="953">
        <v>420856.59</v>
      </c>
    </row>
    <row r="13" spans="1:14" x14ac:dyDescent="0.2">
      <c r="B13" s="939"/>
      <c r="E13" s="951" t="s">
        <v>798</v>
      </c>
      <c r="F13" s="951" t="s">
        <v>792</v>
      </c>
      <c r="G13" s="953">
        <v>113052.4</v>
      </c>
    </row>
    <row r="14" spans="1:14" x14ac:dyDescent="0.2">
      <c r="B14" s="939"/>
      <c r="E14" s="952" t="s">
        <v>797</v>
      </c>
      <c r="F14" s="952" t="s">
        <v>793</v>
      </c>
      <c r="G14" s="954">
        <v>17000</v>
      </c>
    </row>
    <row r="15" spans="1:14" x14ac:dyDescent="0.2">
      <c r="B15" s="939"/>
      <c r="E15" s="952" t="s">
        <v>797</v>
      </c>
      <c r="F15" s="952" t="s">
        <v>794</v>
      </c>
      <c r="G15" s="954">
        <v>7000</v>
      </c>
    </row>
    <row r="16" spans="1:14" x14ac:dyDescent="0.2">
      <c r="B16" s="939"/>
      <c r="E16" s="952" t="s">
        <v>797</v>
      </c>
      <c r="F16" s="952" t="s">
        <v>795</v>
      </c>
      <c r="G16" s="954">
        <v>8000</v>
      </c>
    </row>
    <row r="17" spans="2:2" x14ac:dyDescent="0.2">
      <c r="B17" s="939"/>
    </row>
    <row r="18" spans="2:2" x14ac:dyDescent="0.2">
      <c r="B18" s="939"/>
    </row>
    <row r="19" spans="2:2" x14ac:dyDescent="0.2">
      <c r="B19" s="939"/>
    </row>
    <row r="20" spans="2:2" x14ac:dyDescent="0.2">
      <c r="B20" s="939"/>
    </row>
    <row r="21" spans="2:2" x14ac:dyDescent="0.2">
      <c r="B21" s="939"/>
    </row>
    <row r="22" spans="2:2" x14ac:dyDescent="0.2">
      <c r="B22" s="939"/>
    </row>
    <row r="23" spans="2:2" x14ac:dyDescent="0.2">
      <c r="B23" s="939"/>
    </row>
  </sheetData>
  <mergeCells count="3">
    <mergeCell ref="A1:N1"/>
    <mergeCell ref="A2:N2"/>
    <mergeCell ref="A3:N3"/>
  </mergeCells>
  <phoneticPr fontId="40" type="noConversion"/>
  <pageMargins left="0.7" right="0.7" top="0.75" bottom="0.75" header="0.3" footer="0.3"/>
  <pageSetup paperSize="9" orientation="portrait" horizontalDpi="0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75F7B-8652-4260-BD72-D03C1C9868E2}">
  <dimension ref="A1:J73"/>
  <sheetViews>
    <sheetView topLeftCell="A35" zoomScale="136" zoomScaleNormal="136" workbookViewId="0">
      <selection activeCell="F47" sqref="F47"/>
    </sheetView>
  </sheetViews>
  <sheetFormatPr baseColWidth="10" defaultRowHeight="12.75" x14ac:dyDescent="0.2"/>
  <cols>
    <col min="2" max="2" width="34" customWidth="1"/>
    <col min="3" max="3" width="18.7109375" customWidth="1"/>
    <col min="4" max="4" width="22.5703125" customWidth="1"/>
    <col min="5" max="5" width="14.85546875" customWidth="1"/>
    <col min="6" max="6" width="14.28515625" customWidth="1"/>
    <col min="7" max="7" width="14.28515625" bestFit="1" customWidth="1"/>
    <col min="9" max="9" width="13.85546875" bestFit="1" customWidth="1"/>
  </cols>
  <sheetData>
    <row r="1" spans="1:6" x14ac:dyDescent="0.2">
      <c r="A1" s="1208" t="s">
        <v>949</v>
      </c>
      <c r="B1" s="1209"/>
      <c r="C1" s="1209"/>
      <c r="D1" s="1209"/>
      <c r="E1" s="1209"/>
      <c r="F1" s="1209"/>
    </row>
    <row r="2" spans="1:6" x14ac:dyDescent="0.2">
      <c r="A2" s="1208" t="s">
        <v>950</v>
      </c>
      <c r="B2" s="1209"/>
      <c r="C2" s="1209"/>
      <c r="D2" s="1209"/>
      <c r="E2" s="1209"/>
      <c r="F2" s="1209"/>
    </row>
    <row r="3" spans="1:6" x14ac:dyDescent="0.2">
      <c r="A3" s="1208" t="s">
        <v>951</v>
      </c>
      <c r="B3" s="1208"/>
      <c r="C3" s="1208"/>
      <c r="D3" s="1208"/>
      <c r="E3" s="1208"/>
      <c r="F3" s="1208"/>
    </row>
    <row r="4" spans="1:6" x14ac:dyDescent="0.2">
      <c r="A4" s="1210" t="s">
        <v>952</v>
      </c>
      <c r="B4" s="1211"/>
      <c r="C4" s="1211"/>
      <c r="D4" s="1211"/>
      <c r="E4" s="1211"/>
      <c r="F4" s="1211"/>
    </row>
    <row r="5" spans="1:6" x14ac:dyDescent="0.2">
      <c r="A5" s="1213" t="s">
        <v>818</v>
      </c>
      <c r="B5" s="1213"/>
      <c r="C5" s="1214" t="s">
        <v>843</v>
      </c>
      <c r="D5" s="1214"/>
      <c r="E5" s="1214"/>
      <c r="F5" s="1213" t="s">
        <v>31</v>
      </c>
    </row>
    <row r="6" spans="1:6" ht="25.5" x14ac:dyDescent="0.2">
      <c r="A6" s="1213"/>
      <c r="B6" s="1213"/>
      <c r="C6" s="996" t="s">
        <v>137</v>
      </c>
      <c r="D6" s="996" t="s">
        <v>819</v>
      </c>
      <c r="E6" s="996" t="s">
        <v>820</v>
      </c>
      <c r="F6" s="1213"/>
    </row>
    <row r="7" spans="1:6" x14ac:dyDescent="0.2">
      <c r="A7" s="1212" t="s">
        <v>823</v>
      </c>
      <c r="B7" s="985" t="str">
        <f>'BS_CR '!C6</f>
        <v>Concejo Municipal</v>
      </c>
      <c r="C7" s="986">
        <f>'BS_CR '!C178</f>
        <v>21646</v>
      </c>
      <c r="D7" s="986">
        <f>'BS_CR '!C268</f>
        <v>251322.44999999998</v>
      </c>
      <c r="E7" s="986">
        <f>Egre0304!H113+Egre0304!H61</f>
        <v>875155.95</v>
      </c>
      <c r="F7" s="986">
        <f>SUM(C7:E7)</f>
        <v>1148124.3999999999</v>
      </c>
    </row>
    <row r="8" spans="1:6" x14ac:dyDescent="0.2">
      <c r="A8" s="1212"/>
      <c r="B8" s="985" t="str">
        <f>'BS_CR '!D188</f>
        <v>Despacho Municipal</v>
      </c>
      <c r="C8" s="986">
        <f>'BS_CR '!D178</f>
        <v>16193.220000000001</v>
      </c>
      <c r="D8" s="986">
        <f>'BS_CR '!D268</f>
        <v>0</v>
      </c>
      <c r="E8" s="986"/>
      <c r="F8" s="986">
        <f t="shared" ref="F8:F52" si="0">SUM(C8:E8)</f>
        <v>16193.220000000001</v>
      </c>
    </row>
    <row r="9" spans="1:6" x14ac:dyDescent="0.2">
      <c r="A9" s="1212"/>
      <c r="B9" s="985" t="str">
        <f>'BS_CR '!E188</f>
        <v>Gerencia General</v>
      </c>
      <c r="C9" s="986">
        <f>'BS_CR '!E178</f>
        <v>1000</v>
      </c>
      <c r="D9" s="986">
        <f>'BS_CR '!E268</f>
        <v>0</v>
      </c>
      <c r="E9" s="986"/>
      <c r="F9" s="986">
        <f t="shared" si="0"/>
        <v>1000</v>
      </c>
    </row>
    <row r="10" spans="1:6" x14ac:dyDescent="0.2">
      <c r="A10" s="1212"/>
      <c r="B10" s="985" t="str">
        <f>'BS_CR '!F188</f>
        <v>Auditoría Interna</v>
      </c>
      <c r="C10" s="986">
        <f>'BS_CR '!F178</f>
        <v>1535</v>
      </c>
      <c r="D10" s="986">
        <f>'BS_CR '!F268</f>
        <v>0</v>
      </c>
      <c r="E10" s="986"/>
      <c r="F10" s="986">
        <f t="shared" si="0"/>
        <v>1535</v>
      </c>
    </row>
    <row r="11" spans="1:6" x14ac:dyDescent="0.2">
      <c r="A11" s="1212"/>
      <c r="B11" s="985" t="str">
        <f>'BS_CR '!G188</f>
        <v>Sindicatura</v>
      </c>
      <c r="C11" s="986">
        <f>'BS_CR '!G178</f>
        <v>6200</v>
      </c>
      <c r="D11" s="986">
        <f>'BS_CR '!G268</f>
        <v>0</v>
      </c>
      <c r="E11" s="986"/>
      <c r="F11" s="986">
        <f t="shared" si="0"/>
        <v>6200</v>
      </c>
    </row>
    <row r="12" spans="1:6" x14ac:dyDescent="0.2">
      <c r="A12" s="1212"/>
      <c r="B12" s="985" t="str">
        <f>'BS_CR '!H188</f>
        <v>Unidad Contravencional</v>
      </c>
      <c r="C12" s="986">
        <f>'BS_CR '!H178</f>
        <v>4300</v>
      </c>
      <c r="D12" s="986">
        <f>'BS_CR '!H268</f>
        <v>0</v>
      </c>
      <c r="E12" s="986"/>
      <c r="F12" s="986">
        <f t="shared" si="0"/>
        <v>4300</v>
      </c>
    </row>
    <row r="13" spans="1:6" x14ac:dyDescent="0.2">
      <c r="A13" s="1212"/>
      <c r="B13" s="985" t="str">
        <f>'BS_CR '!I188</f>
        <v>Secretaría</v>
      </c>
      <c r="C13" s="986">
        <f>'BS_CR '!I178</f>
        <v>500</v>
      </c>
      <c r="D13" s="986">
        <f>'BS_CR '!I268</f>
        <v>0</v>
      </c>
      <c r="E13" s="986"/>
      <c r="F13" s="986">
        <f t="shared" si="0"/>
        <v>500</v>
      </c>
    </row>
    <row r="14" spans="1:6" x14ac:dyDescent="0.2">
      <c r="A14" s="1212"/>
      <c r="B14" s="985" t="str">
        <f>'BS_CR '!J188</f>
        <v>Comunicaciones</v>
      </c>
      <c r="C14" s="986">
        <f>'BS_CR '!J178</f>
        <v>16522.900000000001</v>
      </c>
      <c r="D14" s="986">
        <f>'BS_CR '!J268</f>
        <v>0</v>
      </c>
      <c r="E14" s="986"/>
      <c r="F14" s="986">
        <f t="shared" si="0"/>
        <v>16522.900000000001</v>
      </c>
    </row>
    <row r="15" spans="1:6" x14ac:dyDescent="0.2">
      <c r="A15" s="1212"/>
      <c r="B15" s="985" t="str">
        <f>'BS_CR '!K97</f>
        <v>Archivo Municipal</v>
      </c>
      <c r="C15" s="986">
        <f>'BS_CR '!K178</f>
        <v>1000</v>
      </c>
      <c r="D15" s="986">
        <f>'BS_CR '!K268</f>
        <v>0</v>
      </c>
      <c r="E15" s="986"/>
      <c r="F15" s="986">
        <f t="shared" si="0"/>
        <v>1000</v>
      </c>
    </row>
    <row r="16" spans="1:6" x14ac:dyDescent="0.2">
      <c r="A16" s="1212"/>
      <c r="B16" s="985" t="str">
        <f>'BS_CR '!L188</f>
        <v>Acceso a la Información publica</v>
      </c>
      <c r="C16" s="986">
        <f>'BS_CR '!L178</f>
        <v>640</v>
      </c>
      <c r="D16" s="986">
        <f>'BS_CR '!L268</f>
        <v>0</v>
      </c>
      <c r="E16" s="986"/>
      <c r="F16" s="986">
        <f t="shared" si="0"/>
        <v>640</v>
      </c>
    </row>
    <row r="17" spans="1:9" ht="24" customHeight="1" x14ac:dyDescent="0.2">
      <c r="A17" s="1212"/>
      <c r="B17" s="985" t="str">
        <f>'BS_CR '!M188</f>
        <v>Informática</v>
      </c>
      <c r="C17" s="986">
        <f>'BS_CR '!M178</f>
        <v>65563</v>
      </c>
      <c r="D17" s="986">
        <f>'BS_CR '!M268</f>
        <v>0</v>
      </c>
      <c r="E17" s="986"/>
      <c r="F17" s="986">
        <f t="shared" si="0"/>
        <v>65563</v>
      </c>
    </row>
    <row r="18" spans="1:9" ht="12.75" customHeight="1" x14ac:dyDescent="0.2">
      <c r="A18" s="1215" t="s">
        <v>824</v>
      </c>
      <c r="B18" s="987" t="str">
        <f>'BS_CR '!R97</f>
        <v>Gerencia Admin. Financiero</v>
      </c>
      <c r="C18" s="988">
        <f>'BS_CR '!R178</f>
        <v>1000</v>
      </c>
      <c r="D18" s="988">
        <f>'BS_CR '!R268</f>
        <v>0</v>
      </c>
      <c r="E18" s="988"/>
      <c r="F18" s="988">
        <f t="shared" si="0"/>
        <v>1000</v>
      </c>
    </row>
    <row r="19" spans="1:9" ht="25.5" x14ac:dyDescent="0.2">
      <c r="A19" s="1216"/>
      <c r="B19" s="987" t="str">
        <f>'BS_CR '!S188</f>
        <v>Gerencia de Planificación y Desarrollo Territorial</v>
      </c>
      <c r="C19" s="988">
        <f>'BS_CR '!S178</f>
        <v>10000</v>
      </c>
      <c r="D19" s="988">
        <f>'BS_CR '!S268</f>
        <v>0</v>
      </c>
      <c r="E19" s="988"/>
      <c r="F19" s="988">
        <f t="shared" si="0"/>
        <v>10000</v>
      </c>
    </row>
    <row r="20" spans="1:9" ht="25.5" x14ac:dyDescent="0.2">
      <c r="A20" s="1216"/>
      <c r="B20" s="987" t="str">
        <f>'BS_CR '!T188</f>
        <v>Gerencia de Desarrollo Económico Local</v>
      </c>
      <c r="C20" s="988">
        <f>'BS_CR '!T178</f>
        <v>1000</v>
      </c>
      <c r="D20" s="988">
        <f>'BS_CR '!T268</f>
        <v>0</v>
      </c>
      <c r="E20" s="988">
        <f>Egre0304!C11+Egre0304!C12+Egre0304!C35</f>
        <v>41501</v>
      </c>
      <c r="F20" s="988">
        <f t="shared" si="0"/>
        <v>42501</v>
      </c>
    </row>
    <row r="21" spans="1:9" ht="25.5" x14ac:dyDescent="0.2">
      <c r="A21" s="1216"/>
      <c r="B21" s="987" t="str">
        <f>'BS_CR '!U188</f>
        <v>Unidad de Administración Tributaria Municipal</v>
      </c>
      <c r="C21" s="988">
        <f>'BS_CR '!U178</f>
        <v>30150</v>
      </c>
      <c r="D21" s="988">
        <f>'BS_CR '!U268</f>
        <v>0</v>
      </c>
      <c r="E21" s="988"/>
      <c r="F21" s="988">
        <f t="shared" si="0"/>
        <v>30150</v>
      </c>
      <c r="H21">
        <f>12*2150</f>
        <v>25800</v>
      </c>
    </row>
    <row r="22" spans="1:9" x14ac:dyDescent="0.2">
      <c r="A22" s="1216"/>
      <c r="B22" s="987" t="str">
        <f>'BS_CR '!V188</f>
        <v>Tesorería</v>
      </c>
      <c r="C22" s="988">
        <f>'BS_CR '!V178</f>
        <v>32666</v>
      </c>
      <c r="D22" s="988">
        <f>'BS_CR '!V268</f>
        <v>0</v>
      </c>
      <c r="E22" s="988"/>
      <c r="F22" s="988">
        <f t="shared" si="0"/>
        <v>32666</v>
      </c>
      <c r="H22">
        <f>4*365*8</f>
        <v>11680</v>
      </c>
      <c r="I22">
        <f>SUM(H21:H22)</f>
        <v>37480</v>
      </c>
    </row>
    <row r="23" spans="1:9" x14ac:dyDescent="0.2">
      <c r="A23" s="1216"/>
      <c r="B23" s="987" t="str">
        <f>'BS_CR '!W188</f>
        <v>Contabilidad</v>
      </c>
      <c r="C23" s="988">
        <f>'BS_CR '!W178</f>
        <v>2100</v>
      </c>
      <c r="D23" s="988">
        <f>'BS_CR '!W268</f>
        <v>0</v>
      </c>
      <c r="E23" s="988"/>
      <c r="F23" s="988">
        <f t="shared" si="0"/>
        <v>2100</v>
      </c>
    </row>
    <row r="24" spans="1:9" x14ac:dyDescent="0.2">
      <c r="A24" s="1216"/>
      <c r="B24" s="1087" t="s">
        <v>943</v>
      </c>
      <c r="C24" s="988">
        <f>'BS_CR '!X178</f>
        <v>2560</v>
      </c>
      <c r="D24" s="988">
        <f>'BS_CR '!X268</f>
        <v>0</v>
      </c>
      <c r="E24" s="988"/>
      <c r="F24" s="988">
        <f t="shared" si="0"/>
        <v>2560</v>
      </c>
    </row>
    <row r="25" spans="1:9" x14ac:dyDescent="0.2">
      <c r="A25" s="1216"/>
      <c r="B25" s="987" t="str">
        <f>'BS_CR '!Y188</f>
        <v>Recursos Humano</v>
      </c>
      <c r="C25" s="988">
        <f>'BS_CR '!Y178</f>
        <v>25730</v>
      </c>
      <c r="D25" s="988">
        <f>'BS_CR '!Y268</f>
        <v>0</v>
      </c>
      <c r="E25" s="988"/>
      <c r="F25" s="988">
        <f t="shared" si="0"/>
        <v>25730</v>
      </c>
    </row>
    <row r="26" spans="1:9" x14ac:dyDescent="0.2">
      <c r="A26" s="1216"/>
      <c r="B26" s="987" t="str">
        <f>'BS_CR '!Z188</f>
        <v>Proyección Social</v>
      </c>
      <c r="C26" s="988">
        <f>'BS_CR '!Z178</f>
        <v>123650</v>
      </c>
      <c r="D26" s="988">
        <f>'BS_CR '!Z268</f>
        <v>0</v>
      </c>
      <c r="E26" s="988">
        <f>'BS_CR '!Z75+Egre0304!C45</f>
        <v>123192.25</v>
      </c>
      <c r="F26" s="988">
        <f>SUM(C26:E26)</f>
        <v>246842.25</v>
      </c>
    </row>
    <row r="27" spans="1:9" x14ac:dyDescent="0.2">
      <c r="A27" s="1216"/>
      <c r="B27" s="987" t="str">
        <f>'BS_CR '!AA188</f>
        <v>Unidad de Presupuesto</v>
      </c>
      <c r="C27" s="988">
        <f>'BS_CR '!AA178</f>
        <v>900</v>
      </c>
      <c r="D27" s="988">
        <f>'BS_CR '!AA268</f>
        <v>0</v>
      </c>
      <c r="E27" s="988"/>
      <c r="F27" s="988">
        <f t="shared" si="0"/>
        <v>900</v>
      </c>
    </row>
    <row r="28" spans="1:9" ht="32.25" customHeight="1" x14ac:dyDescent="0.2">
      <c r="A28" s="1216"/>
      <c r="B28" s="987" t="str">
        <f>'BS_CR '!AB188</f>
        <v>Supervisión de Proyectos</v>
      </c>
      <c r="C28" s="988">
        <f>'BS_CR '!AB178</f>
        <v>0</v>
      </c>
      <c r="D28" s="988">
        <f>'BS_CR '!AB268</f>
        <v>0</v>
      </c>
      <c r="E28" s="988"/>
      <c r="F28" s="988">
        <f t="shared" si="0"/>
        <v>0</v>
      </c>
    </row>
    <row r="29" spans="1:9" x14ac:dyDescent="0.2">
      <c r="A29" s="1216"/>
      <c r="B29" s="987" t="str">
        <f>'BS_CR '!AC188</f>
        <v>Diseño y Ejecución de Proyectos</v>
      </c>
      <c r="C29" s="988">
        <f>'BS_CR '!AC178</f>
        <v>59200</v>
      </c>
      <c r="D29" s="988">
        <f>'BS_CR '!AC268</f>
        <v>0</v>
      </c>
      <c r="E29" s="988">
        <f>Egre0304!C22+Egre0304!C19</f>
        <v>164393.74</v>
      </c>
      <c r="F29" s="988">
        <f t="shared" si="0"/>
        <v>223593.74</v>
      </c>
    </row>
    <row r="30" spans="1:9" x14ac:dyDescent="0.2">
      <c r="A30" s="1216"/>
      <c r="B30" s="987" t="str">
        <f>'BS_CR '!AD188</f>
        <v>Unidad de PINA</v>
      </c>
      <c r="C30" s="988">
        <f>'BS_CR '!AD178</f>
        <v>12600</v>
      </c>
      <c r="D30" s="988">
        <f>'BS_CR '!AD268</f>
        <v>0</v>
      </c>
      <c r="E30" s="988">
        <f>Egre0304!C44</f>
        <v>8000</v>
      </c>
      <c r="F30" s="988">
        <f t="shared" si="0"/>
        <v>20600</v>
      </c>
    </row>
    <row r="31" spans="1:9" x14ac:dyDescent="0.2">
      <c r="A31" s="1216"/>
      <c r="B31" s="987" t="str">
        <f>'BS_CR '!AE188</f>
        <v>Medio Ambiente y Gestión de Riesgos</v>
      </c>
      <c r="C31" s="988">
        <f>'BS_CR '!AE178</f>
        <v>37150</v>
      </c>
      <c r="D31" s="988">
        <f>'BS_CR '!AE268</f>
        <v>0</v>
      </c>
      <c r="E31" s="988">
        <f>Egre0304!C58</f>
        <v>10846</v>
      </c>
      <c r="F31" s="988">
        <f t="shared" si="0"/>
        <v>47996</v>
      </c>
    </row>
    <row r="32" spans="1:9" x14ac:dyDescent="0.2">
      <c r="A32" s="1216"/>
      <c r="B32" s="987" t="str">
        <f>'BS_CR '!AF188</f>
        <v>Unidad Agropecuaria</v>
      </c>
      <c r="C32" s="988">
        <f>'BS_CR '!AF178</f>
        <v>22860</v>
      </c>
      <c r="D32" s="988">
        <f>'BS_CR '!AF268</f>
        <v>0</v>
      </c>
      <c r="E32" s="988"/>
      <c r="F32" s="988">
        <f t="shared" si="0"/>
        <v>22860</v>
      </c>
    </row>
    <row r="33" spans="1:10" x14ac:dyDescent="0.2">
      <c r="A33" s="1216"/>
      <c r="B33" s="987" t="str">
        <f>'BS_CR '!AG97</f>
        <v>Unidad de la Mujer</v>
      </c>
      <c r="C33" s="988">
        <f>'BS_CR '!AG178</f>
        <v>0</v>
      </c>
      <c r="D33" s="988">
        <f>'BS_CR '!AG268</f>
        <v>0</v>
      </c>
      <c r="E33" s="988">
        <f>Egre0304!C42</f>
        <v>13460</v>
      </c>
      <c r="F33" s="988">
        <f t="shared" si="0"/>
        <v>13460</v>
      </c>
    </row>
    <row r="34" spans="1:10" ht="25.5" x14ac:dyDescent="0.2">
      <c r="A34" s="1216"/>
      <c r="B34" s="1087" t="s">
        <v>973</v>
      </c>
      <c r="C34" s="988">
        <f>'BS_CR '!AI87</f>
        <v>965</v>
      </c>
      <c r="D34" s="988"/>
      <c r="E34" s="988"/>
      <c r="F34" s="988"/>
    </row>
    <row r="35" spans="1:10" ht="20.25" customHeight="1" x14ac:dyDescent="0.2">
      <c r="A35" s="1217"/>
      <c r="B35" s="987" t="s">
        <v>849</v>
      </c>
      <c r="C35" s="988">
        <v>0</v>
      </c>
      <c r="D35" s="988">
        <v>0</v>
      </c>
      <c r="E35" s="988">
        <f>Egre0304!C39+Egre0304!C43+Egre0304!C40</f>
        <v>37260.26</v>
      </c>
      <c r="F35" s="988">
        <f t="shared" si="0"/>
        <v>37260.26</v>
      </c>
    </row>
    <row r="36" spans="1:10" ht="19.5" customHeight="1" x14ac:dyDescent="0.2">
      <c r="A36" s="1212" t="s">
        <v>825</v>
      </c>
      <c r="B36" s="989" t="str">
        <f>'BS_CR '!AN188</f>
        <v>Servicios Generales</v>
      </c>
      <c r="C36" s="990">
        <f>'BS_CR '!AN178</f>
        <v>23000</v>
      </c>
      <c r="D36" s="990">
        <f>'BS_CR '!AN268</f>
        <v>87000</v>
      </c>
      <c r="E36" s="990"/>
      <c r="F36" s="990">
        <f t="shared" si="0"/>
        <v>110000</v>
      </c>
    </row>
    <row r="37" spans="1:10" ht="23.25" customHeight="1" x14ac:dyDescent="0.2">
      <c r="A37" s="1212"/>
      <c r="B37" s="989" t="str">
        <f>'BS_CR '!AO188</f>
        <v>Bodega municipal</v>
      </c>
      <c r="C37" s="990">
        <f>'BS_CR '!AO178</f>
        <v>14500</v>
      </c>
      <c r="D37" s="990">
        <f>'BS_CR '!AO268</f>
        <v>0</v>
      </c>
      <c r="E37" s="990"/>
      <c r="F37" s="990">
        <f t="shared" si="0"/>
        <v>14500</v>
      </c>
    </row>
    <row r="38" spans="1:10" ht="24" customHeight="1" x14ac:dyDescent="0.2">
      <c r="A38" s="1212"/>
      <c r="B38" s="989" t="str">
        <f>'BS_CR '!AP188</f>
        <v>Regsitro del Estado Familiar</v>
      </c>
      <c r="C38" s="990">
        <f>'BS_CR '!AP178</f>
        <v>11454.9</v>
      </c>
      <c r="D38" s="990">
        <f>'BS_CR '!AP268</f>
        <v>0</v>
      </c>
      <c r="E38" s="990"/>
      <c r="F38" s="990">
        <f t="shared" si="0"/>
        <v>11454.9</v>
      </c>
    </row>
    <row r="39" spans="1:10" x14ac:dyDescent="0.2">
      <c r="A39" s="1212" t="s">
        <v>826</v>
      </c>
      <c r="B39" s="991" t="str">
        <f>'BS_CR '!AU188</f>
        <v>Mercado Municipal</v>
      </c>
      <c r="C39" s="992">
        <f>'BS_CR '!AU178</f>
        <v>3362.5</v>
      </c>
      <c r="D39" s="992">
        <f>'BS_CR '!AU268</f>
        <v>0</v>
      </c>
      <c r="E39" s="992"/>
      <c r="F39" s="992">
        <f t="shared" si="0"/>
        <v>3362.5</v>
      </c>
    </row>
    <row r="40" spans="1:10" x14ac:dyDescent="0.2">
      <c r="A40" s="1212"/>
      <c r="B40" s="991" t="str">
        <f>'BS_CR '!AW188</f>
        <v>Alumbrado Público</v>
      </c>
      <c r="C40" s="992">
        <f>'BS_CR '!AW178</f>
        <v>84576.47</v>
      </c>
      <c r="D40" s="992">
        <f>'BS_CR '!AW268</f>
        <v>26999.53</v>
      </c>
      <c r="E40" s="992"/>
      <c r="F40" s="992">
        <f t="shared" si="0"/>
        <v>111576</v>
      </c>
    </row>
    <row r="41" spans="1:10" ht="25.5" x14ac:dyDescent="0.2">
      <c r="A41" s="1212"/>
      <c r="B41" s="991" t="str">
        <f>'BS_CR '!AX188</f>
        <v>Aseo y Administracion de Servicios Diversos</v>
      </c>
      <c r="C41" s="992">
        <f>'BS_CR '!AX178</f>
        <v>14497.56</v>
      </c>
      <c r="D41" s="992">
        <f>'BS_CR '!AX268</f>
        <v>414000</v>
      </c>
      <c r="E41" s="992"/>
      <c r="F41" s="992">
        <f t="shared" si="0"/>
        <v>428497.56</v>
      </c>
      <c r="I41" s="984"/>
      <c r="J41" s="984"/>
    </row>
    <row r="42" spans="1:10" x14ac:dyDescent="0.2">
      <c r="A42" s="1212"/>
      <c r="B42" s="991" t="str">
        <f>'BS_CR '!AY188</f>
        <v>Administración de Proyectos de Agua</v>
      </c>
      <c r="C42" s="992">
        <f>'BS_CR '!AY178</f>
        <v>49490.02</v>
      </c>
      <c r="D42" s="992">
        <f>'BS_CR '!AY268</f>
        <v>0</v>
      </c>
      <c r="E42" s="992"/>
      <c r="F42" s="992">
        <f t="shared" si="0"/>
        <v>49490.02</v>
      </c>
      <c r="I42" s="984"/>
    </row>
    <row r="43" spans="1:10" x14ac:dyDescent="0.2">
      <c r="A43" s="1212"/>
      <c r="B43" s="991" t="str">
        <f>'BS_CR '!AZ188</f>
        <v>Cuerpo de Agentes Municipales</v>
      </c>
      <c r="C43" s="992">
        <f>'BS_CR '!AZ178</f>
        <v>5800</v>
      </c>
      <c r="D43" s="992">
        <f>'BS_CR '!AZ268</f>
        <v>0</v>
      </c>
      <c r="E43" s="992"/>
      <c r="F43" s="992">
        <f t="shared" si="0"/>
        <v>5800</v>
      </c>
    </row>
    <row r="44" spans="1:10" ht="17.25" customHeight="1" x14ac:dyDescent="0.2">
      <c r="A44" s="1212"/>
      <c r="B44" s="991" t="str">
        <f>'BS_CR '!BA97</f>
        <v>Parqueo Municipal 1a categoria</v>
      </c>
      <c r="C44" s="992">
        <f>'BS_CR '!BA178</f>
        <v>15340</v>
      </c>
      <c r="D44" s="992">
        <f>'BS_CR '!BA268</f>
        <v>0</v>
      </c>
      <c r="E44" s="992"/>
      <c r="F44" s="992">
        <f>SUM(C44:E44)</f>
        <v>15340</v>
      </c>
    </row>
    <row r="45" spans="1:10" x14ac:dyDescent="0.2">
      <c r="A45" s="993"/>
      <c r="B45" s="994" t="s">
        <v>83</v>
      </c>
      <c r="C45" s="995">
        <f>SUM(C7:C44)</f>
        <v>719652.57000000007</v>
      </c>
      <c r="D45" s="995">
        <f>SUM(D7:D44)</f>
        <v>779321.98</v>
      </c>
      <c r="E45" s="995">
        <f>SUM(E7:E44)</f>
        <v>1273809.2</v>
      </c>
      <c r="F45" s="995">
        <f>SUM(C45:E45)</f>
        <v>2772783.75</v>
      </c>
    </row>
    <row r="46" spans="1:10" x14ac:dyDescent="0.2">
      <c r="A46" s="993"/>
      <c r="B46" s="994" t="s">
        <v>821</v>
      </c>
      <c r="C46" s="995">
        <f>Res_Nom_FF!I35</f>
        <v>1895512.13</v>
      </c>
      <c r="D46" s="995">
        <v>0</v>
      </c>
      <c r="E46" s="995"/>
      <c r="F46" s="995">
        <f t="shared" si="0"/>
        <v>1895512.13</v>
      </c>
      <c r="H46" s="984"/>
    </row>
    <row r="47" spans="1:10" ht="25.5" x14ac:dyDescent="0.2">
      <c r="A47" s="993"/>
      <c r="B47" s="994" t="s">
        <v>822</v>
      </c>
      <c r="C47" s="995">
        <f>C46+C45</f>
        <v>2615164.7000000002</v>
      </c>
      <c r="D47" s="995">
        <f>D46+D45</f>
        <v>779321.98</v>
      </c>
      <c r="E47" s="995">
        <f>E46+E45</f>
        <v>1273809.2</v>
      </c>
      <c r="F47" s="995">
        <f>F46+F45</f>
        <v>4668295.88</v>
      </c>
      <c r="G47" s="1113"/>
    </row>
    <row r="48" spans="1:10" x14ac:dyDescent="0.2">
      <c r="B48" s="939"/>
      <c r="C48" s="984"/>
      <c r="D48" s="984"/>
      <c r="E48" s="984"/>
      <c r="F48" s="984">
        <f>SUM(C48:E48)</f>
        <v>0</v>
      </c>
      <c r="G48" s="984"/>
    </row>
    <row r="49" spans="2:6" x14ac:dyDescent="0.2">
      <c r="B49" s="939"/>
      <c r="C49" s="984"/>
      <c r="D49" s="984"/>
      <c r="E49" s="984"/>
      <c r="F49" s="984">
        <f t="shared" si="0"/>
        <v>0</v>
      </c>
    </row>
    <row r="50" spans="2:6" x14ac:dyDescent="0.2">
      <c r="B50" s="939"/>
      <c r="C50" s="984"/>
      <c r="D50" s="984"/>
      <c r="E50" s="984"/>
      <c r="F50" s="984">
        <f t="shared" si="0"/>
        <v>0</v>
      </c>
    </row>
    <row r="51" spans="2:6" x14ac:dyDescent="0.2">
      <c r="B51" s="939"/>
      <c r="C51" s="984"/>
      <c r="D51" s="984"/>
      <c r="E51" s="984"/>
      <c r="F51" s="984">
        <f t="shared" si="0"/>
        <v>0</v>
      </c>
    </row>
    <row r="52" spans="2:6" x14ac:dyDescent="0.2">
      <c r="B52" s="939"/>
      <c r="C52" s="984"/>
      <c r="D52" s="984"/>
      <c r="E52" s="984"/>
      <c r="F52" s="984">
        <f t="shared" si="0"/>
        <v>0</v>
      </c>
    </row>
    <row r="53" spans="2:6" x14ac:dyDescent="0.2">
      <c r="C53" s="984"/>
      <c r="D53" s="984"/>
      <c r="E53" s="984"/>
      <c r="F53" s="984"/>
    </row>
    <row r="54" spans="2:6" x14ac:dyDescent="0.2">
      <c r="C54" s="984"/>
      <c r="D54" s="984"/>
      <c r="E54" s="984"/>
      <c r="F54" s="984"/>
    </row>
    <row r="55" spans="2:6" x14ac:dyDescent="0.2">
      <c r="C55" s="984"/>
      <c r="D55" s="984"/>
      <c r="E55" s="984"/>
      <c r="F55" s="984"/>
    </row>
    <row r="56" spans="2:6" x14ac:dyDescent="0.2">
      <c r="C56" s="984"/>
      <c r="D56" s="984"/>
      <c r="E56" s="984"/>
      <c r="F56" s="984"/>
    </row>
    <row r="57" spans="2:6" x14ac:dyDescent="0.2">
      <c r="C57" s="984"/>
      <c r="D57" s="984"/>
      <c r="E57" s="984"/>
      <c r="F57" s="984"/>
    </row>
    <row r="58" spans="2:6" x14ac:dyDescent="0.2">
      <c r="C58" s="984"/>
      <c r="D58" s="984"/>
      <c r="E58" s="984"/>
      <c r="F58" s="984"/>
    </row>
    <row r="59" spans="2:6" x14ac:dyDescent="0.2">
      <c r="C59" s="984"/>
      <c r="D59" s="984"/>
      <c r="E59" s="984"/>
      <c r="F59" s="984"/>
    </row>
    <row r="60" spans="2:6" x14ac:dyDescent="0.2">
      <c r="C60" s="984"/>
      <c r="D60" s="984"/>
      <c r="E60" s="984"/>
      <c r="F60" s="984"/>
    </row>
    <row r="61" spans="2:6" x14ac:dyDescent="0.2">
      <c r="C61" s="984"/>
      <c r="D61" s="984"/>
      <c r="E61" s="984"/>
      <c r="F61" s="984"/>
    </row>
    <row r="62" spans="2:6" x14ac:dyDescent="0.2">
      <c r="C62" s="984"/>
      <c r="D62" s="984"/>
      <c r="E62" s="984"/>
      <c r="F62" s="984"/>
    </row>
    <row r="63" spans="2:6" x14ac:dyDescent="0.2">
      <c r="C63" s="984"/>
      <c r="D63" s="984"/>
      <c r="E63" s="984"/>
      <c r="F63" s="984"/>
    </row>
    <row r="64" spans="2:6" x14ac:dyDescent="0.2">
      <c r="C64" s="984"/>
      <c r="D64" s="984"/>
      <c r="E64" s="984"/>
      <c r="F64" s="984"/>
    </row>
    <row r="65" spans="3:6" x14ac:dyDescent="0.2">
      <c r="C65" s="984"/>
      <c r="D65" s="984"/>
      <c r="E65" s="984"/>
      <c r="F65" s="984"/>
    </row>
    <row r="66" spans="3:6" x14ac:dyDescent="0.2">
      <c r="C66" s="984"/>
      <c r="D66" s="984"/>
      <c r="E66" s="984"/>
      <c r="F66" s="984"/>
    </row>
    <row r="67" spans="3:6" x14ac:dyDescent="0.2">
      <c r="C67" s="984"/>
      <c r="D67" s="984"/>
      <c r="E67" s="984"/>
      <c r="F67" s="984"/>
    </row>
    <row r="68" spans="3:6" x14ac:dyDescent="0.2">
      <c r="C68" s="984"/>
      <c r="D68" s="984"/>
      <c r="E68" s="984"/>
      <c r="F68" s="984"/>
    </row>
    <row r="69" spans="3:6" x14ac:dyDescent="0.2">
      <c r="C69" s="984"/>
      <c r="D69" s="984"/>
      <c r="E69" s="984"/>
      <c r="F69" s="984"/>
    </row>
    <row r="70" spans="3:6" x14ac:dyDescent="0.2">
      <c r="C70" s="984"/>
      <c r="D70" s="984"/>
      <c r="E70" s="984"/>
      <c r="F70" s="984"/>
    </row>
    <row r="71" spans="3:6" x14ac:dyDescent="0.2">
      <c r="C71" s="984"/>
      <c r="D71" s="984"/>
      <c r="E71" s="984"/>
      <c r="F71" s="984"/>
    </row>
    <row r="72" spans="3:6" x14ac:dyDescent="0.2">
      <c r="C72" s="984"/>
      <c r="D72" s="984"/>
      <c r="E72" s="984"/>
      <c r="F72" s="984"/>
    </row>
    <row r="73" spans="3:6" x14ac:dyDescent="0.2">
      <c r="C73" s="984"/>
      <c r="D73" s="984"/>
      <c r="E73" s="984"/>
      <c r="F73" s="984"/>
    </row>
  </sheetData>
  <mergeCells count="11">
    <mergeCell ref="A1:F1"/>
    <mergeCell ref="A4:F4"/>
    <mergeCell ref="A2:F2"/>
    <mergeCell ref="A3:F3"/>
    <mergeCell ref="A39:A44"/>
    <mergeCell ref="A5:B6"/>
    <mergeCell ref="F5:F6"/>
    <mergeCell ref="C5:E5"/>
    <mergeCell ref="A7:A17"/>
    <mergeCell ref="A36:A38"/>
    <mergeCell ref="A18:A35"/>
  </mergeCells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2"/>
  <dimension ref="A1:R191"/>
  <sheetViews>
    <sheetView showGridLines="0" topLeftCell="A25" zoomScale="136" zoomScaleNormal="136" workbookViewId="0">
      <selection activeCell="D115" sqref="D115"/>
    </sheetView>
  </sheetViews>
  <sheetFormatPr baseColWidth="10" defaultColWidth="11.42578125" defaultRowHeight="12.75" x14ac:dyDescent="0.2"/>
  <cols>
    <col min="1" max="1" width="7" style="30" customWidth="1"/>
    <col min="2" max="2" width="38.42578125" style="30" customWidth="1"/>
    <col min="3" max="3" width="12.7109375" style="30" customWidth="1"/>
    <col min="4" max="4" width="13.5703125" style="30" customWidth="1"/>
    <col min="5" max="5" width="9.28515625" style="30" customWidth="1"/>
    <col min="6" max="6" width="9.42578125" style="30" customWidth="1"/>
    <col min="7" max="7" width="8" style="30" customWidth="1"/>
    <col min="8" max="9" width="13.5703125" style="30" bestFit="1" customWidth="1"/>
    <col min="10" max="16384" width="11.42578125" style="30"/>
  </cols>
  <sheetData>
    <row r="1" spans="1:18" x14ac:dyDescent="0.2">
      <c r="A1" s="1222" t="s">
        <v>92</v>
      </c>
      <c r="B1" s="1222"/>
      <c r="C1" s="1222"/>
      <c r="D1" s="1222"/>
      <c r="E1" s="1222"/>
      <c r="F1" s="1222"/>
      <c r="G1" s="1222"/>
      <c r="H1" s="1222"/>
    </row>
    <row r="2" spans="1:18" x14ac:dyDescent="0.2">
      <c r="A2" s="1222" t="s">
        <v>93</v>
      </c>
      <c r="B2" s="1222"/>
      <c r="C2" s="1222"/>
      <c r="D2" s="1222"/>
      <c r="E2" s="1222"/>
      <c r="F2" s="1222"/>
      <c r="G2" s="1222"/>
      <c r="H2" s="1222"/>
    </row>
    <row r="3" spans="1:18" x14ac:dyDescent="0.2">
      <c r="A3" s="1191" t="s">
        <v>72</v>
      </c>
      <c r="B3" s="1191"/>
      <c r="C3" s="1191"/>
      <c r="D3" s="1191"/>
      <c r="E3" s="1191"/>
      <c r="F3" s="1191"/>
      <c r="G3" s="1191"/>
      <c r="H3" s="1191"/>
    </row>
    <row r="4" spans="1:18" x14ac:dyDescent="0.2">
      <c r="A4" s="61" t="s">
        <v>483</v>
      </c>
      <c r="B4" s="277"/>
      <c r="C4" s="277"/>
      <c r="D4" s="277"/>
      <c r="E4" s="48"/>
      <c r="F4" s="48"/>
      <c r="G4" s="48"/>
      <c r="H4" s="48"/>
    </row>
    <row r="5" spans="1:18" x14ac:dyDescent="0.2">
      <c r="A5" s="61" t="s">
        <v>953</v>
      </c>
      <c r="B5" s="277"/>
      <c r="C5" s="277"/>
      <c r="D5" s="277"/>
      <c r="E5" s="48"/>
      <c r="F5" s="48"/>
      <c r="G5" s="48"/>
      <c r="H5" s="48"/>
    </row>
    <row r="6" spans="1:18" x14ac:dyDescent="0.2">
      <c r="A6" s="61" t="s">
        <v>216</v>
      </c>
      <c r="B6" s="277"/>
      <c r="C6" s="277"/>
      <c r="D6" s="277"/>
      <c r="E6" s="48"/>
      <c r="F6" s="48"/>
      <c r="G6" s="48"/>
      <c r="H6" s="48"/>
    </row>
    <row r="7" spans="1:18" x14ac:dyDescent="0.2">
      <c r="A7" s="61" t="s">
        <v>215</v>
      </c>
      <c r="B7" s="277"/>
      <c r="C7" s="277"/>
      <c r="D7" s="277"/>
      <c r="E7" s="48"/>
      <c r="F7" s="48"/>
      <c r="G7" s="48"/>
      <c r="H7" s="48"/>
    </row>
    <row r="8" spans="1:18" ht="13.5" thickBot="1" x14ac:dyDescent="0.25">
      <c r="A8" s="61" t="s">
        <v>465</v>
      </c>
      <c r="B8" s="277"/>
      <c r="C8" s="277"/>
      <c r="D8" s="277"/>
      <c r="E8" s="48"/>
      <c r="F8" s="48"/>
      <c r="G8" s="48"/>
      <c r="H8" s="48"/>
    </row>
    <row r="9" spans="1:18" ht="13.5" thickTop="1" x14ac:dyDescent="0.2">
      <c r="A9" s="1223" t="s">
        <v>95</v>
      </c>
      <c r="B9" s="1224"/>
      <c r="C9" s="1218" t="s">
        <v>96</v>
      </c>
      <c r="D9" s="1218"/>
      <c r="E9" s="1218"/>
      <c r="F9" s="1218"/>
      <c r="G9" s="1219"/>
      <c r="H9" s="1220" t="s">
        <v>31</v>
      </c>
    </row>
    <row r="10" spans="1:18" ht="45.75" thickBot="1" x14ac:dyDescent="0.25">
      <c r="A10" s="278" t="s">
        <v>97</v>
      </c>
      <c r="B10" s="279" t="s">
        <v>98</v>
      </c>
      <c r="C10" s="280" t="s">
        <v>782</v>
      </c>
      <c r="D10" s="280" t="s">
        <v>181</v>
      </c>
      <c r="E10" s="280" t="s">
        <v>135</v>
      </c>
      <c r="F10" s="280" t="s">
        <v>136</v>
      </c>
      <c r="G10" s="280" t="s">
        <v>54</v>
      </c>
      <c r="H10" s="1221"/>
    </row>
    <row r="11" spans="1:18" x14ac:dyDescent="0.2">
      <c r="A11" s="281">
        <v>54</v>
      </c>
      <c r="B11" s="282" t="s">
        <v>107</v>
      </c>
      <c r="C11" s="582">
        <f t="shared" ref="C11:H11" si="0">C12+C33+C38+C53+C58</f>
        <v>198545.05</v>
      </c>
      <c r="D11" s="582">
        <f t="shared" si="0"/>
        <v>56879.12</v>
      </c>
      <c r="E11" s="582">
        <f t="shared" si="0"/>
        <v>0</v>
      </c>
      <c r="F11" s="582">
        <f t="shared" si="0"/>
        <v>0</v>
      </c>
      <c r="G11" s="582">
        <f t="shared" si="0"/>
        <v>0</v>
      </c>
      <c r="H11" s="603">
        <f t="shared" si="0"/>
        <v>255424.16999999998</v>
      </c>
    </row>
    <row r="12" spans="1:18" x14ac:dyDescent="0.2">
      <c r="A12" s="283">
        <v>541</v>
      </c>
      <c r="B12" s="73" t="s">
        <v>108</v>
      </c>
      <c r="C12" s="604">
        <f t="shared" ref="C12:H12" si="1">SUM(C13:C32)</f>
        <v>0</v>
      </c>
      <c r="D12" s="604">
        <f>SUM(D13:D32)</f>
        <v>21865.9</v>
      </c>
      <c r="E12" s="604">
        <f t="shared" si="1"/>
        <v>0</v>
      </c>
      <c r="F12" s="604">
        <f t="shared" si="1"/>
        <v>0</v>
      </c>
      <c r="G12" s="604">
        <f t="shared" si="1"/>
        <v>0</v>
      </c>
      <c r="H12" s="605">
        <f t="shared" si="1"/>
        <v>21865.9</v>
      </c>
    </row>
    <row r="13" spans="1:18" x14ac:dyDescent="0.2">
      <c r="A13" s="284">
        <v>54101</v>
      </c>
      <c r="B13" s="81" t="s">
        <v>291</v>
      </c>
      <c r="C13" s="583">
        <f>'BS_CR '!N191</f>
        <v>0</v>
      </c>
      <c r="D13" s="583">
        <f>'BS_CR '!N100</f>
        <v>6650</v>
      </c>
      <c r="E13" s="583"/>
      <c r="F13" s="583"/>
      <c r="G13" s="583"/>
      <c r="H13" s="606">
        <f>SUM(C13:G13)</f>
        <v>6650</v>
      </c>
      <c r="I13" s="43"/>
      <c r="J13" s="43"/>
      <c r="K13" s="43"/>
      <c r="L13" s="43"/>
      <c r="M13" s="43"/>
      <c r="O13" s="43"/>
      <c r="P13" s="43"/>
      <c r="Q13" s="43"/>
      <c r="R13" s="43"/>
    </row>
    <row r="14" spans="1:18" x14ac:dyDescent="0.2">
      <c r="A14" s="284">
        <v>54103</v>
      </c>
      <c r="B14" s="81" t="s">
        <v>292</v>
      </c>
      <c r="C14" s="583">
        <f>'BS_CR '!N193</f>
        <v>0</v>
      </c>
      <c r="D14" s="583">
        <f>'BS_CR '!N102</f>
        <v>0</v>
      </c>
      <c r="E14" s="583"/>
      <c r="F14" s="583"/>
      <c r="G14" s="583"/>
      <c r="H14" s="606">
        <f t="shared" ref="H14:H32" si="2">SUM(C14:G14)</f>
        <v>0</v>
      </c>
      <c r="J14" s="43"/>
      <c r="K14" s="43"/>
      <c r="L14" s="43"/>
      <c r="M14" s="43"/>
      <c r="O14" s="43"/>
      <c r="P14" s="43"/>
      <c r="Q14" s="43"/>
      <c r="R14" s="43"/>
    </row>
    <row r="15" spans="1:18" x14ac:dyDescent="0.2">
      <c r="A15" s="284">
        <v>54104</v>
      </c>
      <c r="B15" s="81" t="s">
        <v>293</v>
      </c>
      <c r="C15" s="583">
        <f>'BS_CR '!N194</f>
        <v>0</v>
      </c>
      <c r="D15" s="583">
        <f>'BS_CR '!N103</f>
        <v>0</v>
      </c>
      <c r="E15" s="583"/>
      <c r="F15" s="583"/>
      <c r="G15" s="583"/>
      <c r="H15" s="606">
        <f t="shared" si="2"/>
        <v>0</v>
      </c>
      <c r="J15" s="43"/>
      <c r="K15" s="43"/>
      <c r="L15" s="43"/>
      <c r="M15" s="43"/>
      <c r="O15" s="43"/>
      <c r="P15" s="43"/>
      <c r="Q15" s="43"/>
      <c r="R15" s="43"/>
    </row>
    <row r="16" spans="1:18" x14ac:dyDescent="0.2">
      <c r="A16" s="284">
        <v>54105</v>
      </c>
      <c r="B16" s="81" t="s">
        <v>294</v>
      </c>
      <c r="C16" s="583">
        <f>'BS_CR '!N195</f>
        <v>0</v>
      </c>
      <c r="D16" s="583">
        <f>'BS_CR '!N104</f>
        <v>425</v>
      </c>
      <c r="E16" s="607"/>
      <c r="F16" s="607"/>
      <c r="G16" s="607"/>
      <c r="H16" s="606">
        <f t="shared" si="2"/>
        <v>425</v>
      </c>
      <c r="J16" s="43"/>
      <c r="K16" s="43"/>
      <c r="L16" s="43"/>
      <c r="M16" s="43"/>
      <c r="O16" s="43"/>
      <c r="P16" s="43"/>
      <c r="Q16" s="43"/>
      <c r="R16" s="43"/>
    </row>
    <row r="17" spans="1:18" x14ac:dyDescent="0.2">
      <c r="A17" s="284">
        <v>54106</v>
      </c>
      <c r="B17" s="81" t="s">
        <v>295</v>
      </c>
      <c r="C17" s="583">
        <f>'BS_CR '!N196</f>
        <v>0</v>
      </c>
      <c r="D17" s="583">
        <f>'BS_CR '!N105</f>
        <v>45</v>
      </c>
      <c r="E17" s="583"/>
      <c r="F17" s="583"/>
      <c r="G17" s="583"/>
      <c r="H17" s="606">
        <f t="shared" si="2"/>
        <v>45</v>
      </c>
      <c r="J17" s="43"/>
      <c r="K17" s="43"/>
      <c r="L17" s="43"/>
      <c r="M17" s="43"/>
      <c r="O17" s="43"/>
      <c r="P17" s="43"/>
      <c r="Q17" s="43"/>
      <c r="R17" s="43"/>
    </row>
    <row r="18" spans="1:18" x14ac:dyDescent="0.2">
      <c r="A18" s="284">
        <v>54107</v>
      </c>
      <c r="B18" s="81" t="s">
        <v>296</v>
      </c>
      <c r="C18" s="583">
        <f>'BS_CR '!N197</f>
        <v>0</v>
      </c>
      <c r="D18" s="583">
        <f>'BS_CR '!N106</f>
        <v>315</v>
      </c>
      <c r="E18" s="608"/>
      <c r="F18" s="608"/>
      <c r="G18" s="608"/>
      <c r="H18" s="606">
        <f t="shared" si="2"/>
        <v>315</v>
      </c>
      <c r="J18" s="43"/>
      <c r="K18" s="43"/>
      <c r="L18" s="43"/>
      <c r="M18" s="43"/>
      <c r="O18" s="43"/>
      <c r="P18" s="43"/>
      <c r="Q18" s="43"/>
      <c r="R18" s="43"/>
    </row>
    <row r="19" spans="1:18" x14ac:dyDescent="0.2">
      <c r="A19" s="284">
        <v>54108</v>
      </c>
      <c r="B19" s="81" t="s">
        <v>297</v>
      </c>
      <c r="C19" s="583">
        <f>'BS_CR '!N198</f>
        <v>0</v>
      </c>
      <c r="D19" s="583">
        <f>'BS_CR '!N107</f>
        <v>0</v>
      </c>
      <c r="E19" s="608"/>
      <c r="F19" s="608"/>
      <c r="G19" s="608"/>
      <c r="H19" s="606">
        <f t="shared" si="2"/>
        <v>0</v>
      </c>
      <c r="J19" s="43"/>
      <c r="K19" s="43"/>
      <c r="L19" s="43"/>
      <c r="M19" s="43"/>
      <c r="O19" s="43"/>
      <c r="P19" s="43"/>
      <c r="Q19" s="43"/>
      <c r="R19" s="43"/>
    </row>
    <row r="20" spans="1:18" x14ac:dyDescent="0.2">
      <c r="A20" s="284">
        <v>54109</v>
      </c>
      <c r="B20" s="81" t="s">
        <v>298</v>
      </c>
      <c r="C20" s="583">
        <f>'BS_CR '!N199</f>
        <v>0</v>
      </c>
      <c r="D20" s="583">
        <f>'BS_CR '!N108</f>
        <v>0</v>
      </c>
      <c r="E20" s="608"/>
      <c r="F20" s="608"/>
      <c r="G20" s="608"/>
      <c r="H20" s="606">
        <f t="shared" si="2"/>
        <v>0</v>
      </c>
      <c r="J20" s="43"/>
      <c r="K20" s="43"/>
      <c r="L20" s="43"/>
      <c r="M20" s="43"/>
      <c r="O20" s="43"/>
      <c r="P20" s="43"/>
      <c r="Q20" s="43"/>
      <c r="R20" s="43"/>
    </row>
    <row r="21" spans="1:18" x14ac:dyDescent="0.2">
      <c r="A21" s="284">
        <v>54110</v>
      </c>
      <c r="B21" s="81" t="s">
        <v>309</v>
      </c>
      <c r="C21" s="583">
        <f>'BS_CR '!N200</f>
        <v>0</v>
      </c>
      <c r="D21" s="583">
        <f>'BS_CR '!N109</f>
        <v>0</v>
      </c>
      <c r="E21" s="608"/>
      <c r="F21" s="608"/>
      <c r="G21" s="608"/>
      <c r="H21" s="606">
        <f t="shared" si="2"/>
        <v>0</v>
      </c>
      <c r="J21" s="43"/>
      <c r="K21" s="43"/>
      <c r="L21" s="43"/>
      <c r="M21" s="43"/>
      <c r="O21" s="43"/>
      <c r="P21" s="43"/>
      <c r="Q21" s="43"/>
      <c r="R21" s="43"/>
    </row>
    <row r="22" spans="1:18" x14ac:dyDescent="0.2">
      <c r="A22" s="284">
        <v>54111</v>
      </c>
      <c r="B22" s="81" t="s">
        <v>299</v>
      </c>
      <c r="C22" s="583">
        <f>'BS_CR '!N201</f>
        <v>0</v>
      </c>
      <c r="D22" s="583">
        <f>'BS_CR '!N110</f>
        <v>0</v>
      </c>
      <c r="E22" s="608"/>
      <c r="F22" s="608"/>
      <c r="G22" s="608"/>
      <c r="H22" s="606">
        <f t="shared" si="2"/>
        <v>0</v>
      </c>
      <c r="J22" s="43"/>
      <c r="K22" s="43"/>
      <c r="L22" s="43"/>
      <c r="M22" s="43"/>
      <c r="O22" s="43"/>
      <c r="P22" s="43"/>
      <c r="Q22" s="43"/>
      <c r="R22" s="43"/>
    </row>
    <row r="23" spans="1:18" x14ac:dyDescent="0.2">
      <c r="A23" s="284">
        <v>54112</v>
      </c>
      <c r="B23" s="81" t="s">
        <v>300</v>
      </c>
      <c r="C23" s="583">
        <f>'BS_CR '!N202</f>
        <v>0</v>
      </c>
      <c r="D23" s="583">
        <f>'BS_CR '!N111</f>
        <v>0</v>
      </c>
      <c r="E23" s="608"/>
      <c r="F23" s="608"/>
      <c r="G23" s="608"/>
      <c r="H23" s="606">
        <f t="shared" si="2"/>
        <v>0</v>
      </c>
      <c r="J23" s="43"/>
      <c r="K23" s="43"/>
      <c r="L23" s="43"/>
      <c r="M23" s="43"/>
      <c r="O23" s="43"/>
      <c r="P23" s="43"/>
      <c r="Q23" s="43"/>
      <c r="R23" s="43"/>
    </row>
    <row r="24" spans="1:18" x14ac:dyDescent="0.2">
      <c r="A24" s="284">
        <v>54113</v>
      </c>
      <c r="B24" s="81" t="s">
        <v>923</v>
      </c>
      <c r="C24" s="583"/>
      <c r="D24" s="583">
        <f>'BS_CR '!N112</f>
        <v>0</v>
      </c>
      <c r="E24" s="608"/>
      <c r="F24" s="608"/>
      <c r="G24" s="608"/>
      <c r="H24" s="606">
        <f t="shared" si="2"/>
        <v>0</v>
      </c>
      <c r="J24" s="43"/>
      <c r="K24" s="43"/>
      <c r="L24" s="43"/>
      <c r="M24" s="43"/>
      <c r="O24" s="43"/>
      <c r="P24" s="43"/>
      <c r="Q24" s="43"/>
      <c r="R24" s="43"/>
    </row>
    <row r="25" spans="1:18" x14ac:dyDescent="0.2">
      <c r="A25" s="284">
        <v>54114</v>
      </c>
      <c r="B25" s="81" t="s">
        <v>301</v>
      </c>
      <c r="C25" s="583">
        <f>'BS_CR '!N204</f>
        <v>0</v>
      </c>
      <c r="D25" s="583">
        <f>'BS_CR '!N113</f>
        <v>405</v>
      </c>
      <c r="E25" s="608"/>
      <c r="F25" s="608"/>
      <c r="G25" s="608"/>
      <c r="H25" s="606">
        <f t="shared" si="2"/>
        <v>405</v>
      </c>
      <c r="J25" s="43"/>
      <c r="K25" s="43"/>
      <c r="L25" s="43"/>
      <c r="M25" s="43"/>
      <c r="O25" s="43"/>
      <c r="P25" s="43"/>
      <c r="Q25" s="43"/>
      <c r="R25" s="43"/>
    </row>
    <row r="26" spans="1:18" x14ac:dyDescent="0.2">
      <c r="A26" s="284">
        <v>54115</v>
      </c>
      <c r="B26" s="81" t="s">
        <v>302</v>
      </c>
      <c r="C26" s="583">
        <f>'BS_CR '!N205</f>
        <v>0</v>
      </c>
      <c r="D26" s="583">
        <f>'BS_CR '!N114</f>
        <v>7700.9</v>
      </c>
      <c r="E26" s="608"/>
      <c r="F26" s="608"/>
      <c r="G26" s="608"/>
      <c r="H26" s="606">
        <f t="shared" si="2"/>
        <v>7700.9</v>
      </c>
      <c r="J26" s="43"/>
      <c r="K26" s="43"/>
      <c r="L26" s="43"/>
      <c r="M26" s="43"/>
      <c r="O26" s="43"/>
      <c r="P26" s="43"/>
      <c r="Q26" s="43"/>
      <c r="R26" s="43"/>
    </row>
    <row r="27" spans="1:18" x14ac:dyDescent="0.2">
      <c r="A27" s="284">
        <v>54116</v>
      </c>
      <c r="B27" s="81" t="s">
        <v>303</v>
      </c>
      <c r="C27" s="583">
        <f>'BS_CR '!N206</f>
        <v>0</v>
      </c>
      <c r="D27" s="583">
        <f>'BS_CR '!N115</f>
        <v>0</v>
      </c>
      <c r="E27" s="608"/>
      <c r="F27" s="608"/>
      <c r="G27" s="608"/>
      <c r="H27" s="606">
        <f t="shared" si="2"/>
        <v>0</v>
      </c>
      <c r="J27" s="43"/>
      <c r="K27" s="43"/>
      <c r="L27" s="43"/>
      <c r="M27" s="43"/>
      <c r="O27" s="43"/>
      <c r="P27" s="43"/>
      <c r="Q27" s="43"/>
      <c r="R27" s="43"/>
    </row>
    <row r="28" spans="1:18" x14ac:dyDescent="0.2">
      <c r="A28" s="284">
        <v>54117</v>
      </c>
      <c r="B28" s="81" t="s">
        <v>304</v>
      </c>
      <c r="C28" s="583">
        <f>'BS_CR '!N207</f>
        <v>0</v>
      </c>
      <c r="D28" s="583">
        <f>'BS_CR '!N116</f>
        <v>0</v>
      </c>
      <c r="E28" s="608"/>
      <c r="F28" s="608"/>
      <c r="G28" s="608"/>
      <c r="H28" s="606">
        <f t="shared" si="2"/>
        <v>0</v>
      </c>
      <c r="J28" s="43"/>
      <c r="K28" s="43"/>
      <c r="L28" s="43"/>
      <c r="M28" s="43"/>
      <c r="O28" s="43"/>
      <c r="P28" s="43"/>
      <c r="Q28" s="43"/>
      <c r="R28" s="43"/>
    </row>
    <row r="29" spans="1:18" x14ac:dyDescent="0.2">
      <c r="A29" s="284">
        <v>54118</v>
      </c>
      <c r="B29" s="81" t="s">
        <v>305</v>
      </c>
      <c r="C29" s="583">
        <f>'BS_CR '!N208</f>
        <v>0</v>
      </c>
      <c r="D29" s="583">
        <f>'BS_CR '!N117</f>
        <v>4145</v>
      </c>
      <c r="E29" s="608"/>
      <c r="F29" s="608"/>
      <c r="G29" s="608"/>
      <c r="H29" s="606">
        <f t="shared" si="2"/>
        <v>4145</v>
      </c>
      <c r="J29" s="43"/>
      <c r="K29" s="43"/>
      <c r="L29" s="43"/>
      <c r="M29" s="43"/>
      <c r="O29" s="43"/>
      <c r="P29" s="43"/>
      <c r="Q29" s="43"/>
      <c r="R29" s="43"/>
    </row>
    <row r="30" spans="1:18" x14ac:dyDescent="0.2">
      <c r="A30" s="284">
        <v>54119</v>
      </c>
      <c r="B30" s="81" t="s">
        <v>306</v>
      </c>
      <c r="C30" s="583">
        <f>'BS_CR '!N209</f>
        <v>0</v>
      </c>
      <c r="D30" s="583">
        <f>'BS_CR '!N118</f>
        <v>0</v>
      </c>
      <c r="E30" s="608"/>
      <c r="F30" s="608"/>
      <c r="G30" s="608"/>
      <c r="H30" s="606">
        <f t="shared" si="2"/>
        <v>0</v>
      </c>
      <c r="J30" s="43"/>
      <c r="K30" s="43"/>
      <c r="L30" s="43"/>
      <c r="M30" s="43"/>
      <c r="O30" s="43"/>
      <c r="P30" s="43"/>
      <c r="Q30" s="43"/>
      <c r="R30" s="43"/>
    </row>
    <row r="31" spans="1:18" x14ac:dyDescent="0.2">
      <c r="A31" s="284">
        <v>54121</v>
      </c>
      <c r="B31" s="81" t="s">
        <v>307</v>
      </c>
      <c r="C31" s="583">
        <f>'BS_CR '!N210</f>
        <v>0</v>
      </c>
      <c r="D31" s="583">
        <f>'BS_CR '!N119</f>
        <v>0</v>
      </c>
      <c r="E31" s="608"/>
      <c r="F31" s="608"/>
      <c r="G31" s="608"/>
      <c r="H31" s="606">
        <f t="shared" si="2"/>
        <v>0</v>
      </c>
      <c r="J31" s="43"/>
      <c r="K31" s="43"/>
      <c r="L31" s="43"/>
      <c r="M31" s="43"/>
      <c r="O31" s="43"/>
      <c r="P31" s="43"/>
      <c r="Q31" s="43"/>
      <c r="R31" s="43"/>
    </row>
    <row r="32" spans="1:18" x14ac:dyDescent="0.2">
      <c r="A32" s="284">
        <v>54199</v>
      </c>
      <c r="B32" s="81" t="s">
        <v>308</v>
      </c>
      <c r="C32" s="583">
        <f>'BS_CR '!N211</f>
        <v>0</v>
      </c>
      <c r="D32" s="583">
        <f>'BS_CR '!N120</f>
        <v>2180</v>
      </c>
      <c r="E32" s="608"/>
      <c r="F32" s="608"/>
      <c r="G32" s="608"/>
      <c r="H32" s="606">
        <f t="shared" si="2"/>
        <v>2180</v>
      </c>
      <c r="J32" s="43"/>
      <c r="K32" s="43"/>
      <c r="L32" s="43"/>
      <c r="M32" s="43"/>
      <c r="O32" s="43"/>
      <c r="P32" s="43"/>
      <c r="Q32" s="43"/>
      <c r="R32" s="43"/>
    </row>
    <row r="33" spans="1:18" x14ac:dyDescent="0.2">
      <c r="A33" s="283">
        <v>542</v>
      </c>
      <c r="B33" s="73" t="s">
        <v>109</v>
      </c>
      <c r="C33" s="609">
        <f t="shared" ref="C33:H33" si="3">SUM(C34:C37)</f>
        <v>198545.05</v>
      </c>
      <c r="D33" s="609">
        <f t="shared" si="3"/>
        <v>0</v>
      </c>
      <c r="E33" s="609">
        <f t="shared" si="3"/>
        <v>0</v>
      </c>
      <c r="F33" s="609">
        <f t="shared" si="3"/>
        <v>0</v>
      </c>
      <c r="G33" s="609">
        <f t="shared" si="3"/>
        <v>0</v>
      </c>
      <c r="H33" s="610">
        <f t="shared" si="3"/>
        <v>198545.05</v>
      </c>
      <c r="J33" s="43"/>
      <c r="K33" s="43"/>
      <c r="L33" s="43"/>
      <c r="M33" s="43"/>
      <c r="O33" s="43"/>
      <c r="P33" s="43"/>
      <c r="Q33" s="43"/>
      <c r="R33" s="43"/>
    </row>
    <row r="34" spans="1:18" x14ac:dyDescent="0.2">
      <c r="A34" s="284">
        <v>54201</v>
      </c>
      <c r="B34" s="81" t="s">
        <v>311</v>
      </c>
      <c r="C34" s="583">
        <f>'BS_CR '!N213</f>
        <v>152685.04999999999</v>
      </c>
      <c r="D34" s="583">
        <f>'BS_CR '!N122</f>
        <v>0</v>
      </c>
      <c r="E34" s="608"/>
      <c r="F34" s="608"/>
      <c r="G34" s="608"/>
      <c r="H34" s="606">
        <f t="shared" ref="H34:H80" si="4">SUM(C34:G34)</f>
        <v>152685.04999999999</v>
      </c>
      <c r="J34" s="43"/>
      <c r="K34" s="43"/>
      <c r="L34" s="43"/>
      <c r="M34" s="43"/>
      <c r="O34" s="43"/>
      <c r="P34" s="43"/>
      <c r="Q34" s="43"/>
      <c r="R34" s="43"/>
    </row>
    <row r="35" spans="1:18" x14ac:dyDescent="0.2">
      <c r="A35" s="284">
        <v>54202</v>
      </c>
      <c r="B35" s="81" t="s">
        <v>310</v>
      </c>
      <c r="C35" s="583">
        <f>'BS_CR '!N214</f>
        <v>17500</v>
      </c>
      <c r="D35" s="583">
        <f>'BS_CR '!N123</f>
        <v>0</v>
      </c>
      <c r="E35" s="608"/>
      <c r="F35" s="608"/>
      <c r="G35" s="608"/>
      <c r="H35" s="606">
        <f t="shared" si="4"/>
        <v>17500</v>
      </c>
      <c r="J35" s="43"/>
      <c r="K35" s="43"/>
      <c r="L35" s="43"/>
      <c r="M35" s="43"/>
      <c r="O35" s="43"/>
      <c r="P35" s="43"/>
      <c r="Q35" s="43"/>
      <c r="R35" s="43"/>
    </row>
    <row r="36" spans="1:18" x14ac:dyDescent="0.2">
      <c r="A36" s="284">
        <v>54203</v>
      </c>
      <c r="B36" s="81" t="s">
        <v>312</v>
      </c>
      <c r="C36" s="583">
        <f>'BS_CR '!N215</f>
        <v>27860</v>
      </c>
      <c r="D36" s="583">
        <f>'BS_CR '!N124</f>
        <v>0</v>
      </c>
      <c r="E36" s="608"/>
      <c r="F36" s="608"/>
      <c r="G36" s="608"/>
      <c r="H36" s="606">
        <f t="shared" si="4"/>
        <v>27860</v>
      </c>
      <c r="J36" s="43"/>
      <c r="K36" s="43"/>
      <c r="L36" s="43"/>
      <c r="M36" s="43"/>
      <c r="O36" s="43"/>
      <c r="P36" s="43"/>
      <c r="Q36" s="43"/>
      <c r="R36" s="43"/>
    </row>
    <row r="37" spans="1:18" x14ac:dyDescent="0.2">
      <c r="A37" s="284">
        <v>54204</v>
      </c>
      <c r="B37" s="81" t="s">
        <v>313</v>
      </c>
      <c r="C37" s="583">
        <f>'BS_CR '!N216</f>
        <v>500</v>
      </c>
      <c r="D37" s="583">
        <f>'BS_CR '!N125</f>
        <v>0</v>
      </c>
      <c r="E37" s="608"/>
      <c r="F37" s="608"/>
      <c r="G37" s="608"/>
      <c r="H37" s="606">
        <f t="shared" si="4"/>
        <v>500</v>
      </c>
      <c r="J37" s="43"/>
      <c r="K37" s="43"/>
      <c r="L37" s="43"/>
      <c r="M37" s="43"/>
      <c r="O37" s="43"/>
      <c r="P37" s="43"/>
      <c r="Q37" s="43"/>
      <c r="R37" s="43"/>
    </row>
    <row r="38" spans="1:18" x14ac:dyDescent="0.2">
      <c r="A38" s="283">
        <v>543</v>
      </c>
      <c r="B38" s="73" t="s">
        <v>110</v>
      </c>
      <c r="C38" s="609">
        <f t="shared" ref="C38:H38" si="5">SUM(C39:C52)</f>
        <v>0</v>
      </c>
      <c r="D38" s="609">
        <f t="shared" si="5"/>
        <v>25313.22</v>
      </c>
      <c r="E38" s="609">
        <f t="shared" si="5"/>
        <v>0</v>
      </c>
      <c r="F38" s="609">
        <f t="shared" si="5"/>
        <v>0</v>
      </c>
      <c r="G38" s="609">
        <f t="shared" si="5"/>
        <v>0</v>
      </c>
      <c r="H38" s="610">
        <f t="shared" si="5"/>
        <v>25313.22</v>
      </c>
      <c r="J38" s="43"/>
      <c r="K38" s="43"/>
      <c r="L38" s="43"/>
      <c r="M38" s="43"/>
      <c r="O38" s="43"/>
      <c r="P38" s="43"/>
      <c r="Q38" s="43"/>
      <c r="R38" s="43"/>
    </row>
    <row r="39" spans="1:18" x14ac:dyDescent="0.2">
      <c r="A39" s="284">
        <v>54301</v>
      </c>
      <c r="B39" s="81" t="s">
        <v>314</v>
      </c>
      <c r="C39" s="583">
        <f>'BS_CR '!N218</f>
        <v>0</v>
      </c>
      <c r="D39" s="583">
        <f>'BS_CR '!N127</f>
        <v>4230</v>
      </c>
      <c r="E39" s="608"/>
      <c r="F39" s="608"/>
      <c r="G39" s="608"/>
      <c r="H39" s="606">
        <f t="shared" si="4"/>
        <v>4230</v>
      </c>
      <c r="J39" s="43"/>
      <c r="K39" s="43"/>
      <c r="L39" s="43"/>
      <c r="M39" s="43"/>
      <c r="O39" s="43"/>
      <c r="P39" s="43"/>
      <c r="Q39" s="43"/>
      <c r="R39" s="43"/>
    </row>
    <row r="40" spans="1:18" ht="12.75" customHeight="1" x14ac:dyDescent="0.2">
      <c r="A40" s="284">
        <v>54302</v>
      </c>
      <c r="B40" s="81" t="s">
        <v>315</v>
      </c>
      <c r="C40" s="583">
        <f>'BS_CR '!N219</f>
        <v>0</v>
      </c>
      <c r="D40" s="583">
        <f>'BS_CR '!N128</f>
        <v>0</v>
      </c>
      <c r="E40" s="608"/>
      <c r="F40" s="608"/>
      <c r="G40" s="608"/>
      <c r="H40" s="606">
        <f t="shared" si="4"/>
        <v>0</v>
      </c>
      <c r="J40" s="43"/>
      <c r="K40" s="43"/>
      <c r="L40" s="43"/>
      <c r="M40" s="43"/>
      <c r="O40" s="43"/>
      <c r="P40" s="43"/>
      <c r="Q40" s="43"/>
      <c r="R40" s="43"/>
    </row>
    <row r="41" spans="1:18" x14ac:dyDescent="0.2">
      <c r="A41" s="284">
        <v>54303</v>
      </c>
      <c r="B41" s="81" t="s">
        <v>316</v>
      </c>
      <c r="C41" s="583">
        <f>'BS_CR '!N220</f>
        <v>0</v>
      </c>
      <c r="D41" s="583">
        <f>'BS_CR '!N129</f>
        <v>0</v>
      </c>
      <c r="E41" s="608"/>
      <c r="F41" s="608"/>
      <c r="G41" s="608"/>
      <c r="H41" s="606">
        <f t="shared" si="4"/>
        <v>0</v>
      </c>
      <c r="J41" s="43"/>
      <c r="K41" s="43"/>
      <c r="L41" s="43"/>
      <c r="M41" s="43"/>
      <c r="O41" s="43"/>
      <c r="P41" s="43"/>
      <c r="Q41" s="43"/>
      <c r="R41" s="43"/>
    </row>
    <row r="42" spans="1:18" x14ac:dyDescent="0.2">
      <c r="A42" s="284">
        <v>54304</v>
      </c>
      <c r="B42" s="81" t="s">
        <v>317</v>
      </c>
      <c r="C42" s="583">
        <f>'BS_CR '!N221</f>
        <v>0</v>
      </c>
      <c r="D42" s="583">
        <f>'BS_CR '!N130</f>
        <v>0</v>
      </c>
      <c r="E42" s="608"/>
      <c r="F42" s="608"/>
      <c r="G42" s="608"/>
      <c r="H42" s="606">
        <f t="shared" si="4"/>
        <v>0</v>
      </c>
      <c r="J42" s="43"/>
      <c r="K42" s="43"/>
      <c r="L42" s="43"/>
      <c r="M42" s="43"/>
      <c r="O42" s="43"/>
      <c r="P42" s="43"/>
      <c r="Q42" s="43"/>
      <c r="R42" s="43"/>
    </row>
    <row r="43" spans="1:18" x14ac:dyDescent="0.2">
      <c r="A43" s="284">
        <v>54305</v>
      </c>
      <c r="B43" s="81" t="s">
        <v>318</v>
      </c>
      <c r="C43" s="583">
        <f>'BS_CR '!N222</f>
        <v>0</v>
      </c>
      <c r="D43" s="583">
        <f>'BS_CR '!N131</f>
        <v>11500</v>
      </c>
      <c r="E43" s="608"/>
      <c r="F43" s="608"/>
      <c r="G43" s="608"/>
      <c r="H43" s="606">
        <f t="shared" si="4"/>
        <v>11500</v>
      </c>
      <c r="J43" s="43"/>
      <c r="K43" s="43"/>
      <c r="L43" s="43"/>
      <c r="M43" s="43"/>
      <c r="O43" s="43"/>
      <c r="P43" s="43"/>
      <c r="Q43" s="43"/>
      <c r="R43" s="43"/>
    </row>
    <row r="44" spans="1:18" x14ac:dyDescent="0.2">
      <c r="A44" s="284">
        <v>54306</v>
      </c>
      <c r="B44" s="81" t="s">
        <v>319</v>
      </c>
      <c r="C44" s="583">
        <f>'BS_CR '!N223</f>
        <v>0</v>
      </c>
      <c r="D44" s="583">
        <f>'BS_CR '!N132</f>
        <v>0</v>
      </c>
      <c r="E44" s="608"/>
      <c r="F44" s="608"/>
      <c r="G44" s="608"/>
      <c r="H44" s="606">
        <f t="shared" si="4"/>
        <v>0</v>
      </c>
      <c r="J44" s="43"/>
      <c r="K44" s="43"/>
      <c r="L44" s="43"/>
      <c r="M44" s="43"/>
      <c r="O44" s="43"/>
      <c r="P44" s="43"/>
      <c r="Q44" s="43"/>
      <c r="R44" s="43"/>
    </row>
    <row r="45" spans="1:18" x14ac:dyDescent="0.2">
      <c r="A45" s="284">
        <v>54307</v>
      </c>
      <c r="B45" s="81" t="s">
        <v>320</v>
      </c>
      <c r="C45" s="583">
        <f>'BS_CR '!N224</f>
        <v>0</v>
      </c>
      <c r="D45" s="583">
        <f>'BS_CR '!N133</f>
        <v>1000</v>
      </c>
      <c r="E45" s="608"/>
      <c r="F45" s="608"/>
      <c r="G45" s="608"/>
      <c r="H45" s="606">
        <f t="shared" si="4"/>
        <v>1000</v>
      </c>
      <c r="J45" s="43"/>
      <c r="K45" s="43"/>
      <c r="L45" s="43"/>
      <c r="M45" s="43"/>
      <c r="O45" s="43"/>
      <c r="P45" s="43"/>
      <c r="Q45" s="43"/>
      <c r="R45" s="43"/>
    </row>
    <row r="46" spans="1:18" x14ac:dyDescent="0.2">
      <c r="A46" s="284">
        <v>54309</v>
      </c>
      <c r="B46" s="81" t="s">
        <v>321</v>
      </c>
      <c r="C46" s="583">
        <f>'BS_CR '!N225</f>
        <v>0</v>
      </c>
      <c r="D46" s="583">
        <f>'BS_CR '!N134</f>
        <v>0</v>
      </c>
      <c r="E46" s="608"/>
      <c r="F46" s="608"/>
      <c r="G46" s="608"/>
      <c r="H46" s="606">
        <f t="shared" si="4"/>
        <v>0</v>
      </c>
      <c r="J46" s="43"/>
      <c r="K46" s="43"/>
      <c r="L46" s="43"/>
      <c r="M46" s="43"/>
      <c r="O46" s="43"/>
      <c r="P46" s="43"/>
      <c r="Q46" s="43"/>
      <c r="R46" s="43"/>
    </row>
    <row r="47" spans="1:18" x14ac:dyDescent="0.2">
      <c r="A47" s="284">
        <v>54310</v>
      </c>
      <c r="B47" s="81" t="s">
        <v>322</v>
      </c>
      <c r="C47" s="583">
        <f>'BS_CR '!N226</f>
        <v>0</v>
      </c>
      <c r="D47" s="583">
        <f>'BS_CR '!N135</f>
        <v>0</v>
      </c>
      <c r="E47" s="608"/>
      <c r="F47" s="608"/>
      <c r="G47" s="608"/>
      <c r="H47" s="606">
        <f t="shared" si="4"/>
        <v>0</v>
      </c>
      <c r="J47" s="43"/>
      <c r="K47" s="43"/>
      <c r="L47" s="43"/>
      <c r="M47" s="43"/>
      <c r="O47" s="43"/>
      <c r="P47" s="43"/>
      <c r="Q47" s="43"/>
      <c r="R47" s="43"/>
    </row>
    <row r="48" spans="1:18" x14ac:dyDescent="0.2">
      <c r="A48" s="284">
        <v>54311</v>
      </c>
      <c r="B48" s="81" t="s">
        <v>323</v>
      </c>
      <c r="C48" s="583">
        <f>'BS_CR '!N227</f>
        <v>0</v>
      </c>
      <c r="D48" s="583">
        <f>'BS_CR '!N136</f>
        <v>0</v>
      </c>
      <c r="E48" s="608"/>
      <c r="F48" s="608"/>
      <c r="G48" s="608"/>
      <c r="H48" s="606">
        <f t="shared" si="4"/>
        <v>0</v>
      </c>
      <c r="J48" s="43"/>
      <c r="K48" s="43"/>
      <c r="L48" s="43"/>
      <c r="M48" s="43"/>
      <c r="O48" s="43"/>
      <c r="P48" s="43"/>
      <c r="Q48" s="43"/>
      <c r="R48" s="43"/>
    </row>
    <row r="49" spans="1:18" x14ac:dyDescent="0.2">
      <c r="A49" s="284">
        <v>54313</v>
      </c>
      <c r="B49" s="81" t="s">
        <v>324</v>
      </c>
      <c r="C49" s="583">
        <f>'BS_CR '!N228</f>
        <v>0</v>
      </c>
      <c r="D49" s="583">
        <f>'BS_CR '!N137</f>
        <v>400</v>
      </c>
      <c r="E49" s="608"/>
      <c r="F49" s="608"/>
      <c r="G49" s="608"/>
      <c r="H49" s="606">
        <f t="shared" si="4"/>
        <v>400</v>
      </c>
      <c r="J49" s="43"/>
      <c r="K49" s="43"/>
      <c r="L49" s="43"/>
      <c r="M49" s="43"/>
      <c r="O49" s="43"/>
      <c r="P49" s="43"/>
      <c r="Q49" s="43"/>
      <c r="R49" s="43"/>
    </row>
    <row r="50" spans="1:18" x14ac:dyDescent="0.2">
      <c r="A50" s="284">
        <v>54314</v>
      </c>
      <c r="B50" s="81" t="s">
        <v>325</v>
      </c>
      <c r="C50" s="583">
        <f>'BS_CR '!N229</f>
        <v>0</v>
      </c>
      <c r="D50" s="583">
        <f>'BS_CR '!N138</f>
        <v>0</v>
      </c>
      <c r="E50" s="608"/>
      <c r="F50" s="608"/>
      <c r="G50" s="608"/>
      <c r="H50" s="606">
        <f t="shared" si="4"/>
        <v>0</v>
      </c>
      <c r="J50" s="43"/>
      <c r="K50" s="43"/>
      <c r="L50" s="43"/>
      <c r="M50" s="43"/>
      <c r="O50" s="43"/>
      <c r="P50" s="43"/>
      <c r="Q50" s="43"/>
      <c r="R50" s="43"/>
    </row>
    <row r="51" spans="1:18" x14ac:dyDescent="0.2">
      <c r="A51" s="888">
        <f>'BS_CR '!A139</f>
        <v>54316</v>
      </c>
      <c r="B51" s="889" t="str">
        <f>'BS_CR '!B139</f>
        <v>Arrendamiento de bienes muebles</v>
      </c>
      <c r="C51" s="583"/>
      <c r="D51" s="583">
        <f>'BS_CR '!N139</f>
        <v>0</v>
      </c>
      <c r="E51" s="608"/>
      <c r="F51" s="608"/>
      <c r="G51" s="608"/>
      <c r="H51" s="606">
        <f t="shared" si="4"/>
        <v>0</v>
      </c>
      <c r="J51" s="43"/>
      <c r="K51" s="43"/>
      <c r="L51" s="43"/>
      <c r="M51" s="43"/>
      <c r="O51" s="43"/>
      <c r="P51" s="43"/>
      <c r="Q51" s="43"/>
      <c r="R51" s="43"/>
    </row>
    <row r="52" spans="1:18" x14ac:dyDescent="0.2">
      <c r="A52" s="284">
        <v>54399</v>
      </c>
      <c r="B52" s="81" t="s">
        <v>326</v>
      </c>
      <c r="C52" s="583">
        <f>'BS_CR '!N230</f>
        <v>0</v>
      </c>
      <c r="D52" s="583">
        <f>'BS_CR '!N140</f>
        <v>8183.22</v>
      </c>
      <c r="E52" s="608"/>
      <c r="F52" s="608"/>
      <c r="G52" s="608"/>
      <c r="H52" s="606">
        <f t="shared" si="4"/>
        <v>8183.22</v>
      </c>
      <c r="J52" s="43"/>
      <c r="K52" s="43"/>
      <c r="L52" s="43"/>
      <c r="M52" s="43"/>
      <c r="O52" s="43"/>
      <c r="P52" s="43"/>
      <c r="Q52" s="43"/>
      <c r="R52" s="43"/>
    </row>
    <row r="53" spans="1:18" x14ac:dyDescent="0.2">
      <c r="A53" s="283">
        <v>544</v>
      </c>
      <c r="B53" s="73" t="s">
        <v>111</v>
      </c>
      <c r="C53" s="609">
        <f t="shared" ref="C53:H53" si="6">SUM(C54:C57)</f>
        <v>0</v>
      </c>
      <c r="D53" s="609">
        <f t="shared" si="6"/>
        <v>3500</v>
      </c>
      <c r="E53" s="609">
        <f t="shared" si="6"/>
        <v>0</v>
      </c>
      <c r="F53" s="609">
        <f t="shared" si="6"/>
        <v>0</v>
      </c>
      <c r="G53" s="609">
        <f t="shared" si="6"/>
        <v>0</v>
      </c>
      <c r="H53" s="610">
        <f t="shared" si="6"/>
        <v>3500</v>
      </c>
      <c r="J53" s="43"/>
      <c r="K53" s="43"/>
      <c r="L53" s="43"/>
      <c r="M53" s="43"/>
      <c r="O53" s="43"/>
      <c r="P53" s="43"/>
      <c r="Q53" s="43"/>
      <c r="R53" s="43"/>
    </row>
    <row r="54" spans="1:18" x14ac:dyDescent="0.2">
      <c r="A54" s="284">
        <v>54401</v>
      </c>
      <c r="B54" s="81" t="s">
        <v>327</v>
      </c>
      <c r="C54" s="583">
        <f>'BS_CR '!N232</f>
        <v>0</v>
      </c>
      <c r="D54" s="583">
        <f>'BS_CR '!N142</f>
        <v>0</v>
      </c>
      <c r="E54" s="608"/>
      <c r="F54" s="608"/>
      <c r="G54" s="608"/>
      <c r="H54" s="606">
        <f t="shared" si="4"/>
        <v>0</v>
      </c>
      <c r="J54" s="43"/>
      <c r="K54" s="43"/>
      <c r="L54" s="43"/>
      <c r="M54" s="43"/>
      <c r="O54" s="43"/>
      <c r="P54" s="43"/>
      <c r="Q54" s="43"/>
      <c r="R54" s="43"/>
    </row>
    <row r="55" spans="1:18" x14ac:dyDescent="0.2">
      <c r="A55" s="284">
        <v>54402</v>
      </c>
      <c r="B55" s="81" t="s">
        <v>328</v>
      </c>
      <c r="C55" s="583">
        <f>'BS_CR '!N233</f>
        <v>0</v>
      </c>
      <c r="D55" s="583">
        <f>'BS_CR '!N143</f>
        <v>0</v>
      </c>
      <c r="E55" s="608"/>
      <c r="F55" s="608"/>
      <c r="G55" s="608"/>
      <c r="H55" s="606">
        <f t="shared" si="4"/>
        <v>0</v>
      </c>
      <c r="J55" s="43"/>
      <c r="K55" s="43"/>
      <c r="L55" s="43"/>
      <c r="M55" s="43"/>
      <c r="O55" s="43"/>
      <c r="P55" s="43"/>
      <c r="Q55" s="43"/>
      <c r="R55" s="43"/>
    </row>
    <row r="56" spans="1:18" x14ac:dyDescent="0.2">
      <c r="A56" s="284">
        <v>54403</v>
      </c>
      <c r="B56" s="81" t="s">
        <v>330</v>
      </c>
      <c r="C56" s="583">
        <f>'BS_CR '!N234</f>
        <v>0</v>
      </c>
      <c r="D56" s="583">
        <f>'BS_CR '!N144</f>
        <v>0</v>
      </c>
      <c r="E56" s="608"/>
      <c r="F56" s="608"/>
      <c r="G56" s="608"/>
      <c r="H56" s="606">
        <f t="shared" si="4"/>
        <v>0</v>
      </c>
      <c r="J56" s="43"/>
      <c r="K56" s="43"/>
      <c r="L56" s="43"/>
      <c r="M56" s="43"/>
      <c r="O56" s="43"/>
      <c r="P56" s="43"/>
      <c r="Q56" s="43"/>
      <c r="R56" s="43"/>
    </row>
    <row r="57" spans="1:18" x14ac:dyDescent="0.2">
      <c r="A57" s="284">
        <v>54404</v>
      </c>
      <c r="B57" s="81" t="s">
        <v>329</v>
      </c>
      <c r="C57" s="583">
        <f>'BS_CR '!N235</f>
        <v>0</v>
      </c>
      <c r="D57" s="583">
        <f>'BS_CR '!N145</f>
        <v>3500</v>
      </c>
      <c r="E57" s="608"/>
      <c r="F57" s="608"/>
      <c r="G57" s="608"/>
      <c r="H57" s="606">
        <f t="shared" si="4"/>
        <v>3500</v>
      </c>
      <c r="J57" s="43"/>
      <c r="K57" s="43"/>
      <c r="L57" s="43"/>
      <c r="M57" s="43"/>
      <c r="O57" s="43"/>
      <c r="P57" s="43"/>
      <c r="Q57" s="43"/>
      <c r="R57" s="43"/>
    </row>
    <row r="58" spans="1:18" x14ac:dyDescent="0.2">
      <c r="A58" s="283">
        <v>545</v>
      </c>
      <c r="B58" s="73" t="s">
        <v>331</v>
      </c>
      <c r="C58" s="609">
        <f t="shared" ref="C58:H58" si="7">C59+C60+C61+C62</f>
        <v>0</v>
      </c>
      <c r="D58" s="609">
        <f t="shared" si="7"/>
        <v>6200</v>
      </c>
      <c r="E58" s="609">
        <f t="shared" si="7"/>
        <v>0</v>
      </c>
      <c r="F58" s="609">
        <f t="shared" si="7"/>
        <v>0</v>
      </c>
      <c r="G58" s="609">
        <f t="shared" si="7"/>
        <v>0</v>
      </c>
      <c r="H58" s="610">
        <f t="shared" si="7"/>
        <v>6200</v>
      </c>
      <c r="J58" s="43"/>
      <c r="K58" s="43"/>
      <c r="L58" s="43"/>
      <c r="M58" s="43"/>
      <c r="O58" s="43"/>
      <c r="P58" s="43"/>
      <c r="Q58" s="43"/>
      <c r="R58" s="43"/>
    </row>
    <row r="59" spans="1:18" x14ac:dyDescent="0.2">
      <c r="A59" s="284">
        <v>54503</v>
      </c>
      <c r="B59" s="81" t="s">
        <v>462</v>
      </c>
      <c r="C59" s="583">
        <f>'BS_CR '!N237</f>
        <v>0</v>
      </c>
      <c r="D59" s="583">
        <f>'BS_CR '!N147</f>
        <v>6200</v>
      </c>
      <c r="E59" s="608"/>
      <c r="F59" s="608"/>
      <c r="G59" s="608"/>
      <c r="H59" s="606">
        <f t="shared" si="4"/>
        <v>6200</v>
      </c>
      <c r="J59" s="43"/>
      <c r="K59" s="43"/>
      <c r="L59" s="43"/>
      <c r="M59" s="43"/>
      <c r="O59" s="43"/>
      <c r="P59" s="43"/>
      <c r="Q59" s="43"/>
      <c r="R59" s="43"/>
    </row>
    <row r="60" spans="1:18" x14ac:dyDescent="0.2">
      <c r="A60" s="284">
        <v>54505</v>
      </c>
      <c r="B60" s="81" t="s">
        <v>333</v>
      </c>
      <c r="C60" s="583">
        <f>'BS_CR '!N238</f>
        <v>0</v>
      </c>
      <c r="D60" s="583">
        <f>'BS_CR '!N148</f>
        <v>0</v>
      </c>
      <c r="E60" s="608"/>
      <c r="F60" s="608"/>
      <c r="G60" s="608"/>
      <c r="H60" s="606">
        <f t="shared" si="4"/>
        <v>0</v>
      </c>
      <c r="J60" s="43"/>
      <c r="K60" s="43"/>
      <c r="L60" s="43"/>
      <c r="M60" s="43"/>
      <c r="O60" s="43"/>
      <c r="P60" s="43"/>
      <c r="Q60" s="43"/>
      <c r="R60" s="43"/>
    </row>
    <row r="61" spans="1:18" x14ac:dyDescent="0.2">
      <c r="A61" s="284">
        <v>54507</v>
      </c>
      <c r="B61" s="81" t="s">
        <v>334</v>
      </c>
      <c r="C61" s="583">
        <f>'BS_CR '!N239</f>
        <v>0</v>
      </c>
      <c r="D61" s="583">
        <f>'BS_CR '!N149</f>
        <v>0</v>
      </c>
      <c r="E61" s="608"/>
      <c r="F61" s="608"/>
      <c r="G61" s="608"/>
      <c r="H61" s="606">
        <f t="shared" si="4"/>
        <v>0</v>
      </c>
      <c r="J61" s="43"/>
      <c r="K61" s="43"/>
      <c r="L61" s="43"/>
      <c r="M61" s="43"/>
      <c r="O61" s="43"/>
      <c r="P61" s="43"/>
      <c r="Q61" s="43"/>
      <c r="R61" s="43"/>
    </row>
    <row r="62" spans="1:18" x14ac:dyDescent="0.2">
      <c r="A62" s="284">
        <v>54508</v>
      </c>
      <c r="B62" s="81" t="s">
        <v>335</v>
      </c>
      <c r="C62" s="583">
        <f>'BS_CR '!N240</f>
        <v>0</v>
      </c>
      <c r="D62" s="583">
        <f>'BS_CR '!N150</f>
        <v>0</v>
      </c>
      <c r="E62" s="608"/>
      <c r="F62" s="608"/>
      <c r="G62" s="608"/>
      <c r="H62" s="606">
        <f t="shared" si="4"/>
        <v>0</v>
      </c>
      <c r="J62" s="43"/>
      <c r="K62" s="43"/>
      <c r="L62" s="43"/>
      <c r="M62" s="43"/>
      <c r="O62" s="43"/>
      <c r="P62" s="43"/>
      <c r="Q62" s="43"/>
      <c r="R62" s="43"/>
    </row>
    <row r="63" spans="1:18" x14ac:dyDescent="0.2">
      <c r="A63" s="283">
        <v>55</v>
      </c>
      <c r="B63" s="73" t="s">
        <v>112</v>
      </c>
      <c r="C63" s="609">
        <f t="shared" ref="C63:H63" si="8">+C64+C68</f>
        <v>0</v>
      </c>
      <c r="D63" s="609">
        <f t="shared" si="8"/>
        <v>2000</v>
      </c>
      <c r="E63" s="609">
        <f t="shared" si="8"/>
        <v>0</v>
      </c>
      <c r="F63" s="609">
        <f t="shared" si="8"/>
        <v>0</v>
      </c>
      <c r="G63" s="609">
        <f t="shared" si="8"/>
        <v>0</v>
      </c>
      <c r="H63" s="610">
        <f t="shared" si="8"/>
        <v>2000</v>
      </c>
      <c r="J63" s="43"/>
      <c r="K63" s="43"/>
      <c r="L63" s="43"/>
      <c r="M63" s="43"/>
      <c r="O63" s="43"/>
      <c r="P63" s="43"/>
      <c r="Q63" s="43"/>
      <c r="R63" s="43"/>
    </row>
    <row r="64" spans="1:18" x14ac:dyDescent="0.2">
      <c r="A64" s="283">
        <v>556</v>
      </c>
      <c r="B64" s="73" t="s">
        <v>113</v>
      </c>
      <c r="C64" s="608">
        <f t="shared" ref="C64:H64" si="9">SUM(C65:C67)</f>
        <v>0</v>
      </c>
      <c r="D64" s="583">
        <f>'BS_CR '!N154</f>
        <v>2000</v>
      </c>
      <c r="E64" s="608">
        <f t="shared" si="9"/>
        <v>0</v>
      </c>
      <c r="F64" s="608">
        <f t="shared" si="9"/>
        <v>0</v>
      </c>
      <c r="G64" s="608">
        <f t="shared" si="9"/>
        <v>0</v>
      </c>
      <c r="H64" s="611">
        <f t="shared" si="9"/>
        <v>2000</v>
      </c>
      <c r="J64" s="43"/>
      <c r="K64" s="43"/>
      <c r="L64" s="43"/>
      <c r="M64" s="43"/>
      <c r="O64" s="43"/>
      <c r="P64" s="43"/>
      <c r="Q64" s="43"/>
      <c r="R64" s="43"/>
    </row>
    <row r="65" spans="1:18" x14ac:dyDescent="0.2">
      <c r="A65" s="284">
        <v>55601</v>
      </c>
      <c r="B65" s="81" t="s">
        <v>336</v>
      </c>
      <c r="C65" s="583">
        <f>'BS_CR '!N245</f>
        <v>0</v>
      </c>
      <c r="D65" s="583">
        <f>'BS_CR '!N155</f>
        <v>2000</v>
      </c>
      <c r="E65" s="608"/>
      <c r="F65" s="608"/>
      <c r="G65" s="608"/>
      <c r="H65" s="606">
        <f t="shared" si="4"/>
        <v>2000</v>
      </c>
      <c r="J65" s="43"/>
      <c r="K65" s="43"/>
      <c r="L65" s="43"/>
      <c r="M65" s="43"/>
      <c r="O65" s="43"/>
      <c r="P65" s="43"/>
      <c r="Q65" s="43"/>
      <c r="R65" s="43"/>
    </row>
    <row r="66" spans="1:18" x14ac:dyDescent="0.2">
      <c r="A66" s="284">
        <v>55602</v>
      </c>
      <c r="B66" s="81" t="s">
        <v>337</v>
      </c>
      <c r="C66" s="583">
        <f>'BS_CR '!N246</f>
        <v>0</v>
      </c>
      <c r="D66" s="583">
        <f>'BS_CR '!N156</f>
        <v>0</v>
      </c>
      <c r="E66" s="608"/>
      <c r="F66" s="608"/>
      <c r="G66" s="608"/>
      <c r="H66" s="606">
        <f t="shared" si="4"/>
        <v>0</v>
      </c>
      <c r="J66" s="43"/>
      <c r="K66" s="43"/>
      <c r="L66" s="43"/>
      <c r="M66" s="43"/>
      <c r="O66" s="43"/>
      <c r="P66" s="43"/>
      <c r="Q66" s="43"/>
      <c r="R66" s="43"/>
    </row>
    <row r="67" spans="1:18" x14ac:dyDescent="0.2">
      <c r="A67" s="284">
        <v>55603</v>
      </c>
      <c r="B67" s="81" t="s">
        <v>338</v>
      </c>
      <c r="C67" s="583">
        <f>'BS_CR '!N247</f>
        <v>0</v>
      </c>
      <c r="D67" s="583">
        <f>'BS_CR '!N157</f>
        <v>0</v>
      </c>
      <c r="E67" s="608"/>
      <c r="F67" s="608"/>
      <c r="G67" s="608"/>
      <c r="H67" s="606">
        <f t="shared" si="4"/>
        <v>0</v>
      </c>
      <c r="J67" s="43"/>
      <c r="K67" s="43"/>
      <c r="L67" s="43"/>
      <c r="M67" s="43"/>
      <c r="O67" s="43"/>
      <c r="P67" s="43"/>
      <c r="Q67" s="43"/>
      <c r="R67" s="43"/>
    </row>
    <row r="68" spans="1:18" x14ac:dyDescent="0.2">
      <c r="A68" s="283">
        <v>557</v>
      </c>
      <c r="B68" s="73" t="s">
        <v>114</v>
      </c>
      <c r="C68" s="608">
        <f t="shared" ref="C68:H68" si="10">SUM(C69:C69)</f>
        <v>0</v>
      </c>
      <c r="D68" s="608">
        <f t="shared" si="10"/>
        <v>0</v>
      </c>
      <c r="E68" s="608">
        <f t="shared" si="10"/>
        <v>0</v>
      </c>
      <c r="F68" s="608">
        <f t="shared" si="10"/>
        <v>0</v>
      </c>
      <c r="G68" s="608">
        <f t="shared" si="10"/>
        <v>0</v>
      </c>
      <c r="H68" s="611">
        <f t="shared" si="10"/>
        <v>0</v>
      </c>
      <c r="J68" s="43"/>
      <c r="K68" s="43"/>
      <c r="L68" s="43"/>
      <c r="M68" s="43"/>
      <c r="O68" s="43"/>
      <c r="P68" s="43"/>
      <c r="Q68" s="43"/>
      <c r="R68" s="43"/>
    </row>
    <row r="69" spans="1:18" x14ac:dyDescent="0.2">
      <c r="A69" s="284">
        <v>55799</v>
      </c>
      <c r="B69" s="81" t="s">
        <v>339</v>
      </c>
      <c r="C69" s="583">
        <f>'BS_CR '!N249</f>
        <v>0</v>
      </c>
      <c r="D69" s="583">
        <f>'BS_CR '!N159</f>
        <v>0</v>
      </c>
      <c r="E69" s="608"/>
      <c r="F69" s="608"/>
      <c r="G69" s="608"/>
      <c r="H69" s="606">
        <f>SUM(C69:G69)</f>
        <v>0</v>
      </c>
      <c r="J69" s="43"/>
      <c r="K69" s="43"/>
      <c r="L69" s="43"/>
      <c r="M69" s="43"/>
      <c r="O69" s="43"/>
      <c r="P69" s="43"/>
      <c r="Q69" s="43"/>
      <c r="R69" s="43"/>
    </row>
    <row r="70" spans="1:18" x14ac:dyDescent="0.2">
      <c r="A70" s="283">
        <v>56</v>
      </c>
      <c r="B70" s="73" t="s">
        <v>115</v>
      </c>
      <c r="C70" s="609">
        <f t="shared" ref="C70:H70" si="11">C71+C73</f>
        <v>0</v>
      </c>
      <c r="D70" s="609">
        <f t="shared" si="11"/>
        <v>10400</v>
      </c>
      <c r="E70" s="609">
        <f t="shared" si="11"/>
        <v>0</v>
      </c>
      <c r="F70" s="609">
        <f t="shared" si="11"/>
        <v>0</v>
      </c>
      <c r="G70" s="609">
        <f t="shared" si="11"/>
        <v>0</v>
      </c>
      <c r="H70" s="609">
        <f t="shared" si="11"/>
        <v>10400</v>
      </c>
      <c r="J70" s="43"/>
      <c r="K70" s="43"/>
      <c r="L70" s="43"/>
      <c r="M70" s="43"/>
      <c r="O70" s="43"/>
      <c r="P70" s="43"/>
      <c r="Q70" s="43"/>
      <c r="R70" s="43"/>
    </row>
    <row r="71" spans="1:18" x14ac:dyDescent="0.2">
      <c r="A71" s="283">
        <v>562</v>
      </c>
      <c r="B71" s="73" t="s">
        <v>344</v>
      </c>
      <c r="C71" s="609">
        <f t="shared" ref="C71:H71" si="12">SUM(C72)</f>
        <v>0</v>
      </c>
      <c r="D71" s="609">
        <f t="shared" si="12"/>
        <v>0</v>
      </c>
      <c r="E71" s="609">
        <f t="shared" si="12"/>
        <v>0</v>
      </c>
      <c r="F71" s="609">
        <f t="shared" si="12"/>
        <v>0</v>
      </c>
      <c r="G71" s="609">
        <f t="shared" si="12"/>
        <v>0</v>
      </c>
      <c r="H71" s="610">
        <f t="shared" si="12"/>
        <v>0</v>
      </c>
      <c r="J71" s="43"/>
      <c r="K71" s="43"/>
      <c r="L71" s="43"/>
      <c r="M71" s="43"/>
      <c r="O71" s="43"/>
      <c r="P71" s="43"/>
      <c r="Q71" s="43"/>
      <c r="R71" s="43"/>
    </row>
    <row r="72" spans="1:18" x14ac:dyDescent="0.2">
      <c r="A72" s="284">
        <v>56201</v>
      </c>
      <c r="B72" s="81" t="s">
        <v>340</v>
      </c>
      <c r="C72" s="583">
        <f>'BS_CR '!C252</f>
        <v>0</v>
      </c>
      <c r="D72" s="583">
        <f>'BS_CR '!N162</f>
        <v>0</v>
      </c>
      <c r="E72" s="608"/>
      <c r="F72" s="608"/>
      <c r="G72" s="608"/>
      <c r="H72" s="606">
        <f t="shared" si="4"/>
        <v>0</v>
      </c>
      <c r="J72" s="43"/>
      <c r="K72" s="43"/>
      <c r="L72" s="43"/>
      <c r="M72" s="43"/>
      <c r="O72" s="43"/>
      <c r="P72" s="43"/>
      <c r="Q72" s="43"/>
      <c r="R72" s="43"/>
    </row>
    <row r="73" spans="1:18" x14ac:dyDescent="0.2">
      <c r="A73" s="283">
        <v>563</v>
      </c>
      <c r="B73" s="73" t="s">
        <v>345</v>
      </c>
      <c r="C73" s="609">
        <f t="shared" ref="C73:H73" si="13">C74+C75+C76</f>
        <v>0</v>
      </c>
      <c r="D73" s="609">
        <f t="shared" si="13"/>
        <v>10400</v>
      </c>
      <c r="E73" s="609">
        <f t="shared" si="13"/>
        <v>0</v>
      </c>
      <c r="F73" s="609">
        <f t="shared" si="13"/>
        <v>0</v>
      </c>
      <c r="G73" s="609">
        <f t="shared" si="13"/>
        <v>0</v>
      </c>
      <c r="H73" s="609">
        <f t="shared" si="13"/>
        <v>10400</v>
      </c>
      <c r="J73" s="43"/>
      <c r="K73" s="43"/>
      <c r="L73" s="43"/>
      <c r="M73" s="43"/>
      <c r="O73" s="43"/>
      <c r="P73" s="43"/>
      <c r="Q73" s="43"/>
      <c r="R73" s="43"/>
    </row>
    <row r="74" spans="1:18" x14ac:dyDescent="0.2">
      <c r="A74" s="284">
        <v>56303</v>
      </c>
      <c r="B74" s="81" t="s">
        <v>341</v>
      </c>
      <c r="C74" s="583">
        <f>'BS_CR '!C254</f>
        <v>0</v>
      </c>
      <c r="D74" s="583">
        <f>'BS_CR '!N164</f>
        <v>10400</v>
      </c>
      <c r="E74" s="608"/>
      <c r="F74" s="608"/>
      <c r="G74" s="608"/>
      <c r="H74" s="606">
        <f>SUM(C74:G74)</f>
        <v>10400</v>
      </c>
      <c r="J74" s="43"/>
      <c r="K74" s="43"/>
      <c r="L74" s="43"/>
      <c r="M74" s="43"/>
      <c r="O74" s="43"/>
      <c r="P74" s="43"/>
      <c r="Q74" s="43"/>
      <c r="R74" s="43"/>
    </row>
    <row r="75" spans="1:18" x14ac:dyDescent="0.2">
      <c r="A75" s="284">
        <v>56304</v>
      </c>
      <c r="B75" s="81" t="s">
        <v>342</v>
      </c>
      <c r="C75" s="583"/>
      <c r="D75" s="583">
        <f>'BS_CR '!N165</f>
        <v>0</v>
      </c>
      <c r="E75" s="608"/>
      <c r="F75" s="608"/>
      <c r="G75" s="608"/>
      <c r="H75" s="606">
        <f>SUM(C75:G75)</f>
        <v>0</v>
      </c>
      <c r="J75" s="43"/>
      <c r="K75" s="43"/>
      <c r="L75" s="43"/>
      <c r="M75" s="43"/>
      <c r="O75" s="43"/>
      <c r="P75" s="43"/>
      <c r="Q75" s="43"/>
      <c r="R75" s="43"/>
    </row>
    <row r="76" spans="1:18" x14ac:dyDescent="0.2">
      <c r="A76" s="284">
        <v>56305</v>
      </c>
      <c r="B76" s="81" t="s">
        <v>343</v>
      </c>
      <c r="C76" s="583"/>
      <c r="D76" s="583">
        <f>'BS_CR '!N166</f>
        <v>0</v>
      </c>
      <c r="E76" s="608"/>
      <c r="F76" s="608"/>
      <c r="G76" s="608"/>
      <c r="H76" s="606">
        <f>SUM(C76:G76)</f>
        <v>0</v>
      </c>
      <c r="J76" s="43"/>
      <c r="K76" s="43"/>
      <c r="L76" s="43"/>
      <c r="M76" s="43"/>
      <c r="O76" s="43"/>
      <c r="P76" s="43"/>
      <c r="Q76" s="43"/>
      <c r="R76" s="43"/>
    </row>
    <row r="77" spans="1:18" x14ac:dyDescent="0.2">
      <c r="A77" s="267">
        <v>611</v>
      </c>
      <c r="B77" s="121" t="s">
        <v>403</v>
      </c>
      <c r="C77" s="609">
        <f t="shared" ref="C77:H77" si="14">C78+C79+C80+C82</f>
        <v>0</v>
      </c>
      <c r="D77" s="609">
        <f t="shared" si="14"/>
        <v>34625</v>
      </c>
      <c r="E77" s="609">
        <f t="shared" si="14"/>
        <v>0</v>
      </c>
      <c r="F77" s="609">
        <f t="shared" si="14"/>
        <v>0</v>
      </c>
      <c r="G77" s="609">
        <f t="shared" si="14"/>
        <v>0</v>
      </c>
      <c r="H77" s="609">
        <f t="shared" si="14"/>
        <v>34625</v>
      </c>
      <c r="J77" s="43"/>
      <c r="K77" s="43"/>
      <c r="L77" s="43"/>
      <c r="M77" s="43"/>
      <c r="O77" s="43"/>
      <c r="P77" s="43"/>
      <c r="Q77" s="43"/>
      <c r="R77" s="43"/>
    </row>
    <row r="78" spans="1:18" x14ac:dyDescent="0.2">
      <c r="A78" s="115">
        <v>61101</v>
      </c>
      <c r="B78" s="116" t="s">
        <v>605</v>
      </c>
      <c r="C78" s="583">
        <f>'BS_CR '!N258</f>
        <v>0</v>
      </c>
      <c r="D78" s="583">
        <f>'BS_CR '!N168</f>
        <v>2500</v>
      </c>
      <c r="E78" s="608"/>
      <c r="F78" s="608"/>
      <c r="G78" s="608"/>
      <c r="H78" s="606">
        <f t="shared" si="4"/>
        <v>2500</v>
      </c>
      <c r="J78" s="43"/>
      <c r="K78" s="43"/>
      <c r="L78" s="43"/>
      <c r="M78" s="43"/>
      <c r="O78" s="43"/>
      <c r="P78" s="43"/>
      <c r="Q78" s="43"/>
      <c r="R78" s="43"/>
    </row>
    <row r="79" spans="1:18" x14ac:dyDescent="0.2">
      <c r="A79" s="115">
        <v>61102</v>
      </c>
      <c r="B79" s="116" t="s">
        <v>606</v>
      </c>
      <c r="C79" s="583">
        <f>'BS_CR '!N259</f>
        <v>0</v>
      </c>
      <c r="D79" s="583">
        <f>'BS_CR '!N169</f>
        <v>0</v>
      </c>
      <c r="E79" s="608"/>
      <c r="F79" s="608"/>
      <c r="G79" s="608"/>
      <c r="H79" s="606">
        <f t="shared" si="4"/>
        <v>0</v>
      </c>
      <c r="J79" s="43"/>
      <c r="K79" s="43"/>
      <c r="L79" s="43"/>
      <c r="M79" s="43"/>
      <c r="O79" s="43"/>
      <c r="P79" s="43"/>
      <c r="Q79" s="43"/>
      <c r="R79" s="43"/>
    </row>
    <row r="80" spans="1:18" x14ac:dyDescent="0.2">
      <c r="A80" s="147">
        <v>61104</v>
      </c>
      <c r="B80" s="148" t="s">
        <v>607</v>
      </c>
      <c r="C80" s="583">
        <f>'BS_CR '!N261</f>
        <v>0</v>
      </c>
      <c r="D80" s="583">
        <f>'BS_CR '!N171</f>
        <v>31000</v>
      </c>
      <c r="E80" s="608"/>
      <c r="F80" s="608"/>
      <c r="G80" s="608"/>
      <c r="H80" s="606">
        <f t="shared" si="4"/>
        <v>31000</v>
      </c>
      <c r="J80" s="43"/>
      <c r="K80" s="43"/>
      <c r="L80" s="43"/>
      <c r="M80" s="43"/>
      <c r="O80" s="43"/>
      <c r="P80" s="43"/>
      <c r="Q80" s="43"/>
      <c r="R80" s="43"/>
    </row>
    <row r="81" spans="1:18" x14ac:dyDescent="0.2">
      <c r="A81" s="147">
        <v>61105</v>
      </c>
      <c r="B81" s="148" t="s">
        <v>786</v>
      </c>
      <c r="C81" s="583"/>
      <c r="D81" s="583"/>
      <c r="E81" s="608"/>
      <c r="F81" s="608"/>
      <c r="G81" s="608"/>
      <c r="H81" s="606"/>
      <c r="J81" s="43"/>
      <c r="K81" s="43"/>
      <c r="L81" s="43"/>
      <c r="M81" s="43"/>
      <c r="O81" s="43"/>
      <c r="P81" s="43"/>
      <c r="Q81" s="43"/>
      <c r="R81" s="43"/>
    </row>
    <row r="82" spans="1:18" x14ac:dyDescent="0.2">
      <c r="A82" s="147">
        <v>61199</v>
      </c>
      <c r="B82" s="148" t="s">
        <v>608</v>
      </c>
      <c r="C82" s="583">
        <f>'BS_CR '!N262</f>
        <v>0</v>
      </c>
      <c r="D82" s="583">
        <f>'BS_CR '!N172</f>
        <v>1125</v>
      </c>
      <c r="E82" s="612">
        <f>+E85</f>
        <v>0</v>
      </c>
      <c r="F82" s="612">
        <f>+F85</f>
        <v>0</v>
      </c>
      <c r="G82" s="612">
        <f>+G85</f>
        <v>0</v>
      </c>
      <c r="H82" s="606">
        <f>SUM(C82:G82)</f>
        <v>1125</v>
      </c>
      <c r="J82" s="43"/>
      <c r="K82" s="43"/>
      <c r="L82" s="43"/>
      <c r="M82" s="43"/>
      <c r="O82" s="43"/>
      <c r="P82" s="43"/>
      <c r="Q82" s="43"/>
      <c r="R82" s="43"/>
    </row>
    <row r="83" spans="1:18" x14ac:dyDescent="0.2">
      <c r="A83" s="283">
        <v>614</v>
      </c>
      <c r="B83" s="73" t="s">
        <v>424</v>
      </c>
      <c r="C83" s="583">
        <f>C84</f>
        <v>0</v>
      </c>
      <c r="D83" s="583">
        <f>SUM(D84)</f>
        <v>25000</v>
      </c>
      <c r="E83" s="612"/>
      <c r="F83" s="612"/>
      <c r="G83" s="612"/>
      <c r="H83" s="606">
        <f t="shared" ref="H83:H91" si="15">SUM(C83:G83)</f>
        <v>25000</v>
      </c>
      <c r="J83" s="43"/>
      <c r="K83" s="43"/>
      <c r="L83" s="43"/>
      <c r="M83" s="43"/>
      <c r="O83" s="43"/>
      <c r="P83" s="43"/>
      <c r="Q83" s="43"/>
      <c r="R83" s="43"/>
    </row>
    <row r="84" spans="1:18" x14ac:dyDescent="0.2">
      <c r="A84" s="284">
        <v>61403</v>
      </c>
      <c r="B84" s="81" t="s">
        <v>764</v>
      </c>
      <c r="C84" s="583">
        <f>'BS_CR '!M263</f>
        <v>0</v>
      </c>
      <c r="D84" s="583">
        <f>'BS_CR '!M173</f>
        <v>25000</v>
      </c>
      <c r="E84" s="612"/>
      <c r="F84" s="612"/>
      <c r="G84" s="612"/>
      <c r="H84" s="606">
        <f t="shared" si="15"/>
        <v>25000</v>
      </c>
      <c r="J84" s="43"/>
      <c r="K84" s="43"/>
      <c r="L84" s="43"/>
      <c r="M84" s="43"/>
      <c r="O84" s="43"/>
      <c r="P84" s="43"/>
      <c r="Q84" s="43"/>
      <c r="R84" s="43"/>
    </row>
    <row r="85" spans="1:18" ht="22.5" x14ac:dyDescent="0.2">
      <c r="A85" s="283">
        <v>721</v>
      </c>
      <c r="B85" s="955" t="s">
        <v>802</v>
      </c>
      <c r="C85" s="612">
        <f>+C86</f>
        <v>0</v>
      </c>
      <c r="D85" s="612">
        <f>+D86</f>
        <v>0</v>
      </c>
      <c r="E85" s="612">
        <f>+E86</f>
        <v>0</v>
      </c>
      <c r="F85" s="612">
        <f>+F86</f>
        <v>0</v>
      </c>
      <c r="G85" s="612">
        <f>+G86</f>
        <v>0</v>
      </c>
      <c r="H85" s="606">
        <f t="shared" si="15"/>
        <v>0</v>
      </c>
      <c r="J85" s="43"/>
      <c r="K85" s="43"/>
      <c r="L85" s="43"/>
      <c r="M85" s="43"/>
      <c r="O85" s="43"/>
      <c r="P85" s="43"/>
      <c r="Q85" s="43"/>
      <c r="R85" s="43"/>
    </row>
    <row r="86" spans="1:18" x14ac:dyDescent="0.2">
      <c r="A86" s="284">
        <v>72101</v>
      </c>
      <c r="B86" s="956" t="s">
        <v>801</v>
      </c>
      <c r="C86" s="614"/>
      <c r="D86" s="614"/>
      <c r="E86" s="614"/>
      <c r="F86" s="614"/>
      <c r="G86" s="614"/>
      <c r="H86" s="606">
        <f t="shared" si="15"/>
        <v>0</v>
      </c>
      <c r="J86" s="43"/>
      <c r="K86" s="43"/>
      <c r="L86" s="43"/>
      <c r="M86" s="43"/>
      <c r="O86" s="43"/>
      <c r="P86" s="43"/>
      <c r="Q86" s="43"/>
      <c r="R86" s="43"/>
    </row>
    <row r="87" spans="1:18" ht="22.5" x14ac:dyDescent="0.2">
      <c r="A87" s="284">
        <v>722</v>
      </c>
      <c r="B87" s="957" t="s">
        <v>800</v>
      </c>
      <c r="C87" s="614">
        <f>SUM(C88)</f>
        <v>52777.4</v>
      </c>
      <c r="D87" s="614">
        <f>SUM(D88)</f>
        <v>6196</v>
      </c>
      <c r="E87" s="614">
        <f>SUM(E88)</f>
        <v>0</v>
      </c>
      <c r="F87" s="614">
        <f>SUM(F88)</f>
        <v>0</v>
      </c>
      <c r="G87" s="614">
        <f>SUM(G88)</f>
        <v>0</v>
      </c>
      <c r="H87" s="606">
        <f t="shared" si="15"/>
        <v>58973.4</v>
      </c>
      <c r="J87" s="43"/>
      <c r="K87" s="43"/>
      <c r="L87" s="43"/>
      <c r="M87" s="43"/>
      <c r="O87" s="43"/>
      <c r="P87" s="43"/>
      <c r="Q87" s="43"/>
      <c r="R87" s="43"/>
    </row>
    <row r="88" spans="1:18" x14ac:dyDescent="0.2">
      <c r="A88" s="284">
        <v>72201</v>
      </c>
      <c r="B88" s="958" t="s">
        <v>803</v>
      </c>
      <c r="C88" s="614">
        <f>'BS_CR '!N264</f>
        <v>52777.4</v>
      </c>
      <c r="D88" s="614">
        <f>'BS_CR '!N175</f>
        <v>6196</v>
      </c>
      <c r="E88" s="614"/>
      <c r="F88" s="614"/>
      <c r="G88" s="614"/>
      <c r="H88" s="606">
        <f t="shared" si="15"/>
        <v>58973.4</v>
      </c>
      <c r="J88" s="43"/>
      <c r="K88" s="43"/>
      <c r="L88" s="43"/>
      <c r="M88" s="43"/>
      <c r="O88" s="43"/>
      <c r="P88" s="43"/>
      <c r="Q88" s="43"/>
      <c r="R88" s="43"/>
    </row>
    <row r="89" spans="1:18" ht="12" customHeight="1" x14ac:dyDescent="0.2">
      <c r="A89" s="283">
        <v>99</v>
      </c>
      <c r="B89" s="125" t="s">
        <v>117</v>
      </c>
      <c r="C89" s="612">
        <f t="shared" ref="C89:G90" si="16">+C90</f>
        <v>0</v>
      </c>
      <c r="D89" s="612">
        <f t="shared" si="16"/>
        <v>0</v>
      </c>
      <c r="E89" s="612">
        <f t="shared" si="16"/>
        <v>0</v>
      </c>
      <c r="F89" s="612">
        <f t="shared" si="16"/>
        <v>0</v>
      </c>
      <c r="G89" s="612">
        <f t="shared" si="16"/>
        <v>0</v>
      </c>
      <c r="H89" s="606">
        <f t="shared" si="15"/>
        <v>0</v>
      </c>
      <c r="J89" s="43"/>
      <c r="K89" s="43"/>
      <c r="L89" s="43"/>
      <c r="M89" s="43"/>
      <c r="O89" s="43"/>
      <c r="P89" s="43"/>
      <c r="Q89" s="43"/>
      <c r="R89" s="43"/>
    </row>
    <row r="90" spans="1:18" ht="9" customHeight="1" x14ac:dyDescent="0.2">
      <c r="A90" s="283">
        <v>991</v>
      </c>
      <c r="B90" s="125" t="s">
        <v>405</v>
      </c>
      <c r="C90" s="612">
        <f t="shared" si="16"/>
        <v>0</v>
      </c>
      <c r="D90" s="612">
        <f t="shared" si="16"/>
        <v>0</v>
      </c>
      <c r="E90" s="612">
        <f t="shared" si="16"/>
        <v>0</v>
      </c>
      <c r="F90" s="612">
        <f t="shared" si="16"/>
        <v>0</v>
      </c>
      <c r="G90" s="612">
        <f t="shared" si="16"/>
        <v>0</v>
      </c>
      <c r="H90" s="606">
        <f t="shared" si="15"/>
        <v>0</v>
      </c>
      <c r="J90" s="43"/>
      <c r="K90" s="43"/>
      <c r="L90" s="43"/>
      <c r="M90" s="43"/>
      <c r="O90" s="43"/>
      <c r="P90" s="43"/>
      <c r="Q90" s="43"/>
      <c r="R90" s="43"/>
    </row>
    <row r="91" spans="1:18" ht="9" customHeight="1" thickBot="1" x14ac:dyDescent="0.25">
      <c r="A91" s="284">
        <v>99101</v>
      </c>
      <c r="B91" s="52" t="s">
        <v>406</v>
      </c>
      <c r="C91" s="614"/>
      <c r="D91" s="614"/>
      <c r="E91" s="614"/>
      <c r="F91" s="614"/>
      <c r="G91" s="614"/>
      <c r="H91" s="606">
        <f t="shared" si="15"/>
        <v>0</v>
      </c>
      <c r="J91" s="43"/>
      <c r="K91" s="43"/>
      <c r="L91" s="43"/>
      <c r="M91" s="43"/>
      <c r="O91" s="43"/>
      <c r="P91" s="43"/>
      <c r="Q91" s="43"/>
      <c r="R91" s="43"/>
    </row>
    <row r="92" spans="1:18" ht="14.25" thickTop="1" thickBot="1" x14ac:dyDescent="0.25">
      <c r="A92" s="285"/>
      <c r="B92" s="286" t="s">
        <v>31</v>
      </c>
      <c r="C92" s="617">
        <f t="shared" ref="C92:H92" si="17">C89+C85+C70+C63+C11+C77+C83+C87</f>
        <v>251322.44999999998</v>
      </c>
      <c r="D92" s="617">
        <f t="shared" si="17"/>
        <v>135100.12</v>
      </c>
      <c r="E92" s="617">
        <f t="shared" si="17"/>
        <v>0</v>
      </c>
      <c r="F92" s="617">
        <f t="shared" si="17"/>
        <v>0</v>
      </c>
      <c r="G92" s="617">
        <f t="shared" si="17"/>
        <v>0</v>
      </c>
      <c r="H92" s="617">
        <f t="shared" si="17"/>
        <v>386422.57</v>
      </c>
    </row>
    <row r="93" spans="1:18" ht="13.5" thickTop="1" x14ac:dyDescent="0.2">
      <c r="C93" s="30">
        <f>'BS_CR '!N268</f>
        <v>251322.44999999998</v>
      </c>
      <c r="D93" s="30">
        <f>'BS_CR '!N178</f>
        <v>135100.12</v>
      </c>
    </row>
    <row r="94" spans="1:18" x14ac:dyDescent="0.2">
      <c r="C94" s="46">
        <f>C92-C93</f>
        <v>0</v>
      </c>
      <c r="D94" s="46">
        <f>D93-D92</f>
        <v>0</v>
      </c>
      <c r="E94" s="46"/>
      <c r="F94" s="46"/>
      <c r="H94" s="43"/>
    </row>
    <row r="95" spans="1:18" x14ac:dyDescent="0.2">
      <c r="A95" s="1222" t="s">
        <v>92</v>
      </c>
      <c r="B95" s="1222"/>
      <c r="C95" s="1222"/>
      <c r="D95" s="1222"/>
      <c r="E95" s="1222"/>
      <c r="F95" s="1222"/>
      <c r="G95" s="1222"/>
      <c r="H95" s="1222"/>
    </row>
    <row r="96" spans="1:18" x14ac:dyDescent="0.2">
      <c r="A96" s="1222" t="s">
        <v>93</v>
      </c>
      <c r="B96" s="1222"/>
      <c r="C96" s="1222"/>
      <c r="D96" s="1222"/>
      <c r="E96" s="1222"/>
      <c r="F96" s="1222"/>
      <c r="G96" s="1222"/>
      <c r="H96" s="1222"/>
    </row>
    <row r="97" spans="1:8" x14ac:dyDescent="0.2">
      <c r="A97" s="1191" t="s">
        <v>72</v>
      </c>
      <c r="B97" s="1191"/>
      <c r="C97" s="1191"/>
      <c r="D97" s="1191"/>
      <c r="E97" s="1191"/>
      <c r="F97" s="1191"/>
      <c r="G97" s="1191"/>
      <c r="H97" s="1191"/>
    </row>
    <row r="98" spans="1:8" x14ac:dyDescent="0.2">
      <c r="A98" s="61" t="s">
        <v>483</v>
      </c>
      <c r="B98" s="277"/>
      <c r="C98" s="277"/>
      <c r="D98" s="277"/>
      <c r="E98" s="48"/>
      <c r="F98" s="48"/>
      <c r="G98" s="48"/>
      <c r="H98" s="48"/>
    </row>
    <row r="99" spans="1:8" x14ac:dyDescent="0.2">
      <c r="A99" s="61" t="s">
        <v>953</v>
      </c>
      <c r="B99" s="277"/>
      <c r="C99" s="277"/>
      <c r="D99" s="277"/>
      <c r="E99" s="48"/>
      <c r="F99" s="48"/>
      <c r="G99" s="48"/>
      <c r="H99" s="48"/>
    </row>
    <row r="100" spans="1:8" x14ac:dyDescent="0.2">
      <c r="A100" s="61" t="s">
        <v>216</v>
      </c>
      <c r="B100" s="277"/>
      <c r="C100" s="277"/>
      <c r="D100" s="277"/>
      <c r="E100" s="48"/>
      <c r="F100" s="48"/>
      <c r="G100" s="48"/>
      <c r="H100" s="48"/>
    </row>
    <row r="101" spans="1:8" x14ac:dyDescent="0.2">
      <c r="A101" s="61" t="s">
        <v>215</v>
      </c>
      <c r="B101" s="277"/>
      <c r="C101" s="277"/>
      <c r="D101" s="277"/>
      <c r="E101" s="48"/>
      <c r="F101" s="48"/>
      <c r="G101" s="48"/>
      <c r="H101" s="48"/>
    </row>
    <row r="102" spans="1:8" ht="13.5" thickBot="1" x14ac:dyDescent="0.25">
      <c r="A102" s="61" t="s">
        <v>464</v>
      </c>
      <c r="B102" s="277"/>
      <c r="C102" s="277"/>
      <c r="D102" s="277"/>
      <c r="E102" s="48"/>
      <c r="F102" s="48"/>
      <c r="G102" s="48"/>
      <c r="H102" s="48"/>
    </row>
    <row r="103" spans="1:8" ht="13.5" thickTop="1" x14ac:dyDescent="0.2">
      <c r="A103" s="1223" t="s">
        <v>95</v>
      </c>
      <c r="B103" s="1224"/>
      <c r="C103" s="1218" t="s">
        <v>96</v>
      </c>
      <c r="D103" s="1218"/>
      <c r="E103" s="1218"/>
      <c r="F103" s="1218"/>
      <c r="G103" s="1219"/>
      <c r="H103" s="1220" t="s">
        <v>31</v>
      </c>
    </row>
    <row r="104" spans="1:8" ht="45.75" thickBot="1" x14ac:dyDescent="0.25">
      <c r="A104" s="278" t="s">
        <v>97</v>
      </c>
      <c r="B104" s="279" t="s">
        <v>98</v>
      </c>
      <c r="C104" s="280" t="s">
        <v>783</v>
      </c>
      <c r="D104" s="280" t="s">
        <v>181</v>
      </c>
      <c r="E104" s="280" t="s">
        <v>135</v>
      </c>
      <c r="F104" s="280" t="s">
        <v>136</v>
      </c>
      <c r="G104" s="280" t="s">
        <v>54</v>
      </c>
      <c r="H104" s="1221"/>
    </row>
    <row r="105" spans="1:8" x14ac:dyDescent="0.2">
      <c r="A105" s="281">
        <v>54</v>
      </c>
      <c r="B105" s="282" t="s">
        <v>107</v>
      </c>
      <c r="C105" s="582">
        <f t="shared" ref="C105:H105" si="18">C106+C128+C133+C148+C153</f>
        <v>0</v>
      </c>
      <c r="D105" s="582">
        <f t="shared" si="18"/>
        <v>331865</v>
      </c>
      <c r="E105" s="582">
        <f t="shared" si="18"/>
        <v>0</v>
      </c>
      <c r="F105" s="582">
        <f t="shared" si="18"/>
        <v>0</v>
      </c>
      <c r="G105" s="582">
        <f t="shared" si="18"/>
        <v>0</v>
      </c>
      <c r="H105" s="582">
        <f t="shared" si="18"/>
        <v>331865</v>
      </c>
    </row>
    <row r="106" spans="1:8" x14ac:dyDescent="0.2">
      <c r="A106" s="283">
        <v>541</v>
      </c>
      <c r="B106" s="73" t="s">
        <v>108</v>
      </c>
      <c r="C106" s="604">
        <f t="shared" ref="C106:H106" si="19">SUM(C107:C127)</f>
        <v>0</v>
      </c>
      <c r="D106" s="604">
        <f>SUM(D107:D127)</f>
        <v>169510</v>
      </c>
      <c r="E106" s="604">
        <f t="shared" si="19"/>
        <v>0</v>
      </c>
      <c r="F106" s="604">
        <f t="shared" si="19"/>
        <v>0</v>
      </c>
      <c r="G106" s="604">
        <f t="shared" si="19"/>
        <v>0</v>
      </c>
      <c r="H106" s="605">
        <f t="shared" si="19"/>
        <v>169510</v>
      </c>
    </row>
    <row r="107" spans="1:8" x14ac:dyDescent="0.2">
      <c r="A107" s="284">
        <v>54101</v>
      </c>
      <c r="B107" s="81" t="s">
        <v>291</v>
      </c>
      <c r="C107" s="583">
        <f>'BS_CR '!AJ191</f>
        <v>0</v>
      </c>
      <c r="D107" s="583">
        <f>'BS_CR '!AJ100</f>
        <v>21800</v>
      </c>
      <c r="E107" s="583"/>
      <c r="F107" s="583"/>
      <c r="G107" s="583"/>
      <c r="H107" s="606">
        <f>SUM(C107:G107)</f>
        <v>21800</v>
      </c>
    </row>
    <row r="108" spans="1:8" x14ac:dyDescent="0.2">
      <c r="A108" s="284">
        <v>54102</v>
      </c>
      <c r="B108" s="81" t="s">
        <v>841</v>
      </c>
      <c r="C108" s="583"/>
      <c r="D108" s="583">
        <f>'BS_CR '!AJ101</f>
        <v>2100</v>
      </c>
      <c r="E108" s="583"/>
      <c r="F108" s="583"/>
      <c r="G108" s="583"/>
      <c r="H108" s="606">
        <f>SUM(C108:G108)</f>
        <v>2100</v>
      </c>
    </row>
    <row r="109" spans="1:8" x14ac:dyDescent="0.2">
      <c r="A109" s="284">
        <v>54103</v>
      </c>
      <c r="B109" s="81" t="s">
        <v>292</v>
      </c>
      <c r="C109" s="583">
        <f>'BS_CR '!AJ193</f>
        <v>0</v>
      </c>
      <c r="D109" s="583">
        <f>'BS_CR '!AJ102</f>
        <v>16100</v>
      </c>
      <c r="E109" s="583"/>
      <c r="F109" s="583"/>
      <c r="G109" s="583"/>
      <c r="H109" s="606">
        <f t="shared" ref="H109:H127" si="20">SUM(C109:G109)</f>
        <v>16100</v>
      </c>
    </row>
    <row r="110" spans="1:8" x14ac:dyDescent="0.2">
      <c r="A110" s="284">
        <v>54104</v>
      </c>
      <c r="B110" s="81" t="s">
        <v>293</v>
      </c>
      <c r="C110" s="583">
        <f>'BS_CR '!AJ194</f>
        <v>0</v>
      </c>
      <c r="D110" s="583">
        <f>'BS_CR '!AJ103</f>
        <v>20500</v>
      </c>
      <c r="E110" s="583"/>
      <c r="F110" s="583"/>
      <c r="G110" s="583"/>
      <c r="H110" s="606">
        <f t="shared" si="20"/>
        <v>20500</v>
      </c>
    </row>
    <row r="111" spans="1:8" x14ac:dyDescent="0.2">
      <c r="A111" s="284">
        <v>54105</v>
      </c>
      <c r="B111" s="81" t="s">
        <v>294</v>
      </c>
      <c r="C111" s="583">
        <f>'BS_CR '!AJ195</f>
        <v>0</v>
      </c>
      <c r="D111" s="583">
        <f>'BS_CR '!AJ104</f>
        <v>700</v>
      </c>
      <c r="E111" s="607"/>
      <c r="F111" s="607"/>
      <c r="G111" s="607"/>
      <c r="H111" s="606">
        <f t="shared" si="20"/>
        <v>700</v>
      </c>
    </row>
    <row r="112" spans="1:8" x14ac:dyDescent="0.2">
      <c r="A112" s="284">
        <v>54106</v>
      </c>
      <c r="B112" s="81" t="s">
        <v>295</v>
      </c>
      <c r="C112" s="583">
        <f>'BS_CR '!AJ196</f>
        <v>0</v>
      </c>
      <c r="D112" s="583">
        <f>'BS_CR '!AJ105</f>
        <v>7000</v>
      </c>
      <c r="E112" s="583"/>
      <c r="F112" s="583"/>
      <c r="G112" s="583"/>
      <c r="H112" s="606">
        <f t="shared" si="20"/>
        <v>7000</v>
      </c>
    </row>
    <row r="113" spans="1:8" x14ac:dyDescent="0.2">
      <c r="A113" s="284">
        <v>54107</v>
      </c>
      <c r="B113" s="81" t="s">
        <v>296</v>
      </c>
      <c r="C113" s="583">
        <f>'BS_CR '!AJ197</f>
        <v>0</v>
      </c>
      <c r="D113" s="583">
        <f>'BS_CR '!AJ106</f>
        <v>18440</v>
      </c>
      <c r="E113" s="608"/>
      <c r="F113" s="608"/>
      <c r="G113" s="608"/>
      <c r="H113" s="606">
        <f t="shared" si="20"/>
        <v>18440</v>
      </c>
    </row>
    <row r="114" spans="1:8" x14ac:dyDescent="0.2">
      <c r="A114" s="284">
        <v>54108</v>
      </c>
      <c r="B114" s="81" t="s">
        <v>297</v>
      </c>
      <c r="C114" s="583">
        <f>'BS_CR '!AJ198</f>
        <v>0</v>
      </c>
      <c r="D114" s="583">
        <f>'BS_CR '!AJ107</f>
        <v>3100</v>
      </c>
      <c r="E114" s="608"/>
      <c r="F114" s="608"/>
      <c r="G114" s="608"/>
      <c r="H114" s="606">
        <f t="shared" si="20"/>
        <v>3100</v>
      </c>
    </row>
    <row r="115" spans="1:8" x14ac:dyDescent="0.2">
      <c r="A115" s="284">
        <v>54109</v>
      </c>
      <c r="B115" s="81" t="s">
        <v>298</v>
      </c>
      <c r="C115" s="583">
        <f>'BS_CR '!AJ199</f>
        <v>0</v>
      </c>
      <c r="D115" s="583">
        <f>'BS_CR '!AJ108</f>
        <v>19200</v>
      </c>
      <c r="E115" s="608"/>
      <c r="F115" s="608"/>
      <c r="G115" s="608"/>
      <c r="H115" s="606">
        <f t="shared" si="20"/>
        <v>19200</v>
      </c>
    </row>
    <row r="116" spans="1:8" x14ac:dyDescent="0.2">
      <c r="A116" s="284">
        <v>54110</v>
      </c>
      <c r="B116" s="81" t="s">
        <v>309</v>
      </c>
      <c r="C116" s="583">
        <f>'BS_CR '!AJ200</f>
        <v>0</v>
      </c>
      <c r="D116" s="583">
        <f>'BS_CR '!AJ109</f>
        <v>700</v>
      </c>
      <c r="E116" s="608"/>
      <c r="F116" s="608"/>
      <c r="G116" s="608"/>
      <c r="H116" s="606">
        <f t="shared" si="20"/>
        <v>700</v>
      </c>
    </row>
    <row r="117" spans="1:8" x14ac:dyDescent="0.2">
      <c r="A117" s="284">
        <v>54111</v>
      </c>
      <c r="B117" s="81" t="s">
        <v>299</v>
      </c>
      <c r="C117" s="583">
        <f>'BS_CR '!AJ201</f>
        <v>0</v>
      </c>
      <c r="D117" s="583">
        <f>'BS_CR '!AJ110</f>
        <v>4530</v>
      </c>
      <c r="E117" s="608"/>
      <c r="F117" s="608"/>
      <c r="G117" s="608"/>
      <c r="H117" s="606">
        <f t="shared" si="20"/>
        <v>4530</v>
      </c>
    </row>
    <row r="118" spans="1:8" x14ac:dyDescent="0.2">
      <c r="A118" s="284">
        <v>54112</v>
      </c>
      <c r="B118" s="81" t="s">
        <v>300</v>
      </c>
      <c r="C118" s="583">
        <f>'BS_CR '!AJ202</f>
        <v>0</v>
      </c>
      <c r="D118" s="583">
        <f>'BS_CR '!AJ111</f>
        <v>8440</v>
      </c>
      <c r="E118" s="608"/>
      <c r="F118" s="608"/>
      <c r="G118" s="608"/>
      <c r="H118" s="606">
        <f t="shared" si="20"/>
        <v>8440</v>
      </c>
    </row>
    <row r="119" spans="1:8" x14ac:dyDescent="0.2">
      <c r="A119" s="284">
        <v>54113</v>
      </c>
      <c r="B119" s="81" t="s">
        <v>923</v>
      </c>
      <c r="C119" s="583"/>
      <c r="D119" s="583">
        <f>'BS_CR '!AJ112</f>
        <v>0</v>
      </c>
      <c r="E119" s="608"/>
      <c r="F119" s="608"/>
      <c r="G119" s="608"/>
      <c r="H119" s="606">
        <f t="shared" si="20"/>
        <v>0</v>
      </c>
    </row>
    <row r="120" spans="1:8" x14ac:dyDescent="0.2">
      <c r="A120" s="284">
        <v>54114</v>
      </c>
      <c r="B120" s="81" t="s">
        <v>301</v>
      </c>
      <c r="C120" s="583">
        <f>'BS_CR '!AJ204</f>
        <v>0</v>
      </c>
      <c r="D120" s="583">
        <f>'BS_CR '!AJ113</f>
        <v>500</v>
      </c>
      <c r="E120" s="608"/>
      <c r="F120" s="608"/>
      <c r="G120" s="608"/>
      <c r="H120" s="606">
        <f t="shared" si="20"/>
        <v>500</v>
      </c>
    </row>
    <row r="121" spans="1:8" x14ac:dyDescent="0.2">
      <c r="A121" s="284">
        <v>54115</v>
      </c>
      <c r="B121" s="81" t="s">
        <v>302</v>
      </c>
      <c r="C121" s="583">
        <f>'BS_CR '!AJ205</f>
        <v>0</v>
      </c>
      <c r="D121" s="583">
        <f>'BS_CR '!AJ114</f>
        <v>1500</v>
      </c>
      <c r="E121" s="608"/>
      <c r="F121" s="608"/>
      <c r="G121" s="608"/>
      <c r="H121" s="606">
        <f t="shared" si="20"/>
        <v>1500</v>
      </c>
    </row>
    <row r="122" spans="1:8" x14ac:dyDescent="0.2">
      <c r="A122" s="284">
        <v>54116</v>
      </c>
      <c r="B122" s="81" t="s">
        <v>303</v>
      </c>
      <c r="C122" s="583">
        <f>'BS_CR '!AJ206</f>
        <v>0</v>
      </c>
      <c r="D122" s="583">
        <f>'BS_CR '!AJ115</f>
        <v>1000</v>
      </c>
      <c r="E122" s="608"/>
      <c r="F122" s="608"/>
      <c r="G122" s="608"/>
      <c r="H122" s="606">
        <f t="shared" si="20"/>
        <v>1000</v>
      </c>
    </row>
    <row r="123" spans="1:8" x14ac:dyDescent="0.2">
      <c r="A123" s="284">
        <v>54117</v>
      </c>
      <c r="B123" s="81" t="s">
        <v>304</v>
      </c>
      <c r="C123" s="583">
        <f>'BS_CR '!AJ207</f>
        <v>0</v>
      </c>
      <c r="D123" s="583">
        <f>'BS_CR '!AJ116</f>
        <v>0</v>
      </c>
      <c r="E123" s="608"/>
      <c r="F123" s="608"/>
      <c r="G123" s="608"/>
      <c r="H123" s="606">
        <f t="shared" si="20"/>
        <v>0</v>
      </c>
    </row>
    <row r="124" spans="1:8" x14ac:dyDescent="0.2">
      <c r="A124" s="284">
        <v>54118</v>
      </c>
      <c r="B124" s="81" t="s">
        <v>305</v>
      </c>
      <c r="C124" s="583">
        <f>'BS_CR '!AJ208</f>
        <v>0</v>
      </c>
      <c r="D124" s="583">
        <f>'BS_CR '!AJ117</f>
        <v>1000</v>
      </c>
      <c r="E124" s="608"/>
      <c r="F124" s="608"/>
      <c r="G124" s="608"/>
      <c r="H124" s="606">
        <f t="shared" si="20"/>
        <v>1000</v>
      </c>
    </row>
    <row r="125" spans="1:8" x14ac:dyDescent="0.2">
      <c r="A125" s="284">
        <v>54119</v>
      </c>
      <c r="B125" s="81" t="s">
        <v>306</v>
      </c>
      <c r="C125" s="583">
        <f>'BS_CR '!AJ209</f>
        <v>0</v>
      </c>
      <c r="D125" s="583">
        <f>'BS_CR '!AJ118</f>
        <v>0</v>
      </c>
      <c r="E125" s="608"/>
      <c r="F125" s="608"/>
      <c r="G125" s="608"/>
      <c r="H125" s="606">
        <f t="shared" si="20"/>
        <v>0</v>
      </c>
    </row>
    <row r="126" spans="1:8" x14ac:dyDescent="0.2">
      <c r="A126" s="284">
        <v>54121</v>
      </c>
      <c r="B126" s="81" t="s">
        <v>307</v>
      </c>
      <c r="C126" s="583">
        <f>'BS_CR '!AJ210</f>
        <v>0</v>
      </c>
      <c r="D126" s="583">
        <f>'BS_CR '!AJ119</f>
        <v>31200</v>
      </c>
      <c r="E126" s="608"/>
      <c r="F126" s="608"/>
      <c r="G126" s="608"/>
      <c r="H126" s="606">
        <f t="shared" si="20"/>
        <v>31200</v>
      </c>
    </row>
    <row r="127" spans="1:8" x14ac:dyDescent="0.2">
      <c r="A127" s="284">
        <v>54199</v>
      </c>
      <c r="B127" s="81" t="s">
        <v>308</v>
      </c>
      <c r="C127" s="583">
        <f>'BS_CR '!AJ211</f>
        <v>0</v>
      </c>
      <c r="D127" s="583">
        <f>'BS_CR '!AJ120</f>
        <v>11700</v>
      </c>
      <c r="E127" s="608"/>
      <c r="F127" s="608"/>
      <c r="G127" s="608"/>
      <c r="H127" s="606">
        <f t="shared" si="20"/>
        <v>11700</v>
      </c>
    </row>
    <row r="128" spans="1:8" x14ac:dyDescent="0.2">
      <c r="A128" s="283">
        <v>542</v>
      </c>
      <c r="B128" s="73" t="s">
        <v>109</v>
      </c>
      <c r="C128" s="609">
        <f t="shared" ref="C128:H128" si="21">SUM(C129:C132)</f>
        <v>0</v>
      </c>
      <c r="D128" s="609">
        <f>SUM(D129:D132)</f>
        <v>3200</v>
      </c>
      <c r="E128" s="609">
        <f t="shared" si="21"/>
        <v>0</v>
      </c>
      <c r="F128" s="609">
        <f t="shared" si="21"/>
        <v>0</v>
      </c>
      <c r="G128" s="609">
        <f t="shared" si="21"/>
        <v>0</v>
      </c>
      <c r="H128" s="610">
        <f t="shared" si="21"/>
        <v>3200</v>
      </c>
    </row>
    <row r="129" spans="1:8" x14ac:dyDescent="0.2">
      <c r="A129" s="284">
        <v>54201</v>
      </c>
      <c r="B129" s="81" t="s">
        <v>311</v>
      </c>
      <c r="C129" s="583">
        <f>'BS_CR '!AJ213</f>
        <v>0</v>
      </c>
      <c r="D129" s="583">
        <f>'BS_CR '!AJ122</f>
        <v>0</v>
      </c>
      <c r="E129" s="608"/>
      <c r="F129" s="608"/>
      <c r="G129" s="608"/>
      <c r="H129" s="606">
        <f>SUM(C129:G129)</f>
        <v>0</v>
      </c>
    </row>
    <row r="130" spans="1:8" x14ac:dyDescent="0.2">
      <c r="A130" s="284">
        <v>54202</v>
      </c>
      <c r="B130" s="81" t="s">
        <v>310</v>
      </c>
      <c r="C130" s="583">
        <f>'BS_CR '!AJ214</f>
        <v>0</v>
      </c>
      <c r="D130" s="583">
        <f>'BS_CR '!AJ123</f>
        <v>0</v>
      </c>
      <c r="E130" s="608"/>
      <c r="F130" s="608"/>
      <c r="G130" s="608"/>
      <c r="H130" s="606">
        <f>SUM(C130:G130)</f>
        <v>0</v>
      </c>
    </row>
    <row r="131" spans="1:8" x14ac:dyDescent="0.2">
      <c r="A131" s="284">
        <v>54203</v>
      </c>
      <c r="B131" s="81" t="s">
        <v>312</v>
      </c>
      <c r="C131" s="583">
        <f>'BS_CR '!AJ215</f>
        <v>0</v>
      </c>
      <c r="D131" s="583">
        <f>'BS_CR '!AJ124</f>
        <v>3200</v>
      </c>
      <c r="E131" s="608"/>
      <c r="F131" s="608"/>
      <c r="G131" s="608"/>
      <c r="H131" s="606">
        <f>SUM(C131:G131)</f>
        <v>3200</v>
      </c>
    </row>
    <row r="132" spans="1:8" x14ac:dyDescent="0.2">
      <c r="A132" s="284">
        <v>54204</v>
      </c>
      <c r="B132" s="81" t="s">
        <v>313</v>
      </c>
      <c r="C132" s="583">
        <f>'BS_CR '!AJ216</f>
        <v>0</v>
      </c>
      <c r="D132" s="583">
        <f>'BS_CR '!AJ125</f>
        <v>0</v>
      </c>
      <c r="E132" s="608"/>
      <c r="F132" s="608"/>
      <c r="G132" s="608"/>
      <c r="H132" s="606">
        <f>SUM(C132:G132)</f>
        <v>0</v>
      </c>
    </row>
    <row r="133" spans="1:8" x14ac:dyDescent="0.2">
      <c r="A133" s="283">
        <v>543</v>
      </c>
      <c r="B133" s="73" t="s">
        <v>110</v>
      </c>
      <c r="C133" s="609">
        <f t="shared" ref="C133:H133" si="22">SUM(C134:C147)</f>
        <v>0</v>
      </c>
      <c r="D133" s="609">
        <f>SUM(D134:D147)</f>
        <v>156510</v>
      </c>
      <c r="E133" s="609">
        <f t="shared" si="22"/>
        <v>0</v>
      </c>
      <c r="F133" s="609">
        <f t="shared" si="22"/>
        <v>0</v>
      </c>
      <c r="G133" s="609">
        <f t="shared" si="22"/>
        <v>0</v>
      </c>
      <c r="H133" s="610">
        <f t="shared" si="22"/>
        <v>156510</v>
      </c>
    </row>
    <row r="134" spans="1:8" x14ac:dyDescent="0.2">
      <c r="A134" s="284">
        <v>54301</v>
      </c>
      <c r="B134" s="81" t="s">
        <v>314</v>
      </c>
      <c r="C134" s="583">
        <f>'BS_CR '!AJ218</f>
        <v>0</v>
      </c>
      <c r="D134" s="583">
        <f>'BS_CR '!AJ127</f>
        <v>38500</v>
      </c>
      <c r="E134" s="608"/>
      <c r="F134" s="608"/>
      <c r="G134" s="608"/>
      <c r="H134" s="606">
        <f t="shared" ref="H134:H147" si="23">SUM(C134:G134)</f>
        <v>38500</v>
      </c>
    </row>
    <row r="135" spans="1:8" x14ac:dyDescent="0.2">
      <c r="A135" s="284">
        <v>54302</v>
      </c>
      <c r="B135" s="81" t="s">
        <v>315</v>
      </c>
      <c r="C135" s="583">
        <f>'BS_CR '!AJ219</f>
        <v>0</v>
      </c>
      <c r="D135" s="583">
        <f>'BS_CR '!AJ128</f>
        <v>0</v>
      </c>
      <c r="E135" s="608"/>
      <c r="F135" s="608"/>
      <c r="G135" s="608"/>
      <c r="H135" s="606">
        <f t="shared" si="23"/>
        <v>0</v>
      </c>
    </row>
    <row r="136" spans="1:8" x14ac:dyDescent="0.2">
      <c r="A136" s="284">
        <v>54303</v>
      </c>
      <c r="B136" s="81" t="s">
        <v>316</v>
      </c>
      <c r="C136" s="583">
        <f>'BS_CR '!AJ220</f>
        <v>0</v>
      </c>
      <c r="D136" s="583">
        <f>'BS_CR '!AJ129</f>
        <v>0</v>
      </c>
      <c r="E136" s="608"/>
      <c r="F136" s="608"/>
      <c r="G136" s="608"/>
      <c r="H136" s="606">
        <f t="shared" si="23"/>
        <v>0</v>
      </c>
    </row>
    <row r="137" spans="1:8" x14ac:dyDescent="0.2">
      <c r="A137" s="284">
        <v>54304</v>
      </c>
      <c r="B137" s="81" t="s">
        <v>317</v>
      </c>
      <c r="C137" s="583">
        <f>'BS_CR '!AJ221</f>
        <v>0</v>
      </c>
      <c r="D137" s="583">
        <f>'BS_CR '!AJ130</f>
        <v>0</v>
      </c>
      <c r="E137" s="608"/>
      <c r="F137" s="608"/>
      <c r="G137" s="608"/>
      <c r="H137" s="606">
        <f t="shared" si="23"/>
        <v>0</v>
      </c>
    </row>
    <row r="138" spans="1:8" x14ac:dyDescent="0.2">
      <c r="A138" s="284">
        <v>54305</v>
      </c>
      <c r="B138" s="81" t="s">
        <v>318</v>
      </c>
      <c r="C138" s="583">
        <f>'BS_CR '!AJ222</f>
        <v>0</v>
      </c>
      <c r="D138" s="583">
        <f>'BS_CR '!AJ131</f>
        <v>500</v>
      </c>
      <c r="E138" s="608"/>
      <c r="F138" s="608"/>
      <c r="G138" s="608"/>
      <c r="H138" s="606">
        <f t="shared" si="23"/>
        <v>500</v>
      </c>
    </row>
    <row r="139" spans="1:8" x14ac:dyDescent="0.2">
      <c r="A139" s="284">
        <v>54306</v>
      </c>
      <c r="B139" s="81" t="s">
        <v>319</v>
      </c>
      <c r="C139" s="583">
        <f>'BS_CR '!AJ223</f>
        <v>0</v>
      </c>
      <c r="D139" s="583">
        <f>'BS_CR '!AJ132</f>
        <v>0</v>
      </c>
      <c r="E139" s="608"/>
      <c r="F139" s="608"/>
      <c r="G139" s="608"/>
      <c r="H139" s="606">
        <f t="shared" si="23"/>
        <v>0</v>
      </c>
    </row>
    <row r="140" spans="1:8" x14ac:dyDescent="0.2">
      <c r="A140" s="284">
        <v>54307</v>
      </c>
      <c r="B140" s="81" t="s">
        <v>320</v>
      </c>
      <c r="C140" s="583">
        <f>'BS_CR '!AJ224</f>
        <v>0</v>
      </c>
      <c r="D140" s="583">
        <f>'BS_CR '!AJ133</f>
        <v>1250</v>
      </c>
      <c r="E140" s="608"/>
      <c r="F140" s="608"/>
      <c r="G140" s="608"/>
      <c r="H140" s="606">
        <f t="shared" si="23"/>
        <v>1250</v>
      </c>
    </row>
    <row r="141" spans="1:8" x14ac:dyDescent="0.2">
      <c r="A141" s="284">
        <v>54309</v>
      </c>
      <c r="B141" s="81" t="s">
        <v>321</v>
      </c>
      <c r="C141" s="583">
        <f>'BS_CR '!AJ225</f>
        <v>0</v>
      </c>
      <c r="D141" s="583">
        <f>'BS_CR '!AJ134</f>
        <v>3300</v>
      </c>
      <c r="E141" s="608"/>
      <c r="F141" s="608"/>
      <c r="G141" s="608"/>
      <c r="H141" s="606">
        <f t="shared" si="23"/>
        <v>3300</v>
      </c>
    </row>
    <row r="142" spans="1:8" x14ac:dyDescent="0.2">
      <c r="A142" s="284">
        <v>54310</v>
      </c>
      <c r="B142" s="81" t="s">
        <v>322</v>
      </c>
      <c r="C142" s="583">
        <f>'BS_CR '!AJ226</f>
        <v>0</v>
      </c>
      <c r="D142" s="583">
        <f>'BS_CR '!AJ135</f>
        <v>0</v>
      </c>
      <c r="E142" s="608"/>
      <c r="F142" s="608"/>
      <c r="G142" s="608"/>
      <c r="H142" s="606">
        <f t="shared" si="23"/>
        <v>0</v>
      </c>
    </row>
    <row r="143" spans="1:8" x14ac:dyDescent="0.2">
      <c r="A143" s="284">
        <v>54311</v>
      </c>
      <c r="B143" s="81" t="s">
        <v>323</v>
      </c>
      <c r="C143" s="583">
        <f>'BS_CR '!AJ227</f>
        <v>0</v>
      </c>
      <c r="D143" s="583">
        <f>'BS_CR '!AJ136</f>
        <v>0</v>
      </c>
      <c r="E143" s="608"/>
      <c r="F143" s="608"/>
      <c r="G143" s="608"/>
      <c r="H143" s="606">
        <f t="shared" si="23"/>
        <v>0</v>
      </c>
    </row>
    <row r="144" spans="1:8" x14ac:dyDescent="0.2">
      <c r="A144" s="284">
        <v>54313</v>
      </c>
      <c r="B144" s="81" t="s">
        <v>324</v>
      </c>
      <c r="C144" s="583">
        <f>'BS_CR '!AJ228</f>
        <v>0</v>
      </c>
      <c r="D144" s="583">
        <f>'BS_CR '!AJ137</f>
        <v>3460</v>
      </c>
      <c r="E144" s="608"/>
      <c r="F144" s="608"/>
      <c r="G144" s="608"/>
      <c r="H144" s="606">
        <f t="shared" si="23"/>
        <v>3460</v>
      </c>
    </row>
    <row r="145" spans="1:8" x14ac:dyDescent="0.2">
      <c r="A145" s="284">
        <v>54314</v>
      </c>
      <c r="B145" s="81" t="s">
        <v>325</v>
      </c>
      <c r="C145" s="583">
        <f>'BS_CR '!AJ229</f>
        <v>0</v>
      </c>
      <c r="D145" s="583">
        <f>'BS_CR '!AJ138</f>
        <v>0</v>
      </c>
      <c r="E145" s="608"/>
      <c r="F145" s="608"/>
      <c r="G145" s="608"/>
      <c r="H145" s="606">
        <f t="shared" si="23"/>
        <v>0</v>
      </c>
    </row>
    <row r="146" spans="1:8" x14ac:dyDescent="0.2">
      <c r="A146" s="284">
        <v>54399</v>
      </c>
      <c r="B146" s="81" t="s">
        <v>585</v>
      </c>
      <c r="C146" s="583">
        <f>'BS_CR '!AJ229</f>
        <v>0</v>
      </c>
      <c r="D146" s="583">
        <f>'BS_CR '!AJ139</f>
        <v>0</v>
      </c>
      <c r="E146" s="608"/>
      <c r="F146" s="608"/>
      <c r="G146" s="608"/>
      <c r="H146" s="606">
        <f>SUM(C146:G146)</f>
        <v>0</v>
      </c>
    </row>
    <row r="147" spans="1:8" x14ac:dyDescent="0.2">
      <c r="A147" s="284">
        <v>54399</v>
      </c>
      <c r="B147" s="81" t="s">
        <v>326</v>
      </c>
      <c r="C147" s="583">
        <f>'BS_CR '!AJ230</f>
        <v>0</v>
      </c>
      <c r="D147" s="583">
        <f>'BS_CR '!AJ140</f>
        <v>109500</v>
      </c>
      <c r="E147" s="608"/>
      <c r="F147" s="608"/>
      <c r="G147" s="608"/>
      <c r="H147" s="606">
        <f t="shared" si="23"/>
        <v>109500</v>
      </c>
    </row>
    <row r="148" spans="1:8" x14ac:dyDescent="0.2">
      <c r="A148" s="283">
        <v>544</v>
      </c>
      <c r="B148" s="73" t="s">
        <v>111</v>
      </c>
      <c r="C148" s="609">
        <f t="shared" ref="C148:H148" si="24">SUM(C149:C152)</f>
        <v>0</v>
      </c>
      <c r="D148" s="609">
        <f t="shared" si="24"/>
        <v>180</v>
      </c>
      <c r="E148" s="609">
        <f t="shared" si="24"/>
        <v>0</v>
      </c>
      <c r="F148" s="609">
        <f t="shared" si="24"/>
        <v>0</v>
      </c>
      <c r="G148" s="609">
        <f t="shared" si="24"/>
        <v>0</v>
      </c>
      <c r="H148" s="609">
        <f t="shared" si="24"/>
        <v>180</v>
      </c>
    </row>
    <row r="149" spans="1:8" x14ac:dyDescent="0.2">
      <c r="A149" s="284">
        <v>54401</v>
      </c>
      <c r="B149" s="81" t="s">
        <v>327</v>
      </c>
      <c r="C149" s="583">
        <f>'BS_CR '!AJ232</f>
        <v>0</v>
      </c>
      <c r="D149" s="583">
        <f>'BS_CR '!AJ142</f>
        <v>0</v>
      </c>
      <c r="E149" s="608"/>
      <c r="F149" s="608"/>
      <c r="G149" s="608"/>
      <c r="H149" s="606">
        <f>SUM(C149:G149)</f>
        <v>0</v>
      </c>
    </row>
    <row r="150" spans="1:8" x14ac:dyDescent="0.2">
      <c r="A150" s="284">
        <v>54402</v>
      </c>
      <c r="B150" s="81" t="s">
        <v>328</v>
      </c>
      <c r="C150" s="583">
        <f>'BS_CR '!AJ233</f>
        <v>0</v>
      </c>
      <c r="D150" s="583">
        <f>'BS_CR '!AJ143</f>
        <v>0</v>
      </c>
      <c r="E150" s="608"/>
      <c r="F150" s="608"/>
      <c r="G150" s="608"/>
      <c r="H150" s="606">
        <f>SUM(C150:G150)</f>
        <v>0</v>
      </c>
    </row>
    <row r="151" spans="1:8" x14ac:dyDescent="0.2">
      <c r="A151" s="284">
        <v>54403</v>
      </c>
      <c r="B151" s="81" t="s">
        <v>330</v>
      </c>
      <c r="C151" s="583">
        <f>'BS_CR '!AJ234</f>
        <v>0</v>
      </c>
      <c r="D151" s="583">
        <f>'BS_CR '!AJ144</f>
        <v>180</v>
      </c>
      <c r="E151" s="608"/>
      <c r="F151" s="608"/>
      <c r="G151" s="608"/>
      <c r="H151" s="606">
        <f>SUM(C151:G151)</f>
        <v>180</v>
      </c>
    </row>
    <row r="152" spans="1:8" x14ac:dyDescent="0.2">
      <c r="A152" s="284">
        <v>54404</v>
      </c>
      <c r="B152" s="81" t="s">
        <v>329</v>
      </c>
      <c r="C152" s="583">
        <f>'BS_CR '!AJ235</f>
        <v>0</v>
      </c>
      <c r="D152" s="583">
        <f>'BS_CR '!AJ145</f>
        <v>0</v>
      </c>
      <c r="E152" s="608"/>
      <c r="F152" s="608"/>
      <c r="G152" s="608"/>
      <c r="H152" s="606">
        <f>SUM(C152:G152)</f>
        <v>0</v>
      </c>
    </row>
    <row r="153" spans="1:8" x14ac:dyDescent="0.2">
      <c r="A153" s="283">
        <v>545</v>
      </c>
      <c r="B153" s="73" t="s">
        <v>331</v>
      </c>
      <c r="C153" s="608">
        <f t="shared" ref="C153:H153" si="25">C154+C155+C156+C157</f>
        <v>0</v>
      </c>
      <c r="D153" s="608">
        <f>D154+D155+D156+D157</f>
        <v>2465</v>
      </c>
      <c r="E153" s="608">
        <f t="shared" si="25"/>
        <v>0</v>
      </c>
      <c r="F153" s="608">
        <f t="shared" si="25"/>
        <v>0</v>
      </c>
      <c r="G153" s="608">
        <f t="shared" si="25"/>
        <v>0</v>
      </c>
      <c r="H153" s="608">
        <f t="shared" si="25"/>
        <v>2465</v>
      </c>
    </row>
    <row r="154" spans="1:8" x14ac:dyDescent="0.2">
      <c r="A154" s="284">
        <v>54503</v>
      </c>
      <c r="B154" s="81" t="s">
        <v>462</v>
      </c>
      <c r="C154" s="583">
        <f>'BS_CR '!AJ237</f>
        <v>0</v>
      </c>
      <c r="D154" s="583">
        <f>'BS_CR '!AJ147</f>
        <v>0</v>
      </c>
      <c r="E154" s="608"/>
      <c r="F154" s="608"/>
      <c r="G154" s="608"/>
      <c r="H154" s="606">
        <f>SUM(C154:G154)</f>
        <v>0</v>
      </c>
    </row>
    <row r="155" spans="1:8" x14ac:dyDescent="0.2">
      <c r="A155" s="284">
        <v>54505</v>
      </c>
      <c r="B155" s="81" t="s">
        <v>333</v>
      </c>
      <c r="C155" s="583">
        <f>'BS_CR '!AJ238</f>
        <v>0</v>
      </c>
      <c r="D155" s="583">
        <f>'BS_CR '!AJ148</f>
        <v>1965</v>
      </c>
      <c r="E155" s="608"/>
      <c r="F155" s="608"/>
      <c r="G155" s="608"/>
      <c r="H155" s="606">
        <f>SUM(C155:G155)</f>
        <v>1965</v>
      </c>
    </row>
    <row r="156" spans="1:8" x14ac:dyDescent="0.2">
      <c r="A156" s="284">
        <v>54507</v>
      </c>
      <c r="B156" s="81" t="s">
        <v>482</v>
      </c>
      <c r="C156" s="583">
        <f>'BS_CR '!AJ239</f>
        <v>0</v>
      </c>
      <c r="D156" s="583">
        <f>'BS_CR '!AJ149</f>
        <v>500</v>
      </c>
      <c r="E156" s="608"/>
      <c r="F156" s="608"/>
      <c r="G156" s="608"/>
      <c r="H156" s="606">
        <f>SUM(C156:G156)</f>
        <v>500</v>
      </c>
    </row>
    <row r="157" spans="1:8" x14ac:dyDescent="0.2">
      <c r="A157" s="284">
        <v>54599</v>
      </c>
      <c r="B157" s="81" t="s">
        <v>615</v>
      </c>
      <c r="C157" s="583">
        <f>'BS_CR '!AJ240</f>
        <v>0</v>
      </c>
      <c r="D157" s="583">
        <f>'BS_CR '!AJ150</f>
        <v>0</v>
      </c>
      <c r="E157" s="608"/>
      <c r="F157" s="608"/>
      <c r="G157" s="608"/>
      <c r="H157" s="606">
        <f>SUM(C157:G157)</f>
        <v>0</v>
      </c>
    </row>
    <row r="158" spans="1:8" x14ac:dyDescent="0.2">
      <c r="A158" s="283">
        <v>55</v>
      </c>
      <c r="B158" s="73" t="s">
        <v>112</v>
      </c>
      <c r="C158" s="608">
        <f t="shared" ref="C158:H158" si="26">+C159+C163</f>
        <v>0</v>
      </c>
      <c r="D158" s="608">
        <f t="shared" si="26"/>
        <v>10216</v>
      </c>
      <c r="E158" s="608">
        <f t="shared" si="26"/>
        <v>0</v>
      </c>
      <c r="F158" s="608">
        <f t="shared" si="26"/>
        <v>0</v>
      </c>
      <c r="G158" s="608">
        <f t="shared" si="26"/>
        <v>0</v>
      </c>
      <c r="H158" s="608">
        <f t="shared" si="26"/>
        <v>10216</v>
      </c>
    </row>
    <row r="159" spans="1:8" x14ac:dyDescent="0.2">
      <c r="A159" s="283">
        <v>556</v>
      </c>
      <c r="B159" s="73" t="s">
        <v>113</v>
      </c>
      <c r="C159" s="608">
        <f t="shared" ref="C159:H159" si="27">SUM(C160:C162)</f>
        <v>0</v>
      </c>
      <c r="D159" s="608">
        <f>SUM(D160:D162)</f>
        <v>216</v>
      </c>
      <c r="E159" s="608">
        <f t="shared" si="27"/>
        <v>0</v>
      </c>
      <c r="F159" s="608">
        <f t="shared" si="27"/>
        <v>0</v>
      </c>
      <c r="G159" s="608">
        <f t="shared" si="27"/>
        <v>0</v>
      </c>
      <c r="H159" s="611">
        <f t="shared" si="27"/>
        <v>216</v>
      </c>
    </row>
    <row r="160" spans="1:8" x14ac:dyDescent="0.2">
      <c r="A160" s="284">
        <v>55601</v>
      </c>
      <c r="B160" s="81" t="s">
        <v>336</v>
      </c>
      <c r="C160" s="583">
        <f>'BS_CR '!AJ245</f>
        <v>0</v>
      </c>
      <c r="D160" s="583">
        <f>'BS_CR '!AJ155</f>
        <v>0</v>
      </c>
      <c r="E160" s="608"/>
      <c r="F160" s="608"/>
      <c r="G160" s="608"/>
      <c r="H160" s="606">
        <f>SUM(C160:G160)</f>
        <v>0</v>
      </c>
    </row>
    <row r="161" spans="1:8" x14ac:dyDescent="0.2">
      <c r="A161" s="284">
        <v>55603</v>
      </c>
      <c r="B161" s="81" t="s">
        <v>337</v>
      </c>
      <c r="C161" s="583">
        <f>'BS_CR '!AJ246</f>
        <v>0</v>
      </c>
      <c r="D161" s="583">
        <f>'BS_CR '!AJ156</f>
        <v>0</v>
      </c>
      <c r="E161" s="608"/>
      <c r="F161" s="608"/>
      <c r="G161" s="608"/>
      <c r="H161" s="606">
        <f>SUM(C161:G161)</f>
        <v>0</v>
      </c>
    </row>
    <row r="162" spans="1:8" x14ac:dyDescent="0.2">
      <c r="A162" s="284">
        <v>55603</v>
      </c>
      <c r="B162" s="81" t="s">
        <v>338</v>
      </c>
      <c r="C162" s="583">
        <f>'BS_CR '!AJ247</f>
        <v>0</v>
      </c>
      <c r="D162" s="583">
        <f>'BS_CR '!AJ157</f>
        <v>216</v>
      </c>
      <c r="E162" s="608"/>
      <c r="F162" s="608"/>
      <c r="G162" s="608"/>
      <c r="H162" s="606">
        <f>SUM(C162:G162)</f>
        <v>216</v>
      </c>
    </row>
    <row r="163" spans="1:8" x14ac:dyDescent="0.2">
      <c r="A163" s="283">
        <v>557</v>
      </c>
      <c r="B163" s="73" t="s">
        <v>114</v>
      </c>
      <c r="C163" s="608">
        <f t="shared" ref="C163:H163" si="28">SUM(C164:C164)</f>
        <v>0</v>
      </c>
      <c r="D163" s="608">
        <f>SUM(D164:D164)</f>
        <v>10000</v>
      </c>
      <c r="E163" s="608">
        <f t="shared" si="28"/>
        <v>0</v>
      </c>
      <c r="F163" s="608">
        <f t="shared" si="28"/>
        <v>0</v>
      </c>
      <c r="G163" s="608">
        <f t="shared" si="28"/>
        <v>0</v>
      </c>
      <c r="H163" s="611">
        <f t="shared" si="28"/>
        <v>10000</v>
      </c>
    </row>
    <row r="164" spans="1:8" x14ac:dyDescent="0.2">
      <c r="A164" s="284">
        <v>55799</v>
      </c>
      <c r="B164" s="81" t="s">
        <v>339</v>
      </c>
      <c r="C164" s="583">
        <f>'BS_CR '!AJ249</f>
        <v>0</v>
      </c>
      <c r="D164" s="583">
        <f>'BS_CR '!AJ159</f>
        <v>10000</v>
      </c>
      <c r="E164" s="608"/>
      <c r="F164" s="608"/>
      <c r="G164" s="608"/>
      <c r="H164" s="606">
        <f>SUM(C164:G164)</f>
        <v>10000</v>
      </c>
    </row>
    <row r="165" spans="1:8" x14ac:dyDescent="0.2">
      <c r="A165" s="283">
        <v>56</v>
      </c>
      <c r="B165" s="73" t="s">
        <v>115</v>
      </c>
      <c r="C165" s="608">
        <f t="shared" ref="C165:H165" si="29">C166+C168</f>
        <v>0</v>
      </c>
      <c r="D165" s="608">
        <f t="shared" si="29"/>
        <v>2500</v>
      </c>
      <c r="E165" s="608">
        <f t="shared" si="29"/>
        <v>0</v>
      </c>
      <c r="F165" s="608">
        <f t="shared" si="29"/>
        <v>0</v>
      </c>
      <c r="G165" s="608">
        <f t="shared" si="29"/>
        <v>0</v>
      </c>
      <c r="H165" s="608">
        <f t="shared" si="29"/>
        <v>2500</v>
      </c>
    </row>
    <row r="166" spans="1:8" x14ac:dyDescent="0.2">
      <c r="A166" s="283">
        <v>562</v>
      </c>
      <c r="B166" s="73" t="s">
        <v>344</v>
      </c>
      <c r="C166" s="608">
        <f>SUM(C167)</f>
        <v>0</v>
      </c>
      <c r="D166" s="608">
        <f>D167</f>
        <v>0</v>
      </c>
      <c r="E166" s="608">
        <f>E167</f>
        <v>0</v>
      </c>
      <c r="F166" s="608">
        <f>F167</f>
        <v>0</v>
      </c>
      <c r="G166" s="608">
        <f>G167</f>
        <v>0</v>
      </c>
      <c r="H166" s="608">
        <f>H167</f>
        <v>0</v>
      </c>
    </row>
    <row r="167" spans="1:8" x14ac:dyDescent="0.2">
      <c r="A167" s="284">
        <v>56201</v>
      </c>
      <c r="B167" s="81" t="s">
        <v>340</v>
      </c>
      <c r="C167" s="583">
        <f>'BS_CR '!AJ252</f>
        <v>0</v>
      </c>
      <c r="D167" s="583">
        <f>'BS_CR '!AJ162</f>
        <v>0</v>
      </c>
      <c r="E167" s="608"/>
      <c r="F167" s="608"/>
      <c r="G167" s="608"/>
      <c r="H167" s="606">
        <f>SUM(C167:G167)</f>
        <v>0</v>
      </c>
    </row>
    <row r="168" spans="1:8" x14ac:dyDescent="0.2">
      <c r="A168" s="283">
        <v>563</v>
      </c>
      <c r="B168" s="73" t="s">
        <v>345</v>
      </c>
      <c r="C168" s="608">
        <f t="shared" ref="C168:H168" si="30">C169+C170+C171</f>
        <v>0</v>
      </c>
      <c r="D168" s="608">
        <f t="shared" si="30"/>
        <v>2500</v>
      </c>
      <c r="E168" s="608">
        <f t="shared" si="30"/>
        <v>0</v>
      </c>
      <c r="F168" s="608">
        <f t="shared" si="30"/>
        <v>0</v>
      </c>
      <c r="G168" s="608">
        <f t="shared" si="30"/>
        <v>0</v>
      </c>
      <c r="H168" s="608">
        <f t="shared" si="30"/>
        <v>2500</v>
      </c>
    </row>
    <row r="169" spans="1:8" x14ac:dyDescent="0.2">
      <c r="A169" s="284">
        <v>56303</v>
      </c>
      <c r="B169" s="81" t="s">
        <v>341</v>
      </c>
      <c r="C169" s="583">
        <f>'BS_CR '!AJ254</f>
        <v>0</v>
      </c>
      <c r="D169" s="583">
        <f>'BS_CR '!AJ164</f>
        <v>0</v>
      </c>
      <c r="E169" s="608"/>
      <c r="F169" s="608"/>
      <c r="G169" s="608"/>
      <c r="H169" s="606">
        <f>SUM(C169:G169)</f>
        <v>0</v>
      </c>
    </row>
    <row r="170" spans="1:8" x14ac:dyDescent="0.2">
      <c r="A170" s="284">
        <v>56304</v>
      </c>
      <c r="B170" s="81" t="s">
        <v>342</v>
      </c>
      <c r="C170" s="583">
        <f>'BS_CR '!AJ255</f>
        <v>0</v>
      </c>
      <c r="D170" s="583">
        <f>'BS_CR '!AJ165</f>
        <v>2500</v>
      </c>
      <c r="E170" s="608"/>
      <c r="F170" s="608"/>
      <c r="G170" s="608"/>
      <c r="H170" s="606">
        <f>SUM(C170:G170)</f>
        <v>2500</v>
      </c>
    </row>
    <row r="171" spans="1:8" x14ac:dyDescent="0.2">
      <c r="A171" s="284">
        <v>56305</v>
      </c>
      <c r="B171" s="81" t="s">
        <v>343</v>
      </c>
      <c r="C171" s="583">
        <f>'BS_CR '!AJ256</f>
        <v>0</v>
      </c>
      <c r="D171" s="583">
        <f>'BS_CR '!AJ166</f>
        <v>0</v>
      </c>
      <c r="E171" s="608"/>
      <c r="F171" s="608"/>
      <c r="G171" s="608"/>
      <c r="H171" s="606">
        <f>SUM(C171:G171)</f>
        <v>0</v>
      </c>
    </row>
    <row r="172" spans="1:8" x14ac:dyDescent="0.2">
      <c r="A172" s="618">
        <v>611</v>
      </c>
      <c r="B172" s="73" t="s">
        <v>403</v>
      </c>
      <c r="C172" s="609">
        <f t="shared" ref="C172:H172" si="31">SUM(C173:C177)</f>
        <v>0</v>
      </c>
      <c r="D172" s="609">
        <f>SUM(D173:D177)</f>
        <v>17950</v>
      </c>
      <c r="E172" s="609">
        <f t="shared" si="31"/>
        <v>0</v>
      </c>
      <c r="F172" s="609">
        <f t="shared" si="31"/>
        <v>0</v>
      </c>
      <c r="G172" s="609">
        <f t="shared" si="31"/>
        <v>0</v>
      </c>
      <c r="H172" s="609">
        <f t="shared" si="31"/>
        <v>17950</v>
      </c>
    </row>
    <row r="173" spans="1:8" x14ac:dyDescent="0.2">
      <c r="A173" s="79">
        <v>61101</v>
      </c>
      <c r="B173" s="81" t="s">
        <v>605</v>
      </c>
      <c r="C173" s="583">
        <f>'BS_CR '!AJ258</f>
        <v>0</v>
      </c>
      <c r="D173" s="583">
        <f>'BS_CR '!AJ168</f>
        <v>2900</v>
      </c>
      <c r="E173" s="608"/>
      <c r="F173" s="608"/>
      <c r="G173" s="608"/>
      <c r="H173" s="606">
        <f>SUM(C173:G173)</f>
        <v>2900</v>
      </c>
    </row>
    <row r="174" spans="1:8" x14ac:dyDescent="0.2">
      <c r="A174" s="79">
        <v>61102</v>
      </c>
      <c r="B174" s="81" t="s">
        <v>606</v>
      </c>
      <c r="C174" s="583">
        <f>'BS_CR '!AJ259</f>
        <v>0</v>
      </c>
      <c r="D174" s="583">
        <f>'BS_CR '!AJ169</f>
        <v>0</v>
      </c>
      <c r="E174" s="608"/>
      <c r="F174" s="608"/>
      <c r="G174" s="608"/>
      <c r="H174" s="606">
        <f t="shared" ref="H174:H188" si="32">SUM(C174:G174)</f>
        <v>0</v>
      </c>
    </row>
    <row r="175" spans="1:8" x14ac:dyDescent="0.2">
      <c r="A175" s="79">
        <v>61104</v>
      </c>
      <c r="B175" s="81" t="s">
        <v>607</v>
      </c>
      <c r="C175" s="583">
        <f>'BS_CR '!AJ261</f>
        <v>0</v>
      </c>
      <c r="D175" s="583">
        <f>'BS_CR '!AJ171</f>
        <v>9250</v>
      </c>
      <c r="E175" s="608"/>
      <c r="F175" s="608"/>
      <c r="G175" s="608"/>
      <c r="H175" s="606">
        <f>SUM(C175:G175)</f>
        <v>9250</v>
      </c>
    </row>
    <row r="176" spans="1:8" x14ac:dyDescent="0.2">
      <c r="A176" s="79">
        <v>61105</v>
      </c>
      <c r="B176" s="81" t="s">
        <v>786</v>
      </c>
      <c r="C176" s="583"/>
      <c r="D176" s="583">
        <f>'BS_CR '!AJ170</f>
        <v>0</v>
      </c>
      <c r="E176" s="608"/>
      <c r="F176" s="608"/>
      <c r="G176" s="608"/>
      <c r="H176" s="606">
        <f t="shared" si="32"/>
        <v>0</v>
      </c>
    </row>
    <row r="177" spans="1:9" x14ac:dyDescent="0.2">
      <c r="A177" s="79">
        <v>61199</v>
      </c>
      <c r="B177" s="81" t="s">
        <v>608</v>
      </c>
      <c r="C177" s="583">
        <f>'BS_CR '!AJ262</f>
        <v>0</v>
      </c>
      <c r="D177" s="583">
        <f>'BS_CR '!AJ172</f>
        <v>5800</v>
      </c>
      <c r="E177" s="608"/>
      <c r="F177" s="608"/>
      <c r="G177" s="608"/>
      <c r="H177" s="606">
        <f t="shared" si="32"/>
        <v>5800</v>
      </c>
    </row>
    <row r="178" spans="1:9" x14ac:dyDescent="0.2">
      <c r="A178" s="965">
        <v>614</v>
      </c>
      <c r="B178" s="73" t="s">
        <v>424</v>
      </c>
      <c r="C178" s="583">
        <f>C179</f>
        <v>0</v>
      </c>
      <c r="D178" s="583">
        <f>SUM(D179)</f>
        <v>0</v>
      </c>
      <c r="E178" s="608"/>
      <c r="F178" s="608"/>
      <c r="G178" s="608"/>
      <c r="H178" s="606">
        <f t="shared" si="32"/>
        <v>0</v>
      </c>
    </row>
    <row r="179" spans="1:9" x14ac:dyDescent="0.2">
      <c r="A179" s="964">
        <v>61403</v>
      </c>
      <c r="B179" s="81" t="s">
        <v>764</v>
      </c>
      <c r="C179" s="583">
        <f>'BS_CR '!AJ263</f>
        <v>0</v>
      </c>
      <c r="D179" s="583">
        <f>'BS_CR '!AJ173</f>
        <v>0</v>
      </c>
      <c r="E179" s="608"/>
      <c r="F179" s="608"/>
      <c r="G179" s="608"/>
      <c r="H179" s="606">
        <f t="shared" si="32"/>
        <v>0</v>
      </c>
    </row>
    <row r="180" spans="1:9" x14ac:dyDescent="0.2">
      <c r="A180" s="283">
        <v>72</v>
      </c>
      <c r="B180" s="73" t="s">
        <v>43</v>
      </c>
      <c r="C180" s="612">
        <f t="shared" ref="C180:G181" si="33">+C181</f>
        <v>0</v>
      </c>
      <c r="D180" s="612">
        <f t="shared" si="33"/>
        <v>0</v>
      </c>
      <c r="E180" s="612">
        <f t="shared" si="33"/>
        <v>0</v>
      </c>
      <c r="F180" s="612">
        <f t="shared" si="33"/>
        <v>0</v>
      </c>
      <c r="G180" s="612">
        <f t="shared" si="33"/>
        <v>0</v>
      </c>
      <c r="H180" s="606">
        <f t="shared" si="32"/>
        <v>0</v>
      </c>
    </row>
    <row r="181" spans="1:9" ht="22.5" x14ac:dyDescent="0.2">
      <c r="A181" s="283">
        <v>721</v>
      </c>
      <c r="B181" s="955" t="s">
        <v>802</v>
      </c>
      <c r="C181" s="612">
        <f t="shared" si="33"/>
        <v>0</v>
      </c>
      <c r="D181" s="612">
        <f t="shared" si="33"/>
        <v>0</v>
      </c>
      <c r="E181" s="612">
        <f t="shared" si="33"/>
        <v>0</v>
      </c>
      <c r="F181" s="612">
        <f t="shared" si="33"/>
        <v>0</v>
      </c>
      <c r="G181" s="612">
        <f t="shared" si="33"/>
        <v>0</v>
      </c>
      <c r="H181" s="606">
        <f t="shared" si="32"/>
        <v>0</v>
      </c>
    </row>
    <row r="182" spans="1:9" x14ac:dyDescent="0.2">
      <c r="A182" s="284">
        <v>72101</v>
      </c>
      <c r="B182" s="956" t="s">
        <v>804</v>
      </c>
      <c r="C182" s="614"/>
      <c r="D182" s="614"/>
      <c r="E182" s="614"/>
      <c r="F182" s="614"/>
      <c r="G182" s="614"/>
      <c r="H182" s="606">
        <f t="shared" si="32"/>
        <v>0</v>
      </c>
    </row>
    <row r="183" spans="1:9" ht="22.5" x14ac:dyDescent="0.2">
      <c r="A183" s="284">
        <v>722</v>
      </c>
      <c r="B183" s="957" t="s">
        <v>800</v>
      </c>
      <c r="C183" s="614"/>
      <c r="D183" s="614"/>
      <c r="E183" s="614"/>
      <c r="F183" s="614"/>
      <c r="G183" s="614"/>
      <c r="H183" s="606">
        <f t="shared" si="32"/>
        <v>0</v>
      </c>
    </row>
    <row r="184" spans="1:9" x14ac:dyDescent="0.2">
      <c r="A184" s="284">
        <v>72201</v>
      </c>
      <c r="B184" s="958" t="s">
        <v>805</v>
      </c>
      <c r="C184" s="614"/>
      <c r="D184" s="614"/>
      <c r="E184" s="614"/>
      <c r="F184" s="614"/>
      <c r="G184" s="614"/>
      <c r="H184" s="606">
        <f t="shared" si="32"/>
        <v>0</v>
      </c>
    </row>
    <row r="185" spans="1:9" x14ac:dyDescent="0.2">
      <c r="A185" s="284"/>
      <c r="B185" s="958"/>
      <c r="C185" s="614"/>
      <c r="D185" s="614"/>
      <c r="E185" s="614"/>
      <c r="F185" s="614"/>
      <c r="G185" s="614"/>
      <c r="H185" s="606">
        <f t="shared" si="32"/>
        <v>0</v>
      </c>
    </row>
    <row r="186" spans="1:9" x14ac:dyDescent="0.2">
      <c r="A186" s="283">
        <v>99</v>
      </c>
      <c r="B186" s="125" t="s">
        <v>117</v>
      </c>
      <c r="C186" s="612">
        <f t="shared" ref="C186:G187" si="34">+C187</f>
        <v>0</v>
      </c>
      <c r="D186" s="612">
        <f t="shared" si="34"/>
        <v>0</v>
      </c>
      <c r="E186" s="612">
        <f t="shared" si="34"/>
        <v>0</v>
      </c>
      <c r="F186" s="612">
        <f t="shared" si="34"/>
        <v>0</v>
      </c>
      <c r="G186" s="612">
        <f t="shared" si="34"/>
        <v>0</v>
      </c>
      <c r="H186" s="606">
        <f t="shared" si="32"/>
        <v>0</v>
      </c>
    </row>
    <row r="187" spans="1:9" x14ac:dyDescent="0.2">
      <c r="A187" s="283">
        <v>991</v>
      </c>
      <c r="B187" s="125" t="s">
        <v>368</v>
      </c>
      <c r="C187" s="612">
        <f t="shared" si="34"/>
        <v>0</v>
      </c>
      <c r="D187" s="612">
        <f t="shared" si="34"/>
        <v>0</v>
      </c>
      <c r="E187" s="612">
        <f t="shared" si="34"/>
        <v>0</v>
      </c>
      <c r="F187" s="612">
        <f t="shared" si="34"/>
        <v>0</v>
      </c>
      <c r="G187" s="612">
        <f t="shared" si="34"/>
        <v>0</v>
      </c>
      <c r="H187" s="606">
        <f t="shared" si="32"/>
        <v>0</v>
      </c>
    </row>
    <row r="188" spans="1:9" ht="13.5" thickBot="1" x14ac:dyDescent="0.25">
      <c r="A188" s="284">
        <v>99101</v>
      </c>
      <c r="B188" s="52" t="s">
        <v>368</v>
      </c>
      <c r="C188" s="614"/>
      <c r="D188" s="614"/>
      <c r="E188" s="614"/>
      <c r="F188" s="614"/>
      <c r="G188" s="614"/>
      <c r="H188" s="606">
        <f t="shared" si="32"/>
        <v>0</v>
      </c>
    </row>
    <row r="189" spans="1:9" ht="14.25" thickTop="1" thickBot="1" x14ac:dyDescent="0.25">
      <c r="A189" s="285"/>
      <c r="B189" s="286" t="s">
        <v>31</v>
      </c>
      <c r="C189" s="617">
        <f t="shared" ref="C189:G189" si="35">C186+C180+C165+C158+C105+C172+C178+C183</f>
        <v>0</v>
      </c>
      <c r="D189" s="617">
        <f>D186+D180+D165+D158+D105+D172+D178+D183</f>
        <v>362531</v>
      </c>
      <c r="E189" s="617">
        <f t="shared" si="35"/>
        <v>0</v>
      </c>
      <c r="F189" s="617">
        <f t="shared" si="35"/>
        <v>0</v>
      </c>
      <c r="G189" s="617">
        <f t="shared" si="35"/>
        <v>0</v>
      </c>
      <c r="H189" s="617">
        <f>H186+H180+H165+H158+H105+H172+H178+H183</f>
        <v>362531</v>
      </c>
      <c r="I189" s="861">
        <f>H189+H92</f>
        <v>748953.57000000007</v>
      </c>
    </row>
    <row r="190" spans="1:9" ht="13.5" thickTop="1" x14ac:dyDescent="0.2">
      <c r="C190" s="30">
        <f>'BS_CR '!AJ268</f>
        <v>0</v>
      </c>
      <c r="D190" s="30">
        <f>'BS_CR '!AJ179</f>
        <v>362531</v>
      </c>
    </row>
    <row r="191" spans="1:9" x14ac:dyDescent="0.2">
      <c r="D191" s="861">
        <f>D189-D190</f>
        <v>0</v>
      </c>
    </row>
  </sheetData>
  <mergeCells count="12">
    <mergeCell ref="A95:H95"/>
    <mergeCell ref="A96:H96"/>
    <mergeCell ref="A97:H97"/>
    <mergeCell ref="A103:B103"/>
    <mergeCell ref="C103:G103"/>
    <mergeCell ref="H103:H104"/>
    <mergeCell ref="C9:G9"/>
    <mergeCell ref="H9:H10"/>
    <mergeCell ref="A1:H1"/>
    <mergeCell ref="A2:H2"/>
    <mergeCell ref="A9:B9"/>
    <mergeCell ref="A3:H3"/>
  </mergeCells>
  <phoneticPr fontId="0" type="noConversion"/>
  <printOptions horizontalCentered="1"/>
  <pageMargins left="0.43307086614173229" right="0.51181102362204722" top="0.43307086614173229" bottom="0.59055118110236227" header="0" footer="0"/>
  <pageSetup scale="65" orientation="portrait" horizontalDpi="4294967294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3"/>
  <dimension ref="A1:J193"/>
  <sheetViews>
    <sheetView showGridLines="0" topLeftCell="A170" workbookViewId="0">
      <selection activeCell="J192" sqref="J192"/>
    </sheetView>
  </sheetViews>
  <sheetFormatPr baseColWidth="10" defaultColWidth="11.42578125" defaultRowHeight="12.75" x14ac:dyDescent="0.2"/>
  <cols>
    <col min="1" max="1" width="7" style="30" customWidth="1"/>
    <col min="2" max="2" width="45.42578125" style="30" customWidth="1"/>
    <col min="3" max="3" width="14.140625" style="30" bestFit="1" customWidth="1"/>
    <col min="4" max="4" width="14.28515625" style="30" customWidth="1"/>
    <col min="5" max="5" width="9.42578125" style="30" customWidth="1"/>
    <col min="6" max="7" width="13" style="30" bestFit="1" customWidth="1"/>
    <col min="8" max="8" width="14.7109375" style="30" customWidth="1"/>
    <col min="9" max="10" width="13.5703125" style="30" bestFit="1" customWidth="1"/>
    <col min="11" max="16384" width="11.42578125" style="30"/>
  </cols>
  <sheetData>
    <row r="1" spans="1:10" x14ac:dyDescent="0.2">
      <c r="A1" s="1222" t="s">
        <v>92</v>
      </c>
      <c r="B1" s="1222"/>
      <c r="C1" s="1222"/>
      <c r="D1" s="1222"/>
      <c r="E1" s="1222"/>
      <c r="F1" s="1222"/>
      <c r="G1" s="1222"/>
      <c r="H1" s="1222"/>
    </row>
    <row r="2" spans="1:10" x14ac:dyDescent="0.2">
      <c r="A2" s="1222" t="s">
        <v>93</v>
      </c>
      <c r="B2" s="1222"/>
      <c r="C2" s="1222"/>
      <c r="D2" s="1222"/>
      <c r="E2" s="1222"/>
      <c r="F2" s="1222"/>
      <c r="G2" s="1222"/>
      <c r="H2" s="1222"/>
    </row>
    <row r="3" spans="1:10" x14ac:dyDescent="0.2">
      <c r="A3" s="1222"/>
      <c r="B3" s="1222"/>
      <c r="C3" s="1222"/>
      <c r="D3" s="1222"/>
      <c r="E3" s="1222"/>
      <c r="F3" s="1222"/>
      <c r="G3" s="1222"/>
      <c r="H3" s="1222"/>
    </row>
    <row r="4" spans="1:10" x14ac:dyDescent="0.2">
      <c r="A4" s="287" t="str">
        <f>EgreUP01!A4</f>
        <v>INSTITUCION: ALCALDIA MUNICIPAL DE CHALATENANGO</v>
      </c>
      <c r="B4" s="48"/>
      <c r="C4" s="48"/>
      <c r="D4" s="48"/>
      <c r="E4" s="48"/>
      <c r="F4" s="48"/>
      <c r="G4" s="48"/>
      <c r="H4" s="48"/>
    </row>
    <row r="5" spans="1:10" x14ac:dyDescent="0.2">
      <c r="A5" s="287" t="str">
        <f>EgreUP01!A5</f>
        <v>EJERCICIO FINANCIERO FISCAL: DEL 01 DE ENERO AL 31 DE DICIEMBRE DE 2024</v>
      </c>
      <c r="B5" s="48"/>
      <c r="C5" s="48"/>
      <c r="D5" s="48"/>
      <c r="E5" s="48"/>
      <c r="F5" s="48"/>
      <c r="G5" s="48"/>
      <c r="H5" s="48"/>
    </row>
    <row r="6" spans="1:10" x14ac:dyDescent="0.2">
      <c r="A6" s="287" t="s">
        <v>94</v>
      </c>
      <c r="B6" s="48"/>
      <c r="C6" s="48"/>
      <c r="D6" s="48"/>
      <c r="E6" s="48"/>
      <c r="F6" s="48"/>
      <c r="G6" s="48"/>
      <c r="H6" s="48"/>
    </row>
    <row r="7" spans="1:10" x14ac:dyDescent="0.2">
      <c r="A7" s="287" t="s">
        <v>347</v>
      </c>
      <c r="B7" s="48"/>
      <c r="C7" s="48"/>
      <c r="D7" s="48"/>
      <c r="E7" s="48"/>
      <c r="F7" s="48"/>
      <c r="G7" s="48"/>
      <c r="H7" s="48"/>
    </row>
    <row r="8" spans="1:10" ht="13.5" thickBot="1" x14ac:dyDescent="0.25">
      <c r="A8" s="287" t="s">
        <v>478</v>
      </c>
      <c r="B8" s="48"/>
      <c r="C8" s="48"/>
      <c r="D8" s="48"/>
      <c r="E8" s="48"/>
      <c r="F8" s="48"/>
      <c r="G8" s="48"/>
      <c r="H8" s="48"/>
    </row>
    <row r="9" spans="1:10" ht="13.5" thickTop="1" x14ac:dyDescent="0.2">
      <c r="A9" s="1225" t="s">
        <v>95</v>
      </c>
      <c r="B9" s="1226"/>
      <c r="C9" s="1227" t="s">
        <v>187</v>
      </c>
      <c r="D9" s="1218"/>
      <c r="E9" s="1218"/>
      <c r="F9" s="1218"/>
      <c r="G9" s="1219"/>
      <c r="H9" s="1220" t="s">
        <v>31</v>
      </c>
    </row>
    <row r="10" spans="1:10" ht="34.5" thickBot="1" x14ac:dyDescent="0.25">
      <c r="A10" s="278" t="s">
        <v>97</v>
      </c>
      <c r="B10" s="279" t="s">
        <v>98</v>
      </c>
      <c r="C10" s="280" t="s">
        <v>782</v>
      </c>
      <c r="D10" s="280" t="s">
        <v>30</v>
      </c>
      <c r="E10" s="280" t="s">
        <v>135</v>
      </c>
      <c r="F10" s="280" t="s">
        <v>136</v>
      </c>
      <c r="G10" s="280" t="s">
        <v>54</v>
      </c>
      <c r="H10" s="1221"/>
    </row>
    <row r="11" spans="1:10" x14ac:dyDescent="0.2">
      <c r="A11" s="281">
        <v>54</v>
      </c>
      <c r="B11" s="282" t="s">
        <v>107</v>
      </c>
      <c r="C11" s="582">
        <f t="shared" ref="C11:H11" si="0">C12+C32+C37+C51+C56</f>
        <v>87000</v>
      </c>
      <c r="D11" s="582">
        <f t="shared" si="0"/>
        <v>28969.9</v>
      </c>
      <c r="E11" s="582">
        <f t="shared" si="0"/>
        <v>0</v>
      </c>
      <c r="F11" s="582">
        <f t="shared" si="0"/>
        <v>0</v>
      </c>
      <c r="G11" s="582">
        <f t="shared" si="0"/>
        <v>0</v>
      </c>
      <c r="H11" s="603">
        <f t="shared" si="0"/>
        <v>115969.9</v>
      </c>
    </row>
    <row r="12" spans="1:10" x14ac:dyDescent="0.2">
      <c r="A12" s="283">
        <v>541</v>
      </c>
      <c r="B12" s="73" t="s">
        <v>108</v>
      </c>
      <c r="C12" s="604">
        <f t="shared" ref="C12:H12" si="1">SUM(C13:C31)</f>
        <v>57000</v>
      </c>
      <c r="D12" s="604">
        <f t="shared" si="1"/>
        <v>17299.900000000001</v>
      </c>
      <c r="E12" s="604">
        <f t="shared" si="1"/>
        <v>0</v>
      </c>
      <c r="F12" s="604">
        <f t="shared" si="1"/>
        <v>0</v>
      </c>
      <c r="G12" s="604">
        <f t="shared" si="1"/>
        <v>0</v>
      </c>
      <c r="H12" s="605">
        <f t="shared" si="1"/>
        <v>74299.899999999994</v>
      </c>
    </row>
    <row r="13" spans="1:10" x14ac:dyDescent="0.2">
      <c r="A13" s="284">
        <v>54101</v>
      </c>
      <c r="B13" s="81" t="s">
        <v>291</v>
      </c>
      <c r="C13" s="583">
        <f>'BS_CR '!AQ191</f>
        <v>0</v>
      </c>
      <c r="D13" s="583">
        <f>'BS_CR '!AQ100</f>
        <v>0</v>
      </c>
      <c r="E13" s="583"/>
      <c r="F13" s="583"/>
      <c r="G13" s="583"/>
      <c r="H13" s="606">
        <f>SUM(C13:G13)</f>
        <v>0</v>
      </c>
      <c r="I13" s="43"/>
      <c r="J13" s="43"/>
    </row>
    <row r="14" spans="1:10" x14ac:dyDescent="0.2">
      <c r="A14" s="284">
        <v>54103</v>
      </c>
      <c r="B14" s="81" t="s">
        <v>292</v>
      </c>
      <c r="C14" s="583">
        <f>'BS_CR '!AQ193</f>
        <v>0</v>
      </c>
      <c r="D14" s="583">
        <f>'BS_CR '!AQ102</f>
        <v>0</v>
      </c>
      <c r="E14" s="583"/>
      <c r="F14" s="583"/>
      <c r="G14" s="583"/>
      <c r="H14" s="606">
        <f t="shared" ref="H14:H70" si="2">SUM(C14:G14)</f>
        <v>0</v>
      </c>
    </row>
    <row r="15" spans="1:10" x14ac:dyDescent="0.2">
      <c r="A15" s="284">
        <v>54104</v>
      </c>
      <c r="B15" s="81" t="s">
        <v>293</v>
      </c>
      <c r="C15" s="583">
        <f>'BS_CR '!AQ194</f>
        <v>0</v>
      </c>
      <c r="D15" s="583">
        <f>'BS_CR '!AQ103</f>
        <v>0</v>
      </c>
      <c r="E15" s="583"/>
      <c r="F15" s="583"/>
      <c r="G15" s="583"/>
      <c r="H15" s="606">
        <f>SUM(C15:G15)</f>
        <v>0</v>
      </c>
    </row>
    <row r="16" spans="1:10" x14ac:dyDescent="0.2">
      <c r="A16" s="284">
        <v>54105</v>
      </c>
      <c r="B16" s="81" t="s">
        <v>294</v>
      </c>
      <c r="C16" s="583">
        <f>'BS_CR '!AQ195</f>
        <v>0</v>
      </c>
      <c r="D16" s="583">
        <f>'BS_CR '!AQ104</f>
        <v>5000</v>
      </c>
      <c r="E16" s="607"/>
      <c r="F16" s="607"/>
      <c r="G16" s="607"/>
      <c r="H16" s="606">
        <f t="shared" si="2"/>
        <v>5000</v>
      </c>
    </row>
    <row r="17" spans="1:8" x14ac:dyDescent="0.2">
      <c r="A17" s="284">
        <v>54106</v>
      </c>
      <c r="B17" s="81" t="s">
        <v>295</v>
      </c>
      <c r="C17" s="583">
        <f>'BS_CR '!AQ196</f>
        <v>0</v>
      </c>
      <c r="D17" s="583">
        <f>'BS_CR '!AQ105</f>
        <v>0</v>
      </c>
      <c r="E17" s="583"/>
      <c r="F17" s="583"/>
      <c r="G17" s="583"/>
      <c r="H17" s="606">
        <f t="shared" si="2"/>
        <v>0</v>
      </c>
    </row>
    <row r="18" spans="1:8" x14ac:dyDescent="0.2">
      <c r="A18" s="284">
        <v>54107</v>
      </c>
      <c r="B18" s="81" t="s">
        <v>296</v>
      </c>
      <c r="C18" s="583">
        <f>'BS_CR '!AQ197</f>
        <v>0</v>
      </c>
      <c r="D18" s="583">
        <f>'BS_CR '!AQ106</f>
        <v>1500</v>
      </c>
      <c r="E18" s="608"/>
      <c r="F18" s="608"/>
      <c r="G18" s="608"/>
      <c r="H18" s="606">
        <f t="shared" si="2"/>
        <v>1500</v>
      </c>
    </row>
    <row r="19" spans="1:8" x14ac:dyDescent="0.2">
      <c r="A19" s="284">
        <v>54108</v>
      </c>
      <c r="B19" s="81" t="s">
        <v>297</v>
      </c>
      <c r="C19" s="583">
        <f>'BS_CR '!AQ198</f>
        <v>0</v>
      </c>
      <c r="D19" s="583">
        <f>'BS_CR '!AQ107</f>
        <v>0</v>
      </c>
      <c r="E19" s="608"/>
      <c r="F19" s="608"/>
      <c r="G19" s="608"/>
      <c r="H19" s="606">
        <f t="shared" si="2"/>
        <v>0</v>
      </c>
    </row>
    <row r="20" spans="1:8" x14ac:dyDescent="0.2">
      <c r="A20" s="284">
        <v>54109</v>
      </c>
      <c r="B20" s="81" t="s">
        <v>298</v>
      </c>
      <c r="C20" s="583">
        <f>'BS_CR '!AQ199</f>
        <v>12000</v>
      </c>
      <c r="D20" s="583">
        <f>'BS_CR '!AQ108</f>
        <v>0</v>
      </c>
      <c r="E20" s="608"/>
      <c r="F20" s="608"/>
      <c r="G20" s="608"/>
      <c r="H20" s="606">
        <f t="shared" si="2"/>
        <v>12000</v>
      </c>
    </row>
    <row r="21" spans="1:8" x14ac:dyDescent="0.2">
      <c r="A21" s="284">
        <v>54110</v>
      </c>
      <c r="B21" s="81" t="s">
        <v>309</v>
      </c>
      <c r="C21" s="583">
        <f>'BS_CR '!AQ200</f>
        <v>42000</v>
      </c>
      <c r="D21" s="583">
        <f>'BS_CR '!AQ109</f>
        <v>0</v>
      </c>
      <c r="E21" s="608"/>
      <c r="F21" s="608"/>
      <c r="G21" s="608"/>
      <c r="H21" s="606">
        <f t="shared" si="2"/>
        <v>42000</v>
      </c>
    </row>
    <row r="22" spans="1:8" x14ac:dyDescent="0.2">
      <c r="A22" s="284">
        <v>54111</v>
      </c>
      <c r="B22" s="81" t="s">
        <v>299</v>
      </c>
      <c r="C22" s="583">
        <f>'BS_CR '!AQ201</f>
        <v>0</v>
      </c>
      <c r="D22" s="583">
        <f>'BS_CR '!AQ110</f>
        <v>0</v>
      </c>
      <c r="E22" s="608"/>
      <c r="F22" s="608"/>
      <c r="G22" s="608"/>
      <c r="H22" s="606">
        <f>SUM(C22:G22)</f>
        <v>0</v>
      </c>
    </row>
    <row r="23" spans="1:8" x14ac:dyDescent="0.2">
      <c r="A23" s="284">
        <v>54112</v>
      </c>
      <c r="B23" s="81" t="s">
        <v>300</v>
      </c>
      <c r="C23" s="583">
        <f>'BS_CR '!AQ202</f>
        <v>0</v>
      </c>
      <c r="D23" s="583">
        <f>'BS_CR '!AQ111</f>
        <v>0</v>
      </c>
      <c r="E23" s="608"/>
      <c r="F23" s="608"/>
      <c r="G23" s="608"/>
      <c r="H23" s="606">
        <f t="shared" si="2"/>
        <v>0</v>
      </c>
    </row>
    <row r="24" spans="1:8" x14ac:dyDescent="0.2">
      <c r="A24" s="284">
        <v>54114</v>
      </c>
      <c r="B24" s="81" t="s">
        <v>301</v>
      </c>
      <c r="C24" s="583">
        <f>'BS_CR '!AQ204</f>
        <v>0</v>
      </c>
      <c r="D24" s="583">
        <f>'BS_CR '!AQ113</f>
        <v>3000</v>
      </c>
      <c r="E24" s="608"/>
      <c r="F24" s="608"/>
      <c r="G24" s="608"/>
      <c r="H24" s="606">
        <f t="shared" si="2"/>
        <v>3000</v>
      </c>
    </row>
    <row r="25" spans="1:8" x14ac:dyDescent="0.2">
      <c r="A25" s="284">
        <v>54115</v>
      </c>
      <c r="B25" s="81" t="s">
        <v>302</v>
      </c>
      <c r="C25" s="583">
        <f>'BS_CR '!AQ205</f>
        <v>0</v>
      </c>
      <c r="D25" s="583">
        <f>'BS_CR '!AQ114</f>
        <v>2799.9</v>
      </c>
      <c r="E25" s="608"/>
      <c r="F25" s="608"/>
      <c r="G25" s="608"/>
      <c r="H25" s="606">
        <f t="shared" si="2"/>
        <v>2799.9</v>
      </c>
    </row>
    <row r="26" spans="1:8" x14ac:dyDescent="0.2">
      <c r="A26" s="284">
        <v>54116</v>
      </c>
      <c r="B26" s="81" t="s">
        <v>303</v>
      </c>
      <c r="C26" s="583">
        <f>'BS_CR '!AQ206</f>
        <v>0</v>
      </c>
      <c r="D26" s="583">
        <f>'BS_CR '!AQ115</f>
        <v>0</v>
      </c>
      <c r="E26" s="608"/>
      <c r="F26" s="608"/>
      <c r="G26" s="608"/>
      <c r="H26" s="606">
        <f t="shared" si="2"/>
        <v>0</v>
      </c>
    </row>
    <row r="27" spans="1:8" x14ac:dyDescent="0.2">
      <c r="A27" s="284">
        <v>54117</v>
      </c>
      <c r="B27" s="81" t="s">
        <v>304</v>
      </c>
      <c r="C27" s="583">
        <f>'BS_CR '!AQ207</f>
        <v>0</v>
      </c>
      <c r="D27" s="583">
        <f>'BS_CR '!AQ116</f>
        <v>0</v>
      </c>
      <c r="E27" s="608"/>
      <c r="F27" s="608"/>
      <c r="G27" s="608"/>
      <c r="H27" s="606">
        <f t="shared" si="2"/>
        <v>0</v>
      </c>
    </row>
    <row r="28" spans="1:8" x14ac:dyDescent="0.2">
      <c r="A28" s="284">
        <v>54118</v>
      </c>
      <c r="B28" s="81" t="s">
        <v>305</v>
      </c>
      <c r="C28" s="583">
        <f>'BS_CR '!AQ208</f>
        <v>3000</v>
      </c>
      <c r="D28" s="583">
        <f>'BS_CR '!AQ117</f>
        <v>0</v>
      </c>
      <c r="E28" s="608"/>
      <c r="F28" s="608"/>
      <c r="G28" s="608"/>
      <c r="H28" s="606">
        <f t="shared" si="2"/>
        <v>3000</v>
      </c>
    </row>
    <row r="29" spans="1:8" x14ac:dyDescent="0.2">
      <c r="A29" s="284">
        <v>54119</v>
      </c>
      <c r="B29" s="81" t="s">
        <v>306</v>
      </c>
      <c r="C29" s="583">
        <f>'BS_CR '!AQ209</f>
        <v>0</v>
      </c>
      <c r="D29" s="583">
        <f>'BS_CR '!AQ118</f>
        <v>0</v>
      </c>
      <c r="E29" s="608"/>
      <c r="F29" s="608"/>
      <c r="G29" s="608"/>
      <c r="H29" s="606">
        <f t="shared" si="2"/>
        <v>0</v>
      </c>
    </row>
    <row r="30" spans="1:8" x14ac:dyDescent="0.2">
      <c r="A30" s="284">
        <v>54121</v>
      </c>
      <c r="B30" s="81" t="s">
        <v>307</v>
      </c>
      <c r="C30" s="583">
        <f>'BS_CR '!AQ210</f>
        <v>0</v>
      </c>
      <c r="D30" s="583">
        <f>'BS_CR '!AQ119</f>
        <v>0</v>
      </c>
      <c r="E30" s="608"/>
      <c r="F30" s="608"/>
      <c r="G30" s="608"/>
      <c r="H30" s="606">
        <f t="shared" si="2"/>
        <v>0</v>
      </c>
    </row>
    <row r="31" spans="1:8" x14ac:dyDescent="0.2">
      <c r="A31" s="284">
        <v>54199</v>
      </c>
      <c r="B31" s="81" t="s">
        <v>308</v>
      </c>
      <c r="C31" s="583">
        <f>'BS_CR '!AQ211</f>
        <v>0</v>
      </c>
      <c r="D31" s="583">
        <f>'BS_CR '!AQ120</f>
        <v>5000</v>
      </c>
      <c r="E31" s="608"/>
      <c r="F31" s="608"/>
      <c r="G31" s="608"/>
      <c r="H31" s="606">
        <f t="shared" si="2"/>
        <v>5000</v>
      </c>
    </row>
    <row r="32" spans="1:8" x14ac:dyDescent="0.2">
      <c r="A32" s="283">
        <v>542</v>
      </c>
      <c r="B32" s="73" t="s">
        <v>109</v>
      </c>
      <c r="C32" s="609">
        <f t="shared" ref="C32:H32" si="3">SUM(C33:C36)</f>
        <v>0</v>
      </c>
      <c r="D32" s="609">
        <f t="shared" si="3"/>
        <v>0</v>
      </c>
      <c r="E32" s="609">
        <f t="shared" si="3"/>
        <v>0</v>
      </c>
      <c r="F32" s="609">
        <f t="shared" si="3"/>
        <v>0</v>
      </c>
      <c r="G32" s="609">
        <f t="shared" si="3"/>
        <v>0</v>
      </c>
      <c r="H32" s="610">
        <f t="shared" si="3"/>
        <v>0</v>
      </c>
    </row>
    <row r="33" spans="1:8" x14ac:dyDescent="0.2">
      <c r="A33" s="284">
        <v>54201</v>
      </c>
      <c r="B33" s="81" t="s">
        <v>311</v>
      </c>
      <c r="C33" s="583">
        <f>'BS_CR '!AQ213</f>
        <v>0</v>
      </c>
      <c r="D33" s="583">
        <f>'BS_CR '!AQ122</f>
        <v>0</v>
      </c>
      <c r="E33" s="608"/>
      <c r="F33" s="608"/>
      <c r="G33" s="608"/>
      <c r="H33" s="606">
        <f t="shared" si="2"/>
        <v>0</v>
      </c>
    </row>
    <row r="34" spans="1:8" x14ac:dyDescent="0.2">
      <c r="A34" s="284">
        <v>54202</v>
      </c>
      <c r="B34" s="81" t="s">
        <v>310</v>
      </c>
      <c r="C34" s="583">
        <f>'BS_CR '!AQ214</f>
        <v>0</v>
      </c>
      <c r="D34" s="583">
        <f>'BS_CR '!AQ123</f>
        <v>0</v>
      </c>
      <c r="E34" s="608"/>
      <c r="F34" s="608"/>
      <c r="G34" s="608"/>
      <c r="H34" s="606">
        <f t="shared" si="2"/>
        <v>0</v>
      </c>
    </row>
    <row r="35" spans="1:8" x14ac:dyDescent="0.2">
      <c r="A35" s="284">
        <v>54203</v>
      </c>
      <c r="B35" s="81" t="s">
        <v>312</v>
      </c>
      <c r="C35" s="583">
        <f>'BS_CR '!AQ215</f>
        <v>0</v>
      </c>
      <c r="D35" s="583">
        <f>'BS_CR '!AQ124</f>
        <v>0</v>
      </c>
      <c r="E35" s="608"/>
      <c r="F35" s="608"/>
      <c r="G35" s="608"/>
      <c r="H35" s="606">
        <f t="shared" si="2"/>
        <v>0</v>
      </c>
    </row>
    <row r="36" spans="1:8" x14ac:dyDescent="0.2">
      <c r="A36" s="284">
        <v>54204</v>
      </c>
      <c r="B36" s="81" t="s">
        <v>313</v>
      </c>
      <c r="C36" s="583">
        <f>'BS_CR '!AQ216</f>
        <v>0</v>
      </c>
      <c r="D36" s="583">
        <f>'BS_CR '!AQ125</f>
        <v>0</v>
      </c>
      <c r="E36" s="608"/>
      <c r="F36" s="608"/>
      <c r="G36" s="608"/>
      <c r="H36" s="606">
        <f t="shared" si="2"/>
        <v>0</v>
      </c>
    </row>
    <row r="37" spans="1:8" x14ac:dyDescent="0.2">
      <c r="A37" s="283">
        <v>543</v>
      </c>
      <c r="B37" s="73" t="s">
        <v>110</v>
      </c>
      <c r="C37" s="609">
        <f t="shared" ref="C37:H37" si="4">SUM(C38:C50)</f>
        <v>30000</v>
      </c>
      <c r="D37" s="609">
        <f t="shared" si="4"/>
        <v>11670</v>
      </c>
      <c r="E37" s="609">
        <f t="shared" si="4"/>
        <v>0</v>
      </c>
      <c r="F37" s="609">
        <f t="shared" si="4"/>
        <v>0</v>
      </c>
      <c r="G37" s="609">
        <f t="shared" si="4"/>
        <v>0</v>
      </c>
      <c r="H37" s="610">
        <f t="shared" si="4"/>
        <v>41670</v>
      </c>
    </row>
    <row r="38" spans="1:8" x14ac:dyDescent="0.2">
      <c r="A38" s="284">
        <v>54301</v>
      </c>
      <c r="B38" s="81" t="s">
        <v>314</v>
      </c>
      <c r="C38" s="583">
        <f>'BS_CR '!AQ218</f>
        <v>0</v>
      </c>
      <c r="D38" s="583">
        <f>'BS_CR '!AQ127</f>
        <v>5550</v>
      </c>
      <c r="E38" s="608"/>
      <c r="F38" s="608"/>
      <c r="G38" s="608"/>
      <c r="H38" s="606">
        <f t="shared" si="2"/>
        <v>5550</v>
      </c>
    </row>
    <row r="39" spans="1:8" x14ac:dyDescent="0.2">
      <c r="A39" s="284">
        <v>54302</v>
      </c>
      <c r="B39" s="81" t="s">
        <v>315</v>
      </c>
      <c r="C39" s="583">
        <f>'BS_CR '!AQ219</f>
        <v>30000</v>
      </c>
      <c r="D39" s="583">
        <f>'BS_CR '!AQ128</f>
        <v>0</v>
      </c>
      <c r="E39" s="608"/>
      <c r="F39" s="608"/>
      <c r="G39" s="608"/>
      <c r="H39" s="606">
        <f t="shared" si="2"/>
        <v>30000</v>
      </c>
    </row>
    <row r="40" spans="1:8" x14ac:dyDescent="0.2">
      <c r="A40" s="284">
        <v>54303</v>
      </c>
      <c r="B40" s="81" t="s">
        <v>316</v>
      </c>
      <c r="C40" s="583">
        <f>'BS_CR '!AQ220</f>
        <v>0</v>
      </c>
      <c r="D40" s="583">
        <f>'BS_CR '!AQ129</f>
        <v>5000</v>
      </c>
      <c r="E40" s="608"/>
      <c r="F40" s="608"/>
      <c r="G40" s="608"/>
      <c r="H40" s="606">
        <f t="shared" si="2"/>
        <v>5000</v>
      </c>
    </row>
    <row r="41" spans="1:8" x14ac:dyDescent="0.2">
      <c r="A41" s="284">
        <v>54304</v>
      </c>
      <c r="B41" s="81" t="s">
        <v>317</v>
      </c>
      <c r="C41" s="583">
        <f>'BS_CR '!AQ221</f>
        <v>0</v>
      </c>
      <c r="D41" s="583">
        <f>'BS_CR '!AQ130</f>
        <v>0</v>
      </c>
      <c r="E41" s="608"/>
      <c r="F41" s="608"/>
      <c r="G41" s="608"/>
      <c r="H41" s="606">
        <f t="shared" si="2"/>
        <v>0</v>
      </c>
    </row>
    <row r="42" spans="1:8" x14ac:dyDescent="0.2">
      <c r="A42" s="284">
        <v>54305</v>
      </c>
      <c r="B42" s="81" t="s">
        <v>318</v>
      </c>
      <c r="C42" s="583">
        <f>'BS_CR '!AQ222</f>
        <v>0</v>
      </c>
      <c r="D42" s="583">
        <f>'BS_CR '!AQ131</f>
        <v>0</v>
      </c>
      <c r="E42" s="608"/>
      <c r="F42" s="608"/>
      <c r="G42" s="608"/>
      <c r="H42" s="606">
        <f t="shared" si="2"/>
        <v>0</v>
      </c>
    </row>
    <row r="43" spans="1:8" x14ac:dyDescent="0.2">
      <c r="A43" s="284">
        <v>54306</v>
      </c>
      <c r="B43" s="81" t="s">
        <v>319</v>
      </c>
      <c r="C43" s="583">
        <f>'BS_CR '!AQ223</f>
        <v>0</v>
      </c>
      <c r="D43" s="583">
        <f>'BS_CR '!AQ132</f>
        <v>0</v>
      </c>
      <c r="E43" s="608"/>
      <c r="F43" s="608"/>
      <c r="G43" s="608"/>
      <c r="H43" s="606">
        <f t="shared" si="2"/>
        <v>0</v>
      </c>
    </row>
    <row r="44" spans="1:8" x14ac:dyDescent="0.2">
      <c r="A44" s="284">
        <v>54307</v>
      </c>
      <c r="B44" s="81" t="s">
        <v>320</v>
      </c>
      <c r="C44" s="583">
        <f>'BS_CR '!AQ224</f>
        <v>0</v>
      </c>
      <c r="D44" s="583">
        <f>'BS_CR '!AQ133</f>
        <v>1000</v>
      </c>
      <c r="E44" s="608"/>
      <c r="F44" s="608"/>
      <c r="G44" s="608"/>
      <c r="H44" s="606">
        <f t="shared" si="2"/>
        <v>1000</v>
      </c>
    </row>
    <row r="45" spans="1:8" x14ac:dyDescent="0.2">
      <c r="A45" s="284">
        <v>54309</v>
      </c>
      <c r="B45" s="81" t="s">
        <v>321</v>
      </c>
      <c r="C45" s="583">
        <f>'BS_CR '!AQ225</f>
        <v>0</v>
      </c>
      <c r="D45" s="583">
        <f>'BS_CR '!AQ134</f>
        <v>0</v>
      </c>
      <c r="E45" s="608"/>
      <c r="F45" s="608"/>
      <c r="G45" s="608"/>
      <c r="H45" s="606">
        <f t="shared" si="2"/>
        <v>0</v>
      </c>
    </row>
    <row r="46" spans="1:8" x14ac:dyDescent="0.2">
      <c r="A46" s="284">
        <v>54310</v>
      </c>
      <c r="B46" s="81" t="s">
        <v>322</v>
      </c>
      <c r="C46" s="583">
        <f>'BS_CR '!AQ226</f>
        <v>0</v>
      </c>
      <c r="D46" s="583">
        <f>'BS_CR '!AQ135</f>
        <v>0</v>
      </c>
      <c r="E46" s="608"/>
      <c r="F46" s="608"/>
      <c r="G46" s="608"/>
      <c r="H46" s="606">
        <f t="shared" si="2"/>
        <v>0</v>
      </c>
    </row>
    <row r="47" spans="1:8" x14ac:dyDescent="0.2">
      <c r="A47" s="284">
        <v>54311</v>
      </c>
      <c r="B47" s="81" t="s">
        <v>323</v>
      </c>
      <c r="C47" s="583">
        <f>'BS_CR '!AQ227</f>
        <v>0</v>
      </c>
      <c r="D47" s="583">
        <f>'BS_CR '!AQ136</f>
        <v>0</v>
      </c>
      <c r="E47" s="608"/>
      <c r="F47" s="608"/>
      <c r="G47" s="608"/>
      <c r="H47" s="606">
        <f t="shared" si="2"/>
        <v>0</v>
      </c>
    </row>
    <row r="48" spans="1:8" x14ac:dyDescent="0.2">
      <c r="A48" s="284">
        <v>54313</v>
      </c>
      <c r="B48" s="81" t="s">
        <v>324</v>
      </c>
      <c r="C48" s="583">
        <f>'BS_CR '!AQ228</f>
        <v>0</v>
      </c>
      <c r="D48" s="583">
        <f>'BS_CR '!AQ137</f>
        <v>120</v>
      </c>
      <c r="E48" s="608"/>
      <c r="F48" s="608"/>
      <c r="G48" s="608"/>
      <c r="H48" s="606">
        <f t="shared" si="2"/>
        <v>120</v>
      </c>
    </row>
    <row r="49" spans="1:8" x14ac:dyDescent="0.2">
      <c r="A49" s="284">
        <v>54314</v>
      </c>
      <c r="B49" s="81" t="s">
        <v>325</v>
      </c>
      <c r="C49" s="583">
        <f>'BS_CR '!AQ229</f>
        <v>0</v>
      </c>
      <c r="D49" s="583">
        <f>'BS_CR '!AQ138</f>
        <v>0</v>
      </c>
      <c r="E49" s="608"/>
      <c r="F49" s="608"/>
      <c r="G49" s="608"/>
      <c r="H49" s="606">
        <f t="shared" si="2"/>
        <v>0</v>
      </c>
    </row>
    <row r="50" spans="1:8" x14ac:dyDescent="0.2">
      <c r="A50" s="284">
        <v>54399</v>
      </c>
      <c r="B50" s="81" t="s">
        <v>326</v>
      </c>
      <c r="C50" s="583">
        <f>'BS_CR '!AQ230</f>
        <v>0</v>
      </c>
      <c r="D50" s="583">
        <f>'BS_CR '!AQ140</f>
        <v>0</v>
      </c>
      <c r="E50" s="608"/>
      <c r="F50" s="608"/>
      <c r="G50" s="608"/>
      <c r="H50" s="606">
        <f t="shared" si="2"/>
        <v>0</v>
      </c>
    </row>
    <row r="51" spans="1:8" x14ac:dyDescent="0.2">
      <c r="A51" s="283">
        <v>544</v>
      </c>
      <c r="B51" s="73" t="s">
        <v>111</v>
      </c>
      <c r="C51" s="609">
        <f t="shared" ref="C51:H51" si="5">SUM(C52:C60)</f>
        <v>0</v>
      </c>
      <c r="D51" s="609">
        <f t="shared" si="5"/>
        <v>0</v>
      </c>
      <c r="E51" s="609">
        <f t="shared" si="5"/>
        <v>0</v>
      </c>
      <c r="F51" s="609">
        <f t="shared" si="5"/>
        <v>0</v>
      </c>
      <c r="G51" s="609">
        <f t="shared" si="5"/>
        <v>0</v>
      </c>
      <c r="H51" s="610">
        <f t="shared" si="5"/>
        <v>0</v>
      </c>
    </row>
    <row r="52" spans="1:8" x14ac:dyDescent="0.2">
      <c r="A52" s="284">
        <v>54401</v>
      </c>
      <c r="B52" s="81" t="s">
        <v>327</v>
      </c>
      <c r="C52" s="583">
        <f>'BS_CR '!AQ232</f>
        <v>0</v>
      </c>
      <c r="D52" s="583">
        <f>'BS_CR '!AQ142</f>
        <v>0</v>
      </c>
      <c r="E52" s="608"/>
      <c r="F52" s="608"/>
      <c r="G52" s="608"/>
      <c r="H52" s="606">
        <f t="shared" si="2"/>
        <v>0</v>
      </c>
    </row>
    <row r="53" spans="1:8" x14ac:dyDescent="0.2">
      <c r="A53" s="284">
        <v>54402</v>
      </c>
      <c r="B53" s="81" t="s">
        <v>328</v>
      </c>
      <c r="C53" s="583">
        <f>'BS_CR '!AQ233</f>
        <v>0</v>
      </c>
      <c r="D53" s="583">
        <f>'BS_CR '!AQ143</f>
        <v>0</v>
      </c>
      <c r="E53" s="608"/>
      <c r="F53" s="608"/>
      <c r="G53" s="608"/>
      <c r="H53" s="606">
        <f t="shared" si="2"/>
        <v>0</v>
      </c>
    </row>
    <row r="54" spans="1:8" x14ac:dyDescent="0.2">
      <c r="A54" s="284">
        <v>54403</v>
      </c>
      <c r="B54" s="81" t="s">
        <v>330</v>
      </c>
      <c r="C54" s="583">
        <f>'BS_CR '!AQ234</f>
        <v>0</v>
      </c>
      <c r="D54" s="583">
        <f>'BS_CR '!AQ144</f>
        <v>0</v>
      </c>
      <c r="E54" s="608"/>
      <c r="F54" s="608"/>
      <c r="G54" s="608"/>
      <c r="H54" s="606">
        <f t="shared" si="2"/>
        <v>0</v>
      </c>
    </row>
    <row r="55" spans="1:8" x14ac:dyDescent="0.2">
      <c r="A55" s="284">
        <v>54404</v>
      </c>
      <c r="B55" s="81" t="s">
        <v>329</v>
      </c>
      <c r="C55" s="583">
        <f>'BS_CR '!AQ235</f>
        <v>0</v>
      </c>
      <c r="D55" s="583">
        <f>'BS_CR '!AQ145</f>
        <v>0</v>
      </c>
      <c r="E55" s="608"/>
      <c r="F55" s="608"/>
      <c r="G55" s="608"/>
      <c r="H55" s="606">
        <f t="shared" si="2"/>
        <v>0</v>
      </c>
    </row>
    <row r="56" spans="1:8" x14ac:dyDescent="0.2">
      <c r="A56" s="283">
        <v>545</v>
      </c>
      <c r="B56" s="73" t="s">
        <v>331</v>
      </c>
      <c r="C56" s="608">
        <f t="shared" ref="C56:H56" si="6">SUM(C57:C60)</f>
        <v>0</v>
      </c>
      <c r="D56" s="608">
        <f t="shared" si="6"/>
        <v>0</v>
      </c>
      <c r="E56" s="608">
        <f t="shared" si="6"/>
        <v>0</v>
      </c>
      <c r="F56" s="608">
        <f t="shared" si="6"/>
        <v>0</v>
      </c>
      <c r="G56" s="608">
        <f t="shared" si="6"/>
        <v>0</v>
      </c>
      <c r="H56" s="611">
        <f t="shared" si="6"/>
        <v>0</v>
      </c>
    </row>
    <row r="57" spans="1:8" x14ac:dyDescent="0.2">
      <c r="A57" s="284">
        <v>54503</v>
      </c>
      <c r="B57" s="81" t="s">
        <v>462</v>
      </c>
      <c r="C57" s="583">
        <f>'BS_CR '!AQ237</f>
        <v>0</v>
      </c>
      <c r="D57" s="583">
        <f>'BS_CR '!AQ147</f>
        <v>0</v>
      </c>
      <c r="E57" s="608"/>
      <c r="F57" s="608"/>
      <c r="G57" s="608"/>
      <c r="H57" s="606">
        <f t="shared" si="2"/>
        <v>0</v>
      </c>
    </row>
    <row r="58" spans="1:8" x14ac:dyDescent="0.2">
      <c r="A58" s="284">
        <v>54505</v>
      </c>
      <c r="B58" s="81" t="s">
        <v>333</v>
      </c>
      <c r="C58" s="583">
        <f>'BS_CR '!AQ238</f>
        <v>0</v>
      </c>
      <c r="D58" s="583">
        <f>'BS_CR '!AQ148</f>
        <v>0</v>
      </c>
      <c r="E58" s="608"/>
      <c r="F58" s="608"/>
      <c r="G58" s="608"/>
      <c r="H58" s="606">
        <f t="shared" si="2"/>
        <v>0</v>
      </c>
    </row>
    <row r="59" spans="1:8" x14ac:dyDescent="0.2">
      <c r="A59" s="284">
        <v>54507</v>
      </c>
      <c r="B59" s="81" t="s">
        <v>482</v>
      </c>
      <c r="C59" s="583">
        <f>'BS_CR '!AQ239</f>
        <v>0</v>
      </c>
      <c r="D59" s="583">
        <f>'BS_CR '!AQ149</f>
        <v>0</v>
      </c>
      <c r="E59" s="608"/>
      <c r="F59" s="608"/>
      <c r="G59" s="608"/>
      <c r="H59" s="606">
        <f t="shared" si="2"/>
        <v>0</v>
      </c>
    </row>
    <row r="60" spans="1:8" x14ac:dyDescent="0.2">
      <c r="A60" s="284">
        <v>54508</v>
      </c>
      <c r="B60" s="81" t="s">
        <v>335</v>
      </c>
      <c r="C60" s="583">
        <f>'BS_CR '!AQ240</f>
        <v>0</v>
      </c>
      <c r="D60" s="583">
        <f>'BS_CR '!AQ150</f>
        <v>0</v>
      </c>
      <c r="E60" s="608"/>
      <c r="F60" s="608"/>
      <c r="G60" s="608"/>
      <c r="H60" s="606">
        <f t="shared" si="2"/>
        <v>0</v>
      </c>
    </row>
    <row r="61" spans="1:8" x14ac:dyDescent="0.2">
      <c r="A61" s="283">
        <v>55</v>
      </c>
      <c r="B61" s="73" t="s">
        <v>112</v>
      </c>
      <c r="C61" s="608">
        <f t="shared" ref="C61:H61" si="7">+C62+C66</f>
        <v>0</v>
      </c>
      <c r="D61" s="608">
        <f t="shared" si="7"/>
        <v>13000</v>
      </c>
      <c r="E61" s="608">
        <f t="shared" si="7"/>
        <v>0</v>
      </c>
      <c r="F61" s="608">
        <f t="shared" si="7"/>
        <v>0</v>
      </c>
      <c r="G61" s="608">
        <f t="shared" si="7"/>
        <v>0</v>
      </c>
      <c r="H61" s="611">
        <f t="shared" si="7"/>
        <v>13000</v>
      </c>
    </row>
    <row r="62" spans="1:8" x14ac:dyDescent="0.2">
      <c r="A62" s="283">
        <v>556</v>
      </c>
      <c r="B62" s="73" t="s">
        <v>113</v>
      </c>
      <c r="C62" s="608">
        <f t="shared" ref="C62:H62" si="8">SUM(C63:C65)</f>
        <v>0</v>
      </c>
      <c r="D62" s="608">
        <f t="shared" si="8"/>
        <v>13000</v>
      </c>
      <c r="E62" s="608">
        <f t="shared" si="8"/>
        <v>0</v>
      </c>
      <c r="F62" s="608">
        <f t="shared" si="8"/>
        <v>0</v>
      </c>
      <c r="G62" s="608">
        <f t="shared" si="8"/>
        <v>0</v>
      </c>
      <c r="H62" s="611">
        <f t="shared" si="8"/>
        <v>13000</v>
      </c>
    </row>
    <row r="63" spans="1:8" x14ac:dyDescent="0.2">
      <c r="A63" s="284">
        <v>55601</v>
      </c>
      <c r="B63" s="81" t="s">
        <v>336</v>
      </c>
      <c r="C63" s="583">
        <f>'BS_CR '!AQ245</f>
        <v>0</v>
      </c>
      <c r="D63" s="583">
        <f>'BS_CR '!AQ155</f>
        <v>0</v>
      </c>
      <c r="E63" s="608"/>
      <c r="F63" s="608"/>
      <c r="G63" s="608"/>
      <c r="H63" s="606">
        <f t="shared" si="2"/>
        <v>0</v>
      </c>
    </row>
    <row r="64" spans="1:8" x14ac:dyDescent="0.2">
      <c r="A64" s="284">
        <v>55603</v>
      </c>
      <c r="B64" s="81" t="s">
        <v>337</v>
      </c>
      <c r="C64" s="583">
        <f>'BS_CR '!AQ246</f>
        <v>0</v>
      </c>
      <c r="D64" s="583">
        <f>'BS_CR '!AQ156</f>
        <v>13000</v>
      </c>
      <c r="E64" s="608"/>
      <c r="F64" s="608"/>
      <c r="G64" s="608"/>
      <c r="H64" s="606">
        <f t="shared" si="2"/>
        <v>13000</v>
      </c>
    </row>
    <row r="65" spans="1:8" x14ac:dyDescent="0.2">
      <c r="A65" s="284">
        <v>55603</v>
      </c>
      <c r="B65" s="81" t="s">
        <v>338</v>
      </c>
      <c r="C65" s="583">
        <f>'BS_CR '!AQ247</f>
        <v>0</v>
      </c>
      <c r="D65" s="583">
        <f>'BS_CR '!AQ157</f>
        <v>0</v>
      </c>
      <c r="E65" s="608"/>
      <c r="F65" s="608"/>
      <c r="G65" s="608"/>
      <c r="H65" s="606">
        <f t="shared" si="2"/>
        <v>0</v>
      </c>
    </row>
    <row r="66" spans="1:8" x14ac:dyDescent="0.2">
      <c r="A66" s="283">
        <v>557</v>
      </c>
      <c r="B66" s="73" t="s">
        <v>114</v>
      </c>
      <c r="C66" s="608">
        <f t="shared" ref="C66:H66" si="9">SUM(C67)</f>
        <v>0</v>
      </c>
      <c r="D66" s="608">
        <f t="shared" si="9"/>
        <v>0</v>
      </c>
      <c r="E66" s="608">
        <f t="shared" si="9"/>
        <v>0</v>
      </c>
      <c r="F66" s="608">
        <f t="shared" si="9"/>
        <v>0</v>
      </c>
      <c r="G66" s="608">
        <f t="shared" si="9"/>
        <v>0</v>
      </c>
      <c r="H66" s="611">
        <f t="shared" si="9"/>
        <v>0</v>
      </c>
    </row>
    <row r="67" spans="1:8" x14ac:dyDescent="0.2">
      <c r="A67" s="284">
        <v>55799</v>
      </c>
      <c r="B67" s="81" t="s">
        <v>339</v>
      </c>
      <c r="C67" s="583">
        <f>'BS_CR '!AQ249</f>
        <v>0</v>
      </c>
      <c r="D67" s="583">
        <f>'BS_CR '!AQ159</f>
        <v>0</v>
      </c>
      <c r="E67" s="608"/>
      <c r="F67" s="608"/>
      <c r="G67" s="608"/>
      <c r="H67" s="606">
        <f t="shared" si="2"/>
        <v>0</v>
      </c>
    </row>
    <row r="68" spans="1:8" x14ac:dyDescent="0.2">
      <c r="A68" s="283">
        <v>56</v>
      </c>
      <c r="B68" s="73" t="s">
        <v>115</v>
      </c>
      <c r="C68" s="608">
        <f t="shared" ref="C68:H68" si="10">C69+C71</f>
        <v>0</v>
      </c>
      <c r="D68" s="608">
        <f t="shared" si="10"/>
        <v>0</v>
      </c>
      <c r="E68" s="608">
        <f t="shared" si="10"/>
        <v>0</v>
      </c>
      <c r="F68" s="608">
        <f t="shared" si="10"/>
        <v>0</v>
      </c>
      <c r="G68" s="608">
        <f t="shared" si="10"/>
        <v>0</v>
      </c>
      <c r="H68" s="611">
        <f t="shared" si="10"/>
        <v>0</v>
      </c>
    </row>
    <row r="69" spans="1:8" x14ac:dyDescent="0.2">
      <c r="A69" s="283">
        <v>562</v>
      </c>
      <c r="B69" s="73" t="s">
        <v>344</v>
      </c>
      <c r="C69" s="608">
        <f>SUM(C70)</f>
        <v>0</v>
      </c>
      <c r="D69" s="608">
        <f>SUM(D70:D74)</f>
        <v>0</v>
      </c>
      <c r="E69" s="608">
        <f>SUM(E70:E74)</f>
        <v>0</v>
      </c>
      <c r="F69" s="608">
        <f>SUM(F70:F74)</f>
        <v>0</v>
      </c>
      <c r="G69" s="608">
        <f>SUM(G70:G74)</f>
        <v>0</v>
      </c>
      <c r="H69" s="611">
        <f>SUM(H70:H74)</f>
        <v>0</v>
      </c>
    </row>
    <row r="70" spans="1:8" x14ac:dyDescent="0.2">
      <c r="A70" s="284">
        <v>56201</v>
      </c>
      <c r="B70" s="81" t="s">
        <v>340</v>
      </c>
      <c r="C70" s="583">
        <f>'BS_CR '!AQ252</f>
        <v>0</v>
      </c>
      <c r="D70" s="583">
        <f>'BS_CR '!AQ162</f>
        <v>0</v>
      </c>
      <c r="E70" s="608"/>
      <c r="F70" s="608"/>
      <c r="G70" s="608"/>
      <c r="H70" s="606">
        <f t="shared" si="2"/>
        <v>0</v>
      </c>
    </row>
    <row r="71" spans="1:8" x14ac:dyDescent="0.2">
      <c r="A71" s="283">
        <v>563</v>
      </c>
      <c r="B71" s="73" t="s">
        <v>345</v>
      </c>
      <c r="C71" s="608">
        <f t="shared" ref="C71:H71" si="11">C72+C73+C74</f>
        <v>0</v>
      </c>
      <c r="D71" s="608">
        <v>0</v>
      </c>
      <c r="E71" s="608">
        <f t="shared" si="11"/>
        <v>0</v>
      </c>
      <c r="F71" s="608">
        <f t="shared" si="11"/>
        <v>0</v>
      </c>
      <c r="G71" s="608">
        <f t="shared" si="11"/>
        <v>0</v>
      </c>
      <c r="H71" s="611">
        <f t="shared" si="11"/>
        <v>0</v>
      </c>
    </row>
    <row r="72" spans="1:8" x14ac:dyDescent="0.2">
      <c r="A72" s="284">
        <v>56303</v>
      </c>
      <c r="B72" s="81" t="s">
        <v>341</v>
      </c>
      <c r="C72" s="583">
        <f>'BS_CR '!AQ254</f>
        <v>0</v>
      </c>
      <c r="D72" s="583">
        <f>'BS_CR '!AQ164</f>
        <v>0</v>
      </c>
      <c r="E72" s="608"/>
      <c r="F72" s="608"/>
      <c r="G72" s="608"/>
      <c r="H72" s="611"/>
    </row>
    <row r="73" spans="1:8" x14ac:dyDescent="0.2">
      <c r="A73" s="284">
        <v>56304</v>
      </c>
      <c r="B73" s="81" t="s">
        <v>342</v>
      </c>
      <c r="C73" s="583">
        <f>'BS_CR '!AQ255</f>
        <v>0</v>
      </c>
      <c r="D73" s="583">
        <f>'BS_CR '!AQ165</f>
        <v>0</v>
      </c>
      <c r="E73" s="608"/>
      <c r="F73" s="608"/>
      <c r="G73" s="608"/>
      <c r="H73" s="611"/>
    </row>
    <row r="74" spans="1:8" x14ac:dyDescent="0.2">
      <c r="A74" s="284">
        <v>56305</v>
      </c>
      <c r="B74" s="81" t="s">
        <v>343</v>
      </c>
      <c r="C74" s="583">
        <f>'BS_CR '!AQ256</f>
        <v>0</v>
      </c>
      <c r="D74" s="583">
        <f>'BS_CR '!AQ166</f>
        <v>0</v>
      </c>
      <c r="E74" s="608"/>
      <c r="F74" s="608"/>
      <c r="G74" s="608"/>
      <c r="H74" s="611"/>
    </row>
    <row r="75" spans="1:8" x14ac:dyDescent="0.2">
      <c r="A75" s="618">
        <v>61</v>
      </c>
      <c r="B75" s="73" t="s">
        <v>662</v>
      </c>
      <c r="C75" s="583">
        <f>C76</f>
        <v>0</v>
      </c>
      <c r="D75" s="604">
        <f>D76</f>
        <v>6985</v>
      </c>
      <c r="E75" s="604">
        <f>E76</f>
        <v>0</v>
      </c>
      <c r="F75" s="604">
        <f>F76</f>
        <v>0</v>
      </c>
      <c r="G75" s="604">
        <f>G76</f>
        <v>0</v>
      </c>
      <c r="H75" s="604">
        <f>SUM(C75:G75)</f>
        <v>6985</v>
      </c>
    </row>
    <row r="76" spans="1:8" x14ac:dyDescent="0.2">
      <c r="A76" s="618">
        <v>611</v>
      </c>
      <c r="B76" s="73" t="s">
        <v>403</v>
      </c>
      <c r="C76" s="583">
        <f>SUM(C77:C81)</f>
        <v>0</v>
      </c>
      <c r="D76" s="583">
        <f>SUM(D77:D81)</f>
        <v>6985</v>
      </c>
      <c r="E76" s="583">
        <f>SUM(E77:E81)</f>
        <v>0</v>
      </c>
      <c r="F76" s="583">
        <f>SUM(F77:F81)</f>
        <v>0</v>
      </c>
      <c r="G76" s="583">
        <f>SUM(G77:G81)</f>
        <v>0</v>
      </c>
      <c r="H76" s="583">
        <f>SUM(C76:G76)</f>
        <v>6985</v>
      </c>
    </row>
    <row r="77" spans="1:8" x14ac:dyDescent="0.2">
      <c r="A77" s="79">
        <v>61101</v>
      </c>
      <c r="B77" s="81" t="s">
        <v>605</v>
      </c>
      <c r="C77" s="583"/>
      <c r="D77" s="583">
        <f>'BS_CR '!AQ168</f>
        <v>1000</v>
      </c>
      <c r="E77" s="608"/>
      <c r="F77" s="608"/>
      <c r="G77" s="608"/>
      <c r="H77" s="583">
        <f>SUM(C77:G77)</f>
        <v>1000</v>
      </c>
    </row>
    <row r="78" spans="1:8" x14ac:dyDescent="0.2">
      <c r="A78" s="79">
        <v>61102</v>
      </c>
      <c r="B78" s="81" t="s">
        <v>606</v>
      </c>
      <c r="C78" s="583"/>
      <c r="D78" s="583">
        <f>'BS_CR '!AQ78</f>
        <v>0</v>
      </c>
      <c r="E78" s="608"/>
      <c r="F78" s="608"/>
      <c r="G78" s="608"/>
      <c r="H78" s="583">
        <f>SUM(C78:G78)</f>
        <v>0</v>
      </c>
    </row>
    <row r="79" spans="1:8" x14ac:dyDescent="0.2">
      <c r="A79" s="79">
        <v>61104</v>
      </c>
      <c r="B79" s="81" t="s">
        <v>607</v>
      </c>
      <c r="C79" s="583">
        <f>'BS_CR '!AQ261</f>
        <v>0</v>
      </c>
      <c r="D79" s="583">
        <f>'BS_CR '!AQ171</f>
        <v>4000</v>
      </c>
      <c r="E79" s="608"/>
      <c r="F79" s="608"/>
      <c r="G79" s="608"/>
      <c r="H79" s="583">
        <f>SUM(C79:G79)</f>
        <v>4000</v>
      </c>
    </row>
    <row r="80" spans="1:8" x14ac:dyDescent="0.2">
      <c r="A80" s="79">
        <v>61105</v>
      </c>
      <c r="B80" s="81" t="s">
        <v>786</v>
      </c>
      <c r="C80" s="583"/>
      <c r="D80" s="583"/>
      <c r="E80" s="608"/>
      <c r="F80" s="608"/>
      <c r="G80" s="608"/>
      <c r="H80" s="963"/>
    </row>
    <row r="81" spans="1:8" x14ac:dyDescent="0.2">
      <c r="A81" s="79">
        <v>61199</v>
      </c>
      <c r="B81" s="81" t="s">
        <v>608</v>
      </c>
      <c r="C81" s="583"/>
      <c r="D81" s="583">
        <f>'BS_CR '!AQ172</f>
        <v>1985</v>
      </c>
      <c r="E81" s="608"/>
      <c r="F81" s="608"/>
      <c r="G81" s="608"/>
      <c r="H81" s="611"/>
    </row>
    <row r="82" spans="1:8" x14ac:dyDescent="0.2">
      <c r="A82" s="965">
        <v>614</v>
      </c>
      <c r="B82" s="73" t="s">
        <v>813</v>
      </c>
      <c r="C82" s="583"/>
      <c r="D82" s="583"/>
      <c r="E82" s="608"/>
      <c r="F82" s="608"/>
      <c r="G82" s="608"/>
      <c r="H82" s="611"/>
    </row>
    <row r="83" spans="1:8" x14ac:dyDescent="0.2">
      <c r="A83" s="964">
        <v>61403</v>
      </c>
      <c r="B83" s="81" t="s">
        <v>764</v>
      </c>
      <c r="C83" s="583"/>
      <c r="D83" s="583"/>
      <c r="E83" s="608"/>
      <c r="F83" s="608"/>
      <c r="G83" s="608"/>
      <c r="H83" s="611"/>
    </row>
    <row r="84" spans="1:8" x14ac:dyDescent="0.2">
      <c r="A84" s="283">
        <v>72</v>
      </c>
      <c r="B84" s="955" t="s">
        <v>43</v>
      </c>
      <c r="C84" s="612">
        <f t="shared" ref="C84:H85" si="12">+C85</f>
        <v>0</v>
      </c>
      <c r="D84" s="612">
        <f t="shared" si="12"/>
        <v>0</v>
      </c>
      <c r="E84" s="612">
        <f t="shared" si="12"/>
        <v>0</v>
      </c>
      <c r="F84" s="612">
        <f t="shared" si="12"/>
        <v>0</v>
      </c>
      <c r="G84" s="612">
        <f t="shared" si="12"/>
        <v>0</v>
      </c>
      <c r="H84" s="613">
        <f t="shared" si="12"/>
        <v>0</v>
      </c>
    </row>
    <row r="85" spans="1:8" x14ac:dyDescent="0.2">
      <c r="A85" s="283">
        <v>721</v>
      </c>
      <c r="B85" s="955" t="s">
        <v>116</v>
      </c>
      <c r="C85" s="612">
        <f t="shared" si="12"/>
        <v>0</v>
      </c>
      <c r="D85" s="612">
        <f t="shared" si="12"/>
        <v>0</v>
      </c>
      <c r="E85" s="612">
        <f t="shared" si="12"/>
        <v>0</v>
      </c>
      <c r="F85" s="612">
        <f t="shared" si="12"/>
        <v>0</v>
      </c>
      <c r="G85" s="612">
        <f t="shared" si="12"/>
        <v>0</v>
      </c>
      <c r="H85" s="613">
        <f t="shared" si="12"/>
        <v>0</v>
      </c>
    </row>
    <row r="86" spans="1:8" x14ac:dyDescent="0.2">
      <c r="A86" s="284">
        <v>72101</v>
      </c>
      <c r="B86" s="956" t="s">
        <v>807</v>
      </c>
      <c r="C86" s="614"/>
      <c r="D86" s="614"/>
      <c r="E86" s="614"/>
      <c r="F86" s="614"/>
      <c r="G86" s="614"/>
      <c r="H86" s="615">
        <f>SUM(C86:G86)</f>
        <v>0</v>
      </c>
    </row>
    <row r="87" spans="1:8" ht="22.5" x14ac:dyDescent="0.2">
      <c r="A87" s="284">
        <v>722</v>
      </c>
      <c r="B87" s="957" t="s">
        <v>806</v>
      </c>
      <c r="C87" s="614"/>
      <c r="D87" s="614"/>
      <c r="E87" s="614"/>
      <c r="F87" s="614"/>
      <c r="G87" s="614"/>
      <c r="H87" s="615"/>
    </row>
    <row r="88" spans="1:8" ht="22.5" x14ac:dyDescent="0.2">
      <c r="A88" s="284">
        <v>72201</v>
      </c>
      <c r="B88" s="958" t="s">
        <v>806</v>
      </c>
      <c r="C88" s="614"/>
      <c r="D88" s="614"/>
      <c r="E88" s="614"/>
      <c r="F88" s="614"/>
      <c r="G88" s="614"/>
      <c r="H88" s="615"/>
    </row>
    <row r="89" spans="1:8" x14ac:dyDescent="0.2">
      <c r="A89" s="284"/>
      <c r="B89" s="958"/>
      <c r="C89" s="614"/>
      <c r="D89" s="614"/>
      <c r="E89" s="614"/>
      <c r="F89" s="614"/>
      <c r="G89" s="614"/>
      <c r="H89" s="615"/>
    </row>
    <row r="90" spans="1:8" ht="12" customHeight="1" x14ac:dyDescent="0.2">
      <c r="A90" s="283">
        <v>99</v>
      </c>
      <c r="B90" s="125" t="s">
        <v>117</v>
      </c>
      <c r="C90" s="612">
        <f t="shared" ref="C90:H91" si="13">+C91</f>
        <v>0</v>
      </c>
      <c r="D90" s="612">
        <f t="shared" si="13"/>
        <v>0</v>
      </c>
      <c r="E90" s="612">
        <f t="shared" si="13"/>
        <v>0</v>
      </c>
      <c r="F90" s="612">
        <f t="shared" si="13"/>
        <v>0</v>
      </c>
      <c r="G90" s="612">
        <f t="shared" si="13"/>
        <v>0</v>
      </c>
      <c r="H90" s="613">
        <f t="shared" si="13"/>
        <v>0</v>
      </c>
    </row>
    <row r="91" spans="1:8" x14ac:dyDescent="0.2">
      <c r="A91" s="283">
        <v>991</v>
      </c>
      <c r="B91" s="52" t="s">
        <v>118</v>
      </c>
      <c r="C91" s="612">
        <f t="shared" si="13"/>
        <v>0</v>
      </c>
      <c r="D91" s="612">
        <f t="shared" si="13"/>
        <v>0</v>
      </c>
      <c r="E91" s="612">
        <f t="shared" si="13"/>
        <v>0</v>
      </c>
      <c r="F91" s="612">
        <f t="shared" si="13"/>
        <v>0</v>
      </c>
      <c r="G91" s="612">
        <f t="shared" si="13"/>
        <v>0</v>
      </c>
      <c r="H91" s="613">
        <f t="shared" si="13"/>
        <v>0</v>
      </c>
    </row>
    <row r="92" spans="1:8" ht="13.5" thickBot="1" x14ac:dyDescent="0.25">
      <c r="A92" s="284">
        <v>99101</v>
      </c>
      <c r="B92" s="52" t="s">
        <v>118</v>
      </c>
      <c r="C92" s="614"/>
      <c r="D92" s="614"/>
      <c r="E92" s="614"/>
      <c r="F92" s="614"/>
      <c r="G92" s="614"/>
      <c r="H92" s="616">
        <f>SUM(C92:G92)</f>
        <v>0</v>
      </c>
    </row>
    <row r="93" spans="1:8" ht="14.25" thickTop="1" thickBot="1" x14ac:dyDescent="0.25">
      <c r="A93" s="288"/>
      <c r="B93" s="289" t="s">
        <v>31</v>
      </c>
      <c r="C93" s="584">
        <f t="shared" ref="C93:G93" si="14">C11+C61+C68+C84+C90+C75</f>
        <v>87000</v>
      </c>
      <c r="D93" s="584">
        <f t="shared" si="14"/>
        <v>48954.9</v>
      </c>
      <c r="E93" s="584">
        <f t="shared" si="14"/>
        <v>0</v>
      </c>
      <c r="F93" s="584">
        <f t="shared" si="14"/>
        <v>0</v>
      </c>
      <c r="G93" s="584">
        <f t="shared" si="14"/>
        <v>0</v>
      </c>
      <c r="H93" s="584">
        <f>H11+H61+H68+H84+H90+H75</f>
        <v>135954.9</v>
      </c>
    </row>
    <row r="94" spans="1:8" ht="13.5" thickTop="1" x14ac:dyDescent="0.2">
      <c r="C94" s="30">
        <f>'BS_CR '!AQ268</f>
        <v>87000</v>
      </c>
      <c r="D94" s="30">
        <f>'BS_CR '!AQ178</f>
        <v>48954.9</v>
      </c>
    </row>
    <row r="95" spans="1:8" x14ac:dyDescent="0.2">
      <c r="C95" s="46"/>
      <c r="D95" s="46"/>
      <c r="E95" s="46"/>
      <c r="F95" s="46"/>
    </row>
    <row r="97" spans="1:8" x14ac:dyDescent="0.2">
      <c r="A97" s="1222" t="s">
        <v>92</v>
      </c>
      <c r="B97" s="1222"/>
      <c r="C97" s="1222"/>
      <c r="D97" s="1222"/>
      <c r="E97" s="1222"/>
      <c r="F97" s="1222"/>
      <c r="G97" s="1222"/>
      <c r="H97" s="1222"/>
    </row>
    <row r="98" spans="1:8" x14ac:dyDescent="0.2">
      <c r="A98" s="1222" t="s">
        <v>93</v>
      </c>
      <c r="B98" s="1222"/>
      <c r="C98" s="1222"/>
      <c r="D98" s="1222"/>
      <c r="E98" s="1222"/>
      <c r="F98" s="1222"/>
      <c r="G98" s="1222"/>
      <c r="H98" s="1222"/>
    </row>
    <row r="99" spans="1:8" x14ac:dyDescent="0.2">
      <c r="A99" s="1222"/>
      <c r="B99" s="1222"/>
      <c r="C99" s="1222"/>
      <c r="D99" s="1222"/>
      <c r="E99" s="1222"/>
      <c r="F99" s="1222"/>
      <c r="G99" s="1222"/>
      <c r="H99" s="1222"/>
    </row>
    <row r="100" spans="1:8" x14ac:dyDescent="0.2">
      <c r="A100" s="287" t="str">
        <f>EgreUP01!A99</f>
        <v>EJERCICIO FINANCIERO FISCAL: DEL 01 DE ENERO AL 31 DE DICIEMBRE DE 2024</v>
      </c>
      <c r="B100" s="48"/>
      <c r="C100" s="48"/>
      <c r="D100" s="48"/>
      <c r="E100" s="48"/>
      <c r="F100" s="48"/>
      <c r="G100" s="48"/>
      <c r="H100" s="48"/>
    </row>
    <row r="101" spans="1:8" x14ac:dyDescent="0.2">
      <c r="A101" s="287" t="str">
        <f>EgreUP01!A100</f>
        <v>AREA DE GESTION:                  1 CONDUCCION ADMINISTRATIVA</v>
      </c>
      <c r="B101" s="48"/>
      <c r="C101" s="48"/>
      <c r="D101" s="48"/>
      <c r="E101" s="48"/>
      <c r="F101" s="48"/>
      <c r="G101" s="48"/>
      <c r="H101" s="48"/>
    </row>
    <row r="102" spans="1:8" x14ac:dyDescent="0.2">
      <c r="A102" s="287" t="s">
        <v>94</v>
      </c>
      <c r="B102" s="48"/>
      <c r="C102" s="48"/>
      <c r="D102" s="48"/>
      <c r="E102" s="48"/>
      <c r="F102" s="48"/>
      <c r="G102" s="48"/>
      <c r="H102" s="48"/>
    </row>
    <row r="103" spans="1:8" x14ac:dyDescent="0.2">
      <c r="A103" s="287" t="s">
        <v>347</v>
      </c>
      <c r="B103" s="48"/>
      <c r="C103" s="48"/>
      <c r="D103" s="48"/>
      <c r="E103" s="48"/>
      <c r="F103" s="48"/>
      <c r="G103" s="48"/>
      <c r="H103" s="48"/>
    </row>
    <row r="104" spans="1:8" ht="13.5" thickBot="1" x14ac:dyDescent="0.25">
      <c r="A104" s="287" t="s">
        <v>479</v>
      </c>
      <c r="B104" s="48"/>
      <c r="C104" s="48"/>
      <c r="D104" s="48"/>
      <c r="E104" s="48"/>
      <c r="F104" s="48"/>
      <c r="G104" s="48"/>
      <c r="H104" s="48"/>
    </row>
    <row r="105" spans="1:8" ht="13.5" thickTop="1" x14ac:dyDescent="0.2">
      <c r="A105" s="1225" t="s">
        <v>95</v>
      </c>
      <c r="B105" s="1226"/>
      <c r="C105" s="1227" t="s">
        <v>187</v>
      </c>
      <c r="D105" s="1218"/>
      <c r="E105" s="1218"/>
      <c r="F105" s="1218"/>
      <c r="G105" s="1219"/>
      <c r="H105" s="1220" t="s">
        <v>31</v>
      </c>
    </row>
    <row r="106" spans="1:8" ht="34.5" thickBot="1" x14ac:dyDescent="0.25">
      <c r="A106" s="278" t="s">
        <v>97</v>
      </c>
      <c r="B106" s="279" t="s">
        <v>98</v>
      </c>
      <c r="C106" s="280" t="s">
        <v>783</v>
      </c>
      <c r="D106" s="280" t="s">
        <v>30</v>
      </c>
      <c r="E106" s="280" t="s">
        <v>135</v>
      </c>
      <c r="F106" s="280" t="s">
        <v>136</v>
      </c>
      <c r="G106" s="280" t="s">
        <v>54</v>
      </c>
      <c r="H106" s="1221"/>
    </row>
    <row r="107" spans="1:8" x14ac:dyDescent="0.2">
      <c r="A107" s="281">
        <v>54</v>
      </c>
      <c r="B107" s="282" t="s">
        <v>107</v>
      </c>
      <c r="C107" s="582">
        <f t="shared" ref="C107:H107" si="15">C108+C128+C133+C147+C152</f>
        <v>440999.53</v>
      </c>
      <c r="D107" s="582">
        <f t="shared" si="15"/>
        <v>158078.65</v>
      </c>
      <c r="E107" s="582">
        <f t="shared" si="15"/>
        <v>0</v>
      </c>
      <c r="F107" s="582">
        <f t="shared" si="15"/>
        <v>0</v>
      </c>
      <c r="G107" s="582">
        <f t="shared" si="15"/>
        <v>0</v>
      </c>
      <c r="H107" s="603">
        <f t="shared" si="15"/>
        <v>599078.17999999993</v>
      </c>
    </row>
    <row r="108" spans="1:8" x14ac:dyDescent="0.2">
      <c r="A108" s="283">
        <v>541</v>
      </c>
      <c r="B108" s="73" t="s">
        <v>108</v>
      </c>
      <c r="C108" s="604">
        <f t="shared" ref="C108:G108" si="16">SUM(C109:C127)</f>
        <v>93999.53</v>
      </c>
      <c r="D108" s="604">
        <f t="shared" si="16"/>
        <v>58678.65</v>
      </c>
      <c r="E108" s="604">
        <f t="shared" si="16"/>
        <v>0</v>
      </c>
      <c r="F108" s="604">
        <f t="shared" si="16"/>
        <v>0</v>
      </c>
      <c r="G108" s="604">
        <f t="shared" si="16"/>
        <v>0</v>
      </c>
      <c r="H108" s="605">
        <f>SUM(H109:H127)</f>
        <v>152678.18</v>
      </c>
    </row>
    <row r="109" spans="1:8" x14ac:dyDescent="0.2">
      <c r="A109" s="284">
        <v>54101</v>
      </c>
      <c r="B109" s="81" t="s">
        <v>291</v>
      </c>
      <c r="C109" s="583">
        <f>'BS_CR '!BB191</f>
        <v>0</v>
      </c>
      <c r="D109" s="583">
        <f>'BS_CR '!BB100</f>
        <v>0</v>
      </c>
      <c r="E109" s="583"/>
      <c r="F109" s="583"/>
      <c r="G109" s="583"/>
      <c r="H109" s="606">
        <f>SUM(C109:G109)</f>
        <v>0</v>
      </c>
    </row>
    <row r="110" spans="1:8" x14ac:dyDescent="0.2">
      <c r="A110" s="284">
        <v>54103</v>
      </c>
      <c r="B110" s="81" t="s">
        <v>292</v>
      </c>
      <c r="C110" s="583">
        <f>'BS_CR '!BB193</f>
        <v>0</v>
      </c>
      <c r="D110" s="583">
        <f>'BS_CR '!BB102</f>
        <v>0</v>
      </c>
      <c r="E110" s="583"/>
      <c r="F110" s="583"/>
      <c r="G110" s="583"/>
      <c r="H110" s="606">
        <f t="shared" ref="H110:H127" si="17">SUM(C110:G110)</f>
        <v>0</v>
      </c>
    </row>
    <row r="111" spans="1:8" x14ac:dyDescent="0.2">
      <c r="A111" s="284">
        <v>54104</v>
      </c>
      <c r="B111" s="81" t="s">
        <v>293</v>
      </c>
      <c r="C111" s="583">
        <f>'BS_CR '!BB194</f>
        <v>0</v>
      </c>
      <c r="D111" s="583">
        <f>'BS_CR '!BB103</f>
        <v>0</v>
      </c>
      <c r="E111" s="583"/>
      <c r="F111" s="583"/>
      <c r="G111" s="583"/>
      <c r="H111" s="606">
        <f>SUM(C111:G111)</f>
        <v>0</v>
      </c>
    </row>
    <row r="112" spans="1:8" x14ac:dyDescent="0.2">
      <c r="A112" s="284">
        <v>54105</v>
      </c>
      <c r="B112" s="81" t="s">
        <v>294</v>
      </c>
      <c r="C112" s="583">
        <f>'BS_CR '!BB195</f>
        <v>0</v>
      </c>
      <c r="D112" s="583">
        <f>'BS_CR '!BB104</f>
        <v>0</v>
      </c>
      <c r="E112" s="607"/>
      <c r="F112" s="607"/>
      <c r="G112" s="607"/>
      <c r="H112" s="606">
        <f>SUM(C112:G112)</f>
        <v>0</v>
      </c>
    </row>
    <row r="113" spans="1:8" x14ac:dyDescent="0.2">
      <c r="A113" s="284">
        <v>54106</v>
      </c>
      <c r="B113" s="81" t="s">
        <v>295</v>
      </c>
      <c r="C113" s="583">
        <f>'BS_CR '!BB196</f>
        <v>0</v>
      </c>
      <c r="D113" s="583">
        <f>'BS_CR '!BB105</f>
        <v>4080</v>
      </c>
      <c r="E113" s="583"/>
      <c r="F113" s="583"/>
      <c r="G113" s="583"/>
      <c r="H113" s="606">
        <f t="shared" si="17"/>
        <v>4080</v>
      </c>
    </row>
    <row r="114" spans="1:8" x14ac:dyDescent="0.2">
      <c r="A114" s="284">
        <v>54107</v>
      </c>
      <c r="B114" s="81" t="s">
        <v>296</v>
      </c>
      <c r="C114" s="583">
        <f>'BS_CR '!BB197</f>
        <v>0</v>
      </c>
      <c r="D114" s="583">
        <f>'BS_CR '!BB106</f>
        <v>19663.650000000001</v>
      </c>
      <c r="E114" s="608"/>
      <c r="F114" s="608"/>
      <c r="G114" s="608"/>
      <c r="H114" s="606">
        <f t="shared" si="17"/>
        <v>19663.650000000001</v>
      </c>
    </row>
    <row r="115" spans="1:8" x14ac:dyDescent="0.2">
      <c r="A115" s="284">
        <v>54108</v>
      </c>
      <c r="B115" s="81" t="s">
        <v>297</v>
      </c>
      <c r="C115" s="583">
        <f>'BS_CR '!BB198</f>
        <v>0</v>
      </c>
      <c r="D115" s="583">
        <f>'BS_CR '!BB107</f>
        <v>0</v>
      </c>
      <c r="E115" s="608"/>
      <c r="F115" s="608"/>
      <c r="G115" s="608"/>
      <c r="H115" s="606">
        <f t="shared" si="17"/>
        <v>0</v>
      </c>
    </row>
    <row r="116" spans="1:8" x14ac:dyDescent="0.2">
      <c r="A116" s="284">
        <v>54109</v>
      </c>
      <c r="B116" s="81" t="s">
        <v>298</v>
      </c>
      <c r="C116" s="583">
        <f>'BS_CR '!BB199</f>
        <v>25000</v>
      </c>
      <c r="D116" s="583">
        <f>'BS_CR '!BB108</f>
        <v>2671.5</v>
      </c>
      <c r="E116" s="608"/>
      <c r="F116" s="608"/>
      <c r="G116" s="608"/>
      <c r="H116" s="606">
        <f t="shared" si="17"/>
        <v>27671.5</v>
      </c>
    </row>
    <row r="117" spans="1:8" x14ac:dyDescent="0.2">
      <c r="A117" s="284">
        <v>54110</v>
      </c>
      <c r="B117" s="81" t="s">
        <v>309</v>
      </c>
      <c r="C117" s="583">
        <f>'BS_CR '!BB200</f>
        <v>42000</v>
      </c>
      <c r="D117" s="583">
        <f>'BS_CR '!BB109</f>
        <v>463</v>
      </c>
      <c r="E117" s="608"/>
      <c r="F117" s="608"/>
      <c r="G117" s="608"/>
      <c r="H117" s="606">
        <f t="shared" si="17"/>
        <v>42463</v>
      </c>
    </row>
    <row r="118" spans="1:8" x14ac:dyDescent="0.2">
      <c r="A118" s="284">
        <v>54111</v>
      </c>
      <c r="B118" s="81" t="s">
        <v>299</v>
      </c>
      <c r="C118" s="583">
        <f>'BS_CR '!BB201</f>
        <v>0</v>
      </c>
      <c r="D118" s="583">
        <f>'BS_CR '!BB110</f>
        <v>1186</v>
      </c>
      <c r="E118" s="608"/>
      <c r="F118" s="608"/>
      <c r="G118" s="608"/>
      <c r="H118" s="606">
        <f t="shared" si="17"/>
        <v>1186</v>
      </c>
    </row>
    <row r="119" spans="1:8" x14ac:dyDescent="0.2">
      <c r="A119" s="284">
        <v>54112</v>
      </c>
      <c r="B119" s="81" t="s">
        <v>300</v>
      </c>
      <c r="C119" s="583">
        <f>'BS_CR '!BB202</f>
        <v>0</v>
      </c>
      <c r="D119" s="583">
        <f>'BS_CR '!BB111</f>
        <v>5730.03</v>
      </c>
      <c r="E119" s="608"/>
      <c r="F119" s="608"/>
      <c r="G119" s="608"/>
      <c r="H119" s="606">
        <f t="shared" si="17"/>
        <v>5730.03</v>
      </c>
    </row>
    <row r="120" spans="1:8" x14ac:dyDescent="0.2">
      <c r="A120" s="284">
        <v>54114</v>
      </c>
      <c r="B120" s="81" t="s">
        <v>301</v>
      </c>
      <c r="C120" s="583">
        <f>'BS_CR '!BB204</f>
        <v>0</v>
      </c>
      <c r="D120" s="583">
        <f>'BS_CR '!BB113</f>
        <v>0</v>
      </c>
      <c r="E120" s="608"/>
      <c r="F120" s="608"/>
      <c r="G120" s="608"/>
      <c r="H120" s="606">
        <f t="shared" si="17"/>
        <v>0</v>
      </c>
    </row>
    <row r="121" spans="1:8" x14ac:dyDescent="0.2">
      <c r="A121" s="284">
        <v>54115</v>
      </c>
      <c r="B121" s="81" t="s">
        <v>302</v>
      </c>
      <c r="C121" s="583">
        <f>'BS_CR '!BB205</f>
        <v>0</v>
      </c>
      <c r="D121" s="583">
        <f>'BS_CR '!BB114</f>
        <v>0</v>
      </c>
      <c r="E121" s="608"/>
      <c r="F121" s="608"/>
      <c r="G121" s="608"/>
      <c r="H121" s="606">
        <f t="shared" si="17"/>
        <v>0</v>
      </c>
    </row>
    <row r="122" spans="1:8" x14ac:dyDescent="0.2">
      <c r="A122" s="284">
        <v>54116</v>
      </c>
      <c r="B122" s="81" t="s">
        <v>303</v>
      </c>
      <c r="C122" s="583">
        <f>'BS_CR '!BB206</f>
        <v>0</v>
      </c>
      <c r="D122" s="583">
        <f>'BS_CR '!BB115</f>
        <v>0</v>
      </c>
      <c r="E122" s="608"/>
      <c r="F122" s="608"/>
      <c r="G122" s="608"/>
      <c r="H122" s="606">
        <f t="shared" si="17"/>
        <v>0</v>
      </c>
    </row>
    <row r="123" spans="1:8" x14ac:dyDescent="0.2">
      <c r="A123" s="284">
        <v>54117</v>
      </c>
      <c r="B123" s="81" t="s">
        <v>304</v>
      </c>
      <c r="C123" s="583">
        <f>'BS_CR '!BB207</f>
        <v>0</v>
      </c>
      <c r="D123" s="583">
        <f>'BS_CR '!BB116</f>
        <v>5800</v>
      </c>
      <c r="E123" s="608"/>
      <c r="F123" s="608"/>
      <c r="G123" s="608"/>
      <c r="H123" s="606">
        <f t="shared" si="17"/>
        <v>5800</v>
      </c>
    </row>
    <row r="124" spans="1:8" x14ac:dyDescent="0.2">
      <c r="A124" s="284">
        <v>54118</v>
      </c>
      <c r="B124" s="81" t="s">
        <v>305</v>
      </c>
      <c r="C124" s="583">
        <f>'BS_CR '!BB208</f>
        <v>0</v>
      </c>
      <c r="D124" s="583">
        <f>'BS_CR '!BB117</f>
        <v>884</v>
      </c>
      <c r="E124" s="608"/>
      <c r="F124" s="608"/>
      <c r="G124" s="608"/>
      <c r="H124" s="606">
        <f t="shared" si="17"/>
        <v>884</v>
      </c>
    </row>
    <row r="125" spans="1:8" x14ac:dyDescent="0.2">
      <c r="A125" s="284">
        <v>54119</v>
      </c>
      <c r="B125" s="81" t="s">
        <v>306</v>
      </c>
      <c r="C125" s="583">
        <f>'BS_CR '!BB209</f>
        <v>26999.53</v>
      </c>
      <c r="D125" s="583">
        <f>'BS_CR '!BB118</f>
        <v>18200.47</v>
      </c>
      <c r="E125" s="608"/>
      <c r="F125" s="608"/>
      <c r="G125" s="608"/>
      <c r="H125" s="606">
        <f t="shared" si="17"/>
        <v>45200</v>
      </c>
    </row>
    <row r="126" spans="1:8" x14ac:dyDescent="0.2">
      <c r="A126" s="284">
        <v>54121</v>
      </c>
      <c r="B126" s="81" t="s">
        <v>307</v>
      </c>
      <c r="C126" s="583">
        <f>'BS_CR '!BB210</f>
        <v>0</v>
      </c>
      <c r="D126" s="583">
        <f>'BS_CR '!BB119</f>
        <v>0</v>
      </c>
      <c r="E126" s="608"/>
      <c r="F126" s="608"/>
      <c r="G126" s="608"/>
      <c r="H126" s="606">
        <f t="shared" si="17"/>
        <v>0</v>
      </c>
    </row>
    <row r="127" spans="1:8" x14ac:dyDescent="0.2">
      <c r="A127" s="284">
        <v>54199</v>
      </c>
      <c r="B127" s="81" t="s">
        <v>308</v>
      </c>
      <c r="C127" s="583">
        <f>'BS_CR '!BB211</f>
        <v>0</v>
      </c>
      <c r="D127" s="583">
        <f>'BS_CR '!BB120</f>
        <v>0</v>
      </c>
      <c r="E127" s="608"/>
      <c r="F127" s="608"/>
      <c r="G127" s="608"/>
      <c r="H127" s="606">
        <f t="shared" si="17"/>
        <v>0</v>
      </c>
    </row>
    <row r="128" spans="1:8" x14ac:dyDescent="0.2">
      <c r="A128" s="283">
        <v>542</v>
      </c>
      <c r="B128" s="73" t="s">
        <v>109</v>
      </c>
      <c r="C128" s="609">
        <f t="shared" ref="C128:H128" si="18">SUM(C129:C132)</f>
        <v>0</v>
      </c>
      <c r="D128" s="609">
        <f t="shared" si="18"/>
        <v>84400</v>
      </c>
      <c r="E128" s="609">
        <f t="shared" si="18"/>
        <v>0</v>
      </c>
      <c r="F128" s="609">
        <f t="shared" si="18"/>
        <v>0</v>
      </c>
      <c r="G128" s="609">
        <f t="shared" si="18"/>
        <v>0</v>
      </c>
      <c r="H128" s="610">
        <f t="shared" si="18"/>
        <v>84400</v>
      </c>
    </row>
    <row r="129" spans="1:8" x14ac:dyDescent="0.2">
      <c r="A129" s="284">
        <v>54201</v>
      </c>
      <c r="B129" s="81" t="s">
        <v>311</v>
      </c>
      <c r="C129" s="583">
        <f>'BS_CR '!BB213</f>
        <v>0</v>
      </c>
      <c r="D129" s="583">
        <f>'BS_CR '!BB122</f>
        <v>84400</v>
      </c>
      <c r="E129" s="608"/>
      <c r="F129" s="608"/>
      <c r="G129" s="608"/>
      <c r="H129" s="606">
        <f>SUM(C129:G129)</f>
        <v>84400</v>
      </c>
    </row>
    <row r="130" spans="1:8" x14ac:dyDescent="0.2">
      <c r="A130" s="284">
        <v>54202</v>
      </c>
      <c r="B130" s="81" t="s">
        <v>310</v>
      </c>
      <c r="C130" s="583">
        <f>'BS_CR '!BB214</f>
        <v>0</v>
      </c>
      <c r="D130" s="583">
        <f>'BS_CR '!BB123</f>
        <v>0</v>
      </c>
      <c r="E130" s="608"/>
      <c r="F130" s="608"/>
      <c r="G130" s="608"/>
      <c r="H130" s="606">
        <f>SUM(C130:G130)</f>
        <v>0</v>
      </c>
    </row>
    <row r="131" spans="1:8" x14ac:dyDescent="0.2">
      <c r="A131" s="284">
        <v>54203</v>
      </c>
      <c r="B131" s="81" t="s">
        <v>312</v>
      </c>
      <c r="C131" s="583">
        <f>'BS_CR '!BB215</f>
        <v>0</v>
      </c>
      <c r="D131" s="583">
        <f>'BS_CR '!BB124</f>
        <v>0</v>
      </c>
      <c r="E131" s="608"/>
      <c r="F131" s="608"/>
      <c r="G131" s="608"/>
      <c r="H131" s="606">
        <f>SUM(C131:G131)</f>
        <v>0</v>
      </c>
    </row>
    <row r="132" spans="1:8" x14ac:dyDescent="0.2">
      <c r="A132" s="284">
        <v>54204</v>
      </c>
      <c r="B132" s="81" t="s">
        <v>313</v>
      </c>
      <c r="C132" s="583">
        <f>'BS_CR '!BB216</f>
        <v>0</v>
      </c>
      <c r="D132" s="583">
        <f>'BS_CR '!BB125</f>
        <v>0</v>
      </c>
      <c r="E132" s="608"/>
      <c r="F132" s="608"/>
      <c r="G132" s="608"/>
      <c r="H132" s="606">
        <f>SUM(C132:G132)</f>
        <v>0</v>
      </c>
    </row>
    <row r="133" spans="1:8" x14ac:dyDescent="0.2">
      <c r="A133" s="283">
        <v>543</v>
      </c>
      <c r="B133" s="73" t="s">
        <v>110</v>
      </c>
      <c r="C133" s="609">
        <f t="shared" ref="C133:G133" si="19">SUM(C134:C146)</f>
        <v>347000</v>
      </c>
      <c r="D133" s="609">
        <f t="shared" si="19"/>
        <v>15000</v>
      </c>
      <c r="E133" s="609">
        <f t="shared" si="19"/>
        <v>0</v>
      </c>
      <c r="F133" s="609">
        <f t="shared" si="19"/>
        <v>0</v>
      </c>
      <c r="G133" s="609">
        <f t="shared" si="19"/>
        <v>0</v>
      </c>
      <c r="H133" s="610">
        <f>SUM(H134:H146)</f>
        <v>362000</v>
      </c>
    </row>
    <row r="134" spans="1:8" x14ac:dyDescent="0.2">
      <c r="A134" s="284">
        <v>54301</v>
      </c>
      <c r="B134" s="81" t="s">
        <v>314</v>
      </c>
      <c r="C134" s="583">
        <f>'BS_CR '!BB218</f>
        <v>5000</v>
      </c>
      <c r="D134" s="583">
        <f>'BS_CR '!BB127</f>
        <v>15000</v>
      </c>
      <c r="E134" s="608"/>
      <c r="F134" s="608"/>
      <c r="G134" s="608"/>
      <c r="H134" s="606">
        <f t="shared" ref="H134:H146" si="20">SUM(C134:G134)</f>
        <v>20000</v>
      </c>
    </row>
    <row r="135" spans="1:8" x14ac:dyDescent="0.2">
      <c r="A135" s="284">
        <v>54302</v>
      </c>
      <c r="B135" s="81" t="s">
        <v>315</v>
      </c>
      <c r="C135" s="583">
        <f>'BS_CR '!BB219</f>
        <v>30000</v>
      </c>
      <c r="D135" s="583">
        <f>'BS_CR '!BB128</f>
        <v>0</v>
      </c>
      <c r="E135" s="608"/>
      <c r="F135" s="608"/>
      <c r="G135" s="608"/>
      <c r="H135" s="606">
        <f t="shared" si="20"/>
        <v>30000</v>
      </c>
    </row>
    <row r="136" spans="1:8" x14ac:dyDescent="0.2">
      <c r="A136" s="284">
        <v>54303</v>
      </c>
      <c r="B136" s="81" t="s">
        <v>316</v>
      </c>
      <c r="C136" s="583">
        <f>'BS_CR '!BB220</f>
        <v>0</v>
      </c>
      <c r="D136" s="583">
        <f>'BS_CR '!BB129</f>
        <v>0</v>
      </c>
      <c r="E136" s="608"/>
      <c r="F136" s="608"/>
      <c r="G136" s="608"/>
      <c r="H136" s="606">
        <f t="shared" si="20"/>
        <v>0</v>
      </c>
    </row>
    <row r="137" spans="1:8" x14ac:dyDescent="0.2">
      <c r="A137" s="284">
        <v>54304</v>
      </c>
      <c r="B137" s="81" t="s">
        <v>317</v>
      </c>
      <c r="C137" s="583">
        <f>'BS_CR '!BB221</f>
        <v>0</v>
      </c>
      <c r="D137" s="583">
        <f>'BS_CR '!BB130</f>
        <v>0</v>
      </c>
      <c r="E137" s="608"/>
      <c r="F137" s="608"/>
      <c r="G137" s="608"/>
      <c r="H137" s="606">
        <f t="shared" si="20"/>
        <v>0</v>
      </c>
    </row>
    <row r="138" spans="1:8" x14ac:dyDescent="0.2">
      <c r="A138" s="284">
        <v>54305</v>
      </c>
      <c r="B138" s="81" t="s">
        <v>318</v>
      </c>
      <c r="C138" s="583">
        <f>'BS_CR '!BB222</f>
        <v>0</v>
      </c>
      <c r="D138" s="583">
        <f>'BS_CR '!BB131</f>
        <v>0</v>
      </c>
      <c r="E138" s="608"/>
      <c r="F138" s="608"/>
      <c r="G138" s="608"/>
      <c r="H138" s="606">
        <f t="shared" si="20"/>
        <v>0</v>
      </c>
    </row>
    <row r="139" spans="1:8" x14ac:dyDescent="0.2">
      <c r="A139" s="284">
        <v>54306</v>
      </c>
      <c r="B139" s="81" t="s">
        <v>319</v>
      </c>
      <c r="C139" s="583">
        <f>'BS_CR '!BB223</f>
        <v>0</v>
      </c>
      <c r="D139" s="583">
        <f>'BS_CR '!BB132</f>
        <v>0</v>
      </c>
      <c r="E139" s="608"/>
      <c r="F139" s="608"/>
      <c r="G139" s="608"/>
      <c r="H139" s="606">
        <f t="shared" si="20"/>
        <v>0</v>
      </c>
    </row>
    <row r="140" spans="1:8" x14ac:dyDescent="0.2">
      <c r="A140" s="284">
        <v>54307</v>
      </c>
      <c r="B140" s="81" t="s">
        <v>320</v>
      </c>
      <c r="C140" s="583">
        <f>'BS_CR '!BB224</f>
        <v>0</v>
      </c>
      <c r="D140" s="583">
        <f>'BS_CR '!BB133</f>
        <v>0</v>
      </c>
      <c r="E140" s="608"/>
      <c r="F140" s="608"/>
      <c r="G140" s="608"/>
      <c r="H140" s="606">
        <f t="shared" si="20"/>
        <v>0</v>
      </c>
    </row>
    <row r="141" spans="1:8" x14ac:dyDescent="0.2">
      <c r="A141" s="284">
        <v>54309</v>
      </c>
      <c r="B141" s="81" t="s">
        <v>321</v>
      </c>
      <c r="C141" s="583">
        <f>'BS_CR '!BB225</f>
        <v>0</v>
      </c>
      <c r="D141" s="583">
        <f>'BS_CR '!BB134</f>
        <v>0</v>
      </c>
      <c r="E141" s="608"/>
      <c r="F141" s="608"/>
      <c r="G141" s="608"/>
      <c r="H141" s="606">
        <f t="shared" si="20"/>
        <v>0</v>
      </c>
    </row>
    <row r="142" spans="1:8" x14ac:dyDescent="0.2">
      <c r="A142" s="284">
        <v>54310</v>
      </c>
      <c r="B142" s="81" t="s">
        <v>322</v>
      </c>
      <c r="C142" s="583">
        <f>'BS_CR '!BB226</f>
        <v>0</v>
      </c>
      <c r="D142" s="583">
        <f>'BS_CR '!BB135</f>
        <v>0</v>
      </c>
      <c r="E142" s="608"/>
      <c r="F142" s="608"/>
      <c r="G142" s="608"/>
      <c r="H142" s="606">
        <f t="shared" si="20"/>
        <v>0</v>
      </c>
    </row>
    <row r="143" spans="1:8" x14ac:dyDescent="0.2">
      <c r="A143" s="284">
        <v>54311</v>
      </c>
      <c r="B143" s="81" t="s">
        <v>323</v>
      </c>
      <c r="C143" s="583">
        <f>'BS_CR '!BB227</f>
        <v>0</v>
      </c>
      <c r="D143" s="583">
        <f>'BS_CR '!BB136</f>
        <v>0</v>
      </c>
      <c r="E143" s="608"/>
      <c r="F143" s="608"/>
      <c r="G143" s="608"/>
      <c r="H143" s="606">
        <f t="shared" si="20"/>
        <v>0</v>
      </c>
    </row>
    <row r="144" spans="1:8" x14ac:dyDescent="0.2">
      <c r="A144" s="284">
        <v>54313</v>
      </c>
      <c r="B144" s="81" t="s">
        <v>324</v>
      </c>
      <c r="C144" s="583">
        <f>'BS_CR '!BB228</f>
        <v>0</v>
      </c>
      <c r="D144" s="583">
        <f>'BS_CR '!BB137</f>
        <v>0</v>
      </c>
      <c r="E144" s="608"/>
      <c r="F144" s="608"/>
      <c r="G144" s="608"/>
      <c r="H144" s="606">
        <f t="shared" si="20"/>
        <v>0</v>
      </c>
    </row>
    <row r="145" spans="1:8" x14ac:dyDescent="0.2">
      <c r="A145" s="284">
        <v>54314</v>
      </c>
      <c r="B145" s="81" t="s">
        <v>325</v>
      </c>
      <c r="C145" s="583">
        <f>'BS_CR '!BB229</f>
        <v>0</v>
      </c>
      <c r="D145" s="583">
        <f>'BS_CR '!BB138</f>
        <v>0</v>
      </c>
      <c r="E145" s="608"/>
      <c r="F145" s="608"/>
      <c r="G145" s="608"/>
      <c r="H145" s="606">
        <f t="shared" si="20"/>
        <v>0</v>
      </c>
    </row>
    <row r="146" spans="1:8" x14ac:dyDescent="0.2">
      <c r="A146" s="284">
        <v>54399</v>
      </c>
      <c r="B146" s="81" t="s">
        <v>326</v>
      </c>
      <c r="C146" s="583">
        <f>'BS_CR '!BB230</f>
        <v>312000</v>
      </c>
      <c r="D146" s="583">
        <f>'BS_CR '!BB140</f>
        <v>0</v>
      </c>
      <c r="E146" s="608"/>
      <c r="F146" s="608"/>
      <c r="G146" s="608"/>
      <c r="H146" s="606">
        <f t="shared" si="20"/>
        <v>312000</v>
      </c>
    </row>
    <row r="147" spans="1:8" x14ac:dyDescent="0.2">
      <c r="A147" s="283">
        <v>544</v>
      </c>
      <c r="B147" s="73" t="s">
        <v>111</v>
      </c>
      <c r="C147" s="609">
        <f t="shared" ref="C147:H147" si="21">SUM(C148:C156)</f>
        <v>0</v>
      </c>
      <c r="D147" s="609">
        <f t="shared" si="21"/>
        <v>0</v>
      </c>
      <c r="E147" s="609">
        <f t="shared" si="21"/>
        <v>0</v>
      </c>
      <c r="F147" s="609">
        <f t="shared" si="21"/>
        <v>0</v>
      </c>
      <c r="G147" s="609">
        <f t="shared" si="21"/>
        <v>0</v>
      </c>
      <c r="H147" s="610">
        <f t="shared" si="21"/>
        <v>0</v>
      </c>
    </row>
    <row r="148" spans="1:8" x14ac:dyDescent="0.2">
      <c r="A148" s="284">
        <v>54401</v>
      </c>
      <c r="B148" s="81" t="s">
        <v>327</v>
      </c>
      <c r="C148" s="583">
        <f>'BS_CR '!BB232</f>
        <v>0</v>
      </c>
      <c r="D148" s="583">
        <f>'BS_CR '!BB142</f>
        <v>0</v>
      </c>
      <c r="E148" s="608"/>
      <c r="F148" s="608"/>
      <c r="G148" s="608"/>
      <c r="H148" s="606">
        <f>SUM(C148:G148)</f>
        <v>0</v>
      </c>
    </row>
    <row r="149" spans="1:8" x14ac:dyDescent="0.2">
      <c r="A149" s="284">
        <v>54402</v>
      </c>
      <c r="B149" s="81" t="s">
        <v>328</v>
      </c>
      <c r="C149" s="583">
        <f>'BS_CR '!BB233</f>
        <v>0</v>
      </c>
      <c r="D149" s="583">
        <f>'BS_CR '!BB143</f>
        <v>0</v>
      </c>
      <c r="E149" s="608"/>
      <c r="F149" s="608"/>
      <c r="G149" s="608"/>
      <c r="H149" s="606">
        <f>SUM(C149:G149)</f>
        <v>0</v>
      </c>
    </row>
    <row r="150" spans="1:8" x14ac:dyDescent="0.2">
      <c r="A150" s="284">
        <v>54403</v>
      </c>
      <c r="B150" s="81" t="s">
        <v>330</v>
      </c>
      <c r="C150" s="583">
        <f>'BS_CR '!BB234</f>
        <v>0</v>
      </c>
      <c r="D150" s="583">
        <f>'BS_CR '!BB144</f>
        <v>0</v>
      </c>
      <c r="E150" s="608"/>
      <c r="F150" s="608"/>
      <c r="G150" s="608"/>
      <c r="H150" s="606">
        <f>SUM(C150:G150)</f>
        <v>0</v>
      </c>
    </row>
    <row r="151" spans="1:8" x14ac:dyDescent="0.2">
      <c r="A151" s="284">
        <v>54404</v>
      </c>
      <c r="B151" s="81" t="s">
        <v>329</v>
      </c>
      <c r="C151" s="583">
        <f>'BS_CR '!BB235</f>
        <v>0</v>
      </c>
      <c r="D151" s="583">
        <f>'BS_CR '!BB145</f>
        <v>0</v>
      </c>
      <c r="E151" s="608"/>
      <c r="F151" s="608"/>
      <c r="G151" s="608"/>
      <c r="H151" s="606">
        <f>SUM(C151:G151)</f>
        <v>0</v>
      </c>
    </row>
    <row r="152" spans="1:8" x14ac:dyDescent="0.2">
      <c r="A152" s="283">
        <v>545</v>
      </c>
      <c r="B152" s="73" t="s">
        <v>331</v>
      </c>
      <c r="C152" s="608">
        <f t="shared" ref="C152:H152" si="22">SUM(C153:C156)</f>
        <v>0</v>
      </c>
      <c r="D152" s="608">
        <f t="shared" si="22"/>
        <v>0</v>
      </c>
      <c r="E152" s="608">
        <f t="shared" si="22"/>
        <v>0</v>
      </c>
      <c r="F152" s="608">
        <f t="shared" si="22"/>
        <v>0</v>
      </c>
      <c r="G152" s="608">
        <f t="shared" si="22"/>
        <v>0</v>
      </c>
      <c r="H152" s="611">
        <f t="shared" si="22"/>
        <v>0</v>
      </c>
    </row>
    <row r="153" spans="1:8" x14ac:dyDescent="0.2">
      <c r="A153" s="284">
        <v>54503</v>
      </c>
      <c r="B153" s="81" t="s">
        <v>462</v>
      </c>
      <c r="C153" s="583">
        <f>'BS_CR '!BB237</f>
        <v>0</v>
      </c>
      <c r="D153" s="583">
        <f>'BS_CR '!BB147</f>
        <v>0</v>
      </c>
      <c r="E153" s="608"/>
      <c r="F153" s="608"/>
      <c r="G153" s="608"/>
      <c r="H153" s="606">
        <f>SUM(C153:G153)</f>
        <v>0</v>
      </c>
    </row>
    <row r="154" spans="1:8" x14ac:dyDescent="0.2">
      <c r="A154" s="284">
        <v>54505</v>
      </c>
      <c r="B154" s="81" t="s">
        <v>333</v>
      </c>
      <c r="C154" s="583">
        <f>'BS_CR '!BB238</f>
        <v>0</v>
      </c>
      <c r="D154" s="583">
        <f>'BS_CR '!BB148</f>
        <v>0</v>
      </c>
      <c r="E154" s="608"/>
      <c r="F154" s="608"/>
      <c r="G154" s="608"/>
      <c r="H154" s="606">
        <f>SUM(C154:G154)</f>
        <v>0</v>
      </c>
    </row>
    <row r="155" spans="1:8" x14ac:dyDescent="0.2">
      <c r="A155" s="284">
        <v>54507</v>
      </c>
      <c r="B155" s="81" t="s">
        <v>482</v>
      </c>
      <c r="C155" s="583">
        <f>'BS_CR '!BB239</f>
        <v>0</v>
      </c>
      <c r="D155" s="583">
        <f>'BS_CR '!BB149</f>
        <v>0</v>
      </c>
      <c r="E155" s="608"/>
      <c r="F155" s="608"/>
      <c r="G155" s="608"/>
      <c r="H155" s="606">
        <f>SUM(C155:G155)</f>
        <v>0</v>
      </c>
    </row>
    <row r="156" spans="1:8" x14ac:dyDescent="0.2">
      <c r="A156" s="284">
        <v>54508</v>
      </c>
      <c r="B156" s="81" t="s">
        <v>335</v>
      </c>
      <c r="C156" s="583">
        <f>'BS_CR '!BB240</f>
        <v>0</v>
      </c>
      <c r="D156" s="583">
        <f>'BS_CR '!BB150</f>
        <v>0</v>
      </c>
      <c r="E156" s="608"/>
      <c r="F156" s="608"/>
      <c r="G156" s="608"/>
      <c r="H156" s="606">
        <f>SUM(C156:G156)</f>
        <v>0</v>
      </c>
    </row>
    <row r="157" spans="1:8" x14ac:dyDescent="0.2">
      <c r="A157" s="283">
        <v>55</v>
      </c>
      <c r="B157" s="73" t="s">
        <v>112</v>
      </c>
      <c r="C157" s="608">
        <f>+C160+C164+C158</f>
        <v>0</v>
      </c>
      <c r="D157" s="608">
        <f t="shared" ref="D157:G157" si="23">+D160+D164+D158</f>
        <v>12565.56</v>
      </c>
      <c r="E157" s="608">
        <f t="shared" si="23"/>
        <v>0</v>
      </c>
      <c r="F157" s="608">
        <f t="shared" si="23"/>
        <v>0</v>
      </c>
      <c r="G157" s="608">
        <f t="shared" si="23"/>
        <v>0</v>
      </c>
      <c r="H157" s="608">
        <f>+H160+H164+H158</f>
        <v>12565.56</v>
      </c>
    </row>
    <row r="158" spans="1:8" x14ac:dyDescent="0.2">
      <c r="A158" s="283">
        <v>555</v>
      </c>
      <c r="B158" s="1089" t="str">
        <f>'BS_CR '!AT152</f>
        <v>Impuestos tasas y derechos</v>
      </c>
      <c r="C158" s="608">
        <f>SUM(C159)</f>
        <v>0</v>
      </c>
      <c r="D158" s="608">
        <f t="shared" ref="D158:H158" si="24">SUM(D159)</f>
        <v>12565.56</v>
      </c>
      <c r="E158" s="608">
        <f t="shared" si="24"/>
        <v>0</v>
      </c>
      <c r="F158" s="608">
        <f t="shared" si="24"/>
        <v>0</v>
      </c>
      <c r="G158" s="608">
        <f t="shared" si="24"/>
        <v>0</v>
      </c>
      <c r="H158" s="608">
        <f t="shared" si="24"/>
        <v>12565.56</v>
      </c>
    </row>
    <row r="159" spans="1:8" x14ac:dyDescent="0.2">
      <c r="A159" s="283">
        <v>55508</v>
      </c>
      <c r="B159" s="1089" t="str">
        <f>'BS_CR '!AT153</f>
        <v>Derechos</v>
      </c>
      <c r="C159" s="608"/>
      <c r="D159" s="608">
        <f>'BS_CR '!BB153</f>
        <v>12565.56</v>
      </c>
      <c r="E159" s="608"/>
      <c r="F159" s="608"/>
      <c r="G159" s="608"/>
      <c r="H159" s="611">
        <f>SUM(C159:G159)</f>
        <v>12565.56</v>
      </c>
    </row>
    <row r="160" spans="1:8" x14ac:dyDescent="0.2">
      <c r="A160" s="283">
        <v>556</v>
      </c>
      <c r="B160" s="73" t="s">
        <v>113</v>
      </c>
      <c r="C160" s="608">
        <f t="shared" ref="C160:H160" si="25">SUM(C161:C163)</f>
        <v>0</v>
      </c>
      <c r="D160" s="608">
        <f t="shared" si="25"/>
        <v>0</v>
      </c>
      <c r="E160" s="608">
        <f t="shared" si="25"/>
        <v>0</v>
      </c>
      <c r="F160" s="608">
        <f t="shared" si="25"/>
        <v>0</v>
      </c>
      <c r="G160" s="608">
        <f t="shared" si="25"/>
        <v>0</v>
      </c>
      <c r="H160" s="611">
        <f t="shared" si="25"/>
        <v>0</v>
      </c>
    </row>
    <row r="161" spans="1:8" x14ac:dyDescent="0.2">
      <c r="A161" s="284">
        <v>55601</v>
      </c>
      <c r="B161" s="81" t="s">
        <v>336</v>
      </c>
      <c r="C161" s="583">
        <f>'BS_CR '!BB245</f>
        <v>0</v>
      </c>
      <c r="D161" s="583">
        <f>'BS_CR '!BB155</f>
        <v>0</v>
      </c>
      <c r="E161" s="608"/>
      <c r="F161" s="608"/>
      <c r="G161" s="608"/>
      <c r="H161" s="606">
        <f>SUM(C161:G161)</f>
        <v>0</v>
      </c>
    </row>
    <row r="162" spans="1:8" x14ac:dyDescent="0.2">
      <c r="A162" s="284">
        <v>55603</v>
      </c>
      <c r="B162" s="81" t="s">
        <v>337</v>
      </c>
      <c r="C162" s="583">
        <f>'BS_CR '!BB246</f>
        <v>0</v>
      </c>
      <c r="D162" s="583">
        <f>'BS_CR '!BB156</f>
        <v>0</v>
      </c>
      <c r="E162" s="608"/>
      <c r="F162" s="608"/>
      <c r="G162" s="608"/>
      <c r="H162" s="606">
        <f>SUM(C162:G162)</f>
        <v>0</v>
      </c>
    </row>
    <row r="163" spans="1:8" x14ac:dyDescent="0.2">
      <c r="A163" s="284">
        <v>55603</v>
      </c>
      <c r="B163" s="81" t="s">
        <v>338</v>
      </c>
      <c r="C163" s="583">
        <f>'BS_CR '!BB247</f>
        <v>0</v>
      </c>
      <c r="D163" s="583">
        <f>'BS_CR '!BB157</f>
        <v>0</v>
      </c>
      <c r="E163" s="608"/>
      <c r="F163" s="608"/>
      <c r="G163" s="608"/>
      <c r="H163" s="606">
        <f>SUM(C163:G163)</f>
        <v>0</v>
      </c>
    </row>
    <row r="164" spans="1:8" x14ac:dyDescent="0.2">
      <c r="A164" s="283">
        <v>557</v>
      </c>
      <c r="B164" s="73" t="s">
        <v>114</v>
      </c>
      <c r="C164" s="608">
        <f t="shared" ref="C164:H164" si="26">SUM(C165)</f>
        <v>0</v>
      </c>
      <c r="D164" s="608">
        <f t="shared" si="26"/>
        <v>0</v>
      </c>
      <c r="E164" s="608">
        <f t="shared" si="26"/>
        <v>0</v>
      </c>
      <c r="F164" s="608">
        <f t="shared" si="26"/>
        <v>0</v>
      </c>
      <c r="G164" s="608">
        <f t="shared" si="26"/>
        <v>0</v>
      </c>
      <c r="H164" s="611">
        <f t="shared" si="26"/>
        <v>0</v>
      </c>
    </row>
    <row r="165" spans="1:8" x14ac:dyDescent="0.2">
      <c r="A165" s="284">
        <v>55799</v>
      </c>
      <c r="B165" s="81" t="s">
        <v>339</v>
      </c>
      <c r="C165" s="583">
        <f>'BS_CR '!BB249</f>
        <v>0</v>
      </c>
      <c r="D165" s="583">
        <f>'BS_CR '!BB159</f>
        <v>0</v>
      </c>
      <c r="E165" s="608"/>
      <c r="F165" s="608"/>
      <c r="G165" s="608"/>
      <c r="H165" s="606">
        <f>SUM(C165:G165)</f>
        <v>0</v>
      </c>
    </row>
    <row r="166" spans="1:8" x14ac:dyDescent="0.2">
      <c r="A166" s="283">
        <v>56</v>
      </c>
      <c r="B166" s="73" t="s">
        <v>115</v>
      </c>
      <c r="C166" s="608">
        <f t="shared" ref="C166:H166" si="27">C167+C169</f>
        <v>0</v>
      </c>
      <c r="D166" s="608">
        <f t="shared" si="27"/>
        <v>0</v>
      </c>
      <c r="E166" s="608">
        <f t="shared" si="27"/>
        <v>0</v>
      </c>
      <c r="F166" s="608">
        <f t="shared" si="27"/>
        <v>0</v>
      </c>
      <c r="G166" s="608">
        <f t="shared" si="27"/>
        <v>0</v>
      </c>
      <c r="H166" s="611">
        <f t="shared" si="27"/>
        <v>0</v>
      </c>
    </row>
    <row r="167" spans="1:8" x14ac:dyDescent="0.2">
      <c r="A167" s="283">
        <v>562</v>
      </c>
      <c r="B167" s="73" t="s">
        <v>344</v>
      </c>
      <c r="C167" s="608">
        <f>SUM(C168)</f>
        <v>0</v>
      </c>
      <c r="D167" s="608">
        <f>SUM(D168:D172)</f>
        <v>0</v>
      </c>
      <c r="E167" s="608">
        <f>SUM(E168:E172)</f>
        <v>0</v>
      </c>
      <c r="F167" s="608">
        <f>SUM(F168:F172)</f>
        <v>0</v>
      </c>
      <c r="G167" s="608">
        <f>SUM(G168:G172)</f>
        <v>0</v>
      </c>
      <c r="H167" s="611">
        <f>SUM(H168:H172)</f>
        <v>0</v>
      </c>
    </row>
    <row r="168" spans="1:8" x14ac:dyDescent="0.2">
      <c r="A168" s="284">
        <v>56201</v>
      </c>
      <c r="B168" s="81" t="s">
        <v>340</v>
      </c>
      <c r="C168" s="583">
        <f>'BS_CR '!BB252</f>
        <v>0</v>
      </c>
      <c r="D168" s="583">
        <f>'BS_CR '!BB162</f>
        <v>0</v>
      </c>
      <c r="E168" s="608"/>
      <c r="F168" s="608"/>
      <c r="G168" s="608"/>
      <c r="H168" s="606">
        <f>SUM(C168:G168)</f>
        <v>0</v>
      </c>
    </row>
    <row r="169" spans="1:8" x14ac:dyDescent="0.2">
      <c r="A169" s="283">
        <v>563</v>
      </c>
      <c r="B169" s="73" t="s">
        <v>345</v>
      </c>
      <c r="C169" s="608">
        <f>C170+C171+C172</f>
        <v>0</v>
      </c>
      <c r="D169" s="608">
        <v>0</v>
      </c>
      <c r="E169" s="608">
        <f>E170+E171+E172</f>
        <v>0</v>
      </c>
      <c r="F169" s="608">
        <f>F170+F171+F172</f>
        <v>0</v>
      </c>
      <c r="G169" s="608">
        <f>G170+G171+G172</f>
        <v>0</v>
      </c>
      <c r="H169" s="611">
        <f>H170+H171+H172</f>
        <v>0</v>
      </c>
    </row>
    <row r="170" spans="1:8" x14ac:dyDescent="0.2">
      <c r="A170" s="284">
        <v>56303</v>
      </c>
      <c r="B170" s="81" t="s">
        <v>341</v>
      </c>
      <c r="C170" s="583">
        <f>'BS_CR '!BB254</f>
        <v>0</v>
      </c>
      <c r="D170" s="583">
        <f>'BS_CR '!BB164</f>
        <v>0</v>
      </c>
      <c r="E170" s="608"/>
      <c r="F170" s="608"/>
      <c r="G170" s="608"/>
      <c r="H170" s="611"/>
    </row>
    <row r="171" spans="1:8" x14ac:dyDescent="0.2">
      <c r="A171" s="284">
        <v>56304</v>
      </c>
      <c r="B171" s="81" t="s">
        <v>342</v>
      </c>
      <c r="C171" s="583">
        <f>'BS_CR '!BB255</f>
        <v>0</v>
      </c>
      <c r="D171" s="583">
        <f>'BS_CR '!BB165</f>
        <v>0</v>
      </c>
      <c r="E171" s="608"/>
      <c r="F171" s="608"/>
      <c r="G171" s="608"/>
      <c r="H171" s="611"/>
    </row>
    <row r="172" spans="1:8" x14ac:dyDescent="0.2">
      <c r="A172" s="284">
        <v>56305</v>
      </c>
      <c r="B172" s="81" t="s">
        <v>343</v>
      </c>
      <c r="C172" s="306">
        <f>'BS_CR '!BB256</f>
        <v>0</v>
      </c>
      <c r="D172" s="306">
        <f>'BS_CR '!BB166</f>
        <v>0</v>
      </c>
      <c r="E172" s="307"/>
      <c r="F172" s="307"/>
      <c r="G172" s="307"/>
      <c r="H172" s="308"/>
    </row>
    <row r="173" spans="1:8" x14ac:dyDescent="0.2">
      <c r="A173" s="618">
        <v>61</v>
      </c>
      <c r="B173" s="73" t="s">
        <v>662</v>
      </c>
      <c r="C173" s="306">
        <f>C174</f>
        <v>0</v>
      </c>
      <c r="D173" s="306">
        <f>D174</f>
        <v>2422.34</v>
      </c>
      <c r="E173" s="306">
        <f>E174</f>
        <v>0</v>
      </c>
      <c r="F173" s="306">
        <f>F174</f>
        <v>0</v>
      </c>
      <c r="G173" s="306">
        <f>G174</f>
        <v>0</v>
      </c>
      <c r="H173" s="306">
        <f t="shared" ref="H173:H177" si="28">SUM(C173:G173)</f>
        <v>2422.34</v>
      </c>
    </row>
    <row r="174" spans="1:8" x14ac:dyDescent="0.2">
      <c r="A174" s="618">
        <v>611</v>
      </c>
      <c r="B174" s="73" t="s">
        <v>403</v>
      </c>
      <c r="C174" s="306">
        <f>SUM(C175:C179)</f>
        <v>0</v>
      </c>
      <c r="D174" s="306">
        <f>SUM(D175:D179)</f>
        <v>2422.34</v>
      </c>
      <c r="E174" s="306">
        <f>SUM(E175:E179)</f>
        <v>0</v>
      </c>
      <c r="F174" s="306">
        <f>SUM(F175:F179)</f>
        <v>0</v>
      </c>
      <c r="G174" s="306">
        <f>SUM(G175:G179)</f>
        <v>0</v>
      </c>
      <c r="H174" s="306">
        <f t="shared" si="28"/>
        <v>2422.34</v>
      </c>
    </row>
    <row r="175" spans="1:8" x14ac:dyDescent="0.2">
      <c r="A175" s="79">
        <v>61101</v>
      </c>
      <c r="B175" s="81" t="s">
        <v>605</v>
      </c>
      <c r="C175" s="306">
        <f>'BS_CR '!BB258</f>
        <v>0</v>
      </c>
      <c r="D175" s="306">
        <f>'BS_CR '!BB168</f>
        <v>490.34</v>
      </c>
      <c r="E175" s="306"/>
      <c r="F175" s="306"/>
      <c r="G175" s="306"/>
      <c r="H175" s="306">
        <f t="shared" si="28"/>
        <v>490.34</v>
      </c>
    </row>
    <row r="176" spans="1:8" x14ac:dyDescent="0.2">
      <c r="A176" s="79">
        <v>61102</v>
      </c>
      <c r="B176" s="81" t="s">
        <v>606</v>
      </c>
      <c r="C176" s="306">
        <f>'BS_CR '!BB259</f>
        <v>0</v>
      </c>
      <c r="D176" s="306">
        <f>'BS_CR '!BB169</f>
        <v>0</v>
      </c>
      <c r="E176" s="307"/>
      <c r="F176" s="307"/>
      <c r="G176" s="307"/>
      <c r="H176" s="306">
        <f t="shared" si="28"/>
        <v>0</v>
      </c>
    </row>
    <row r="177" spans="1:10" x14ac:dyDescent="0.2">
      <c r="A177" s="79">
        <v>61104</v>
      </c>
      <c r="B177" s="81" t="s">
        <v>607</v>
      </c>
      <c r="C177" s="306"/>
      <c r="D177" s="306">
        <f>'BS_CR '!BB171</f>
        <v>1932</v>
      </c>
      <c r="E177" s="307"/>
      <c r="F177" s="307"/>
      <c r="G177" s="307"/>
      <c r="H177" s="306">
        <f t="shared" si="28"/>
        <v>1932</v>
      </c>
    </row>
    <row r="178" spans="1:10" x14ac:dyDescent="0.2">
      <c r="A178" s="79">
        <v>61105</v>
      </c>
      <c r="B178" s="81" t="s">
        <v>786</v>
      </c>
      <c r="C178" s="306"/>
      <c r="D178" s="306">
        <f>'BS_CR '!BB170</f>
        <v>0</v>
      </c>
      <c r="E178" s="307"/>
      <c r="F178" s="307"/>
      <c r="G178" s="307"/>
      <c r="H178" s="306"/>
    </row>
    <row r="179" spans="1:10" x14ac:dyDescent="0.2">
      <c r="A179" s="79">
        <v>61199</v>
      </c>
      <c r="B179" s="81" t="s">
        <v>608</v>
      </c>
      <c r="C179" s="306">
        <f>'BS_CR '!BB262</f>
        <v>0</v>
      </c>
      <c r="D179" s="306">
        <f>'BS_CR '!BB172</f>
        <v>0</v>
      </c>
      <c r="E179" s="307"/>
      <c r="F179" s="307"/>
      <c r="G179" s="307"/>
      <c r="H179" s="306">
        <f>SUM(C179:G179)</f>
        <v>0</v>
      </c>
    </row>
    <row r="180" spans="1:10" x14ac:dyDescent="0.2">
      <c r="A180" s="965">
        <v>614</v>
      </c>
      <c r="B180" s="73" t="s">
        <v>424</v>
      </c>
      <c r="C180" s="306"/>
      <c r="D180" s="306"/>
      <c r="E180" s="307"/>
      <c r="F180" s="307"/>
      <c r="G180" s="307"/>
      <c r="H180" s="966"/>
    </row>
    <row r="181" spans="1:10" x14ac:dyDescent="0.2">
      <c r="A181" s="964">
        <v>61403</v>
      </c>
      <c r="B181" s="81" t="s">
        <v>764</v>
      </c>
      <c r="C181" s="306"/>
      <c r="D181" s="306"/>
      <c r="E181" s="307"/>
      <c r="F181" s="307"/>
      <c r="G181" s="307"/>
      <c r="H181" s="966"/>
    </row>
    <row r="182" spans="1:10" x14ac:dyDescent="0.2">
      <c r="A182" s="283">
        <v>72</v>
      </c>
      <c r="B182" s="73" t="s">
        <v>43</v>
      </c>
      <c r="C182" s="309">
        <f t="shared" ref="C182:H183" si="29">+C183</f>
        <v>0</v>
      </c>
      <c r="D182" s="309">
        <f t="shared" si="29"/>
        <v>0</v>
      </c>
      <c r="E182" s="309">
        <f t="shared" si="29"/>
        <v>0</v>
      </c>
      <c r="F182" s="309">
        <f t="shared" si="29"/>
        <v>0</v>
      </c>
      <c r="G182" s="309">
        <f t="shared" si="29"/>
        <v>0</v>
      </c>
      <c r="H182" s="310">
        <f t="shared" si="29"/>
        <v>0</v>
      </c>
    </row>
    <row r="183" spans="1:10" ht="22.5" x14ac:dyDescent="0.2">
      <c r="A183" s="283">
        <v>721</v>
      </c>
      <c r="B183" s="955" t="s">
        <v>802</v>
      </c>
      <c r="C183" s="309">
        <f t="shared" si="29"/>
        <v>0</v>
      </c>
      <c r="D183" s="309">
        <f t="shared" si="29"/>
        <v>0</v>
      </c>
      <c r="E183" s="309">
        <f t="shared" si="29"/>
        <v>0</v>
      </c>
      <c r="F183" s="309">
        <f t="shared" si="29"/>
        <v>0</v>
      </c>
      <c r="G183" s="309">
        <f t="shared" si="29"/>
        <v>0</v>
      </c>
      <c r="H183" s="310">
        <f t="shared" si="29"/>
        <v>0</v>
      </c>
    </row>
    <row r="184" spans="1:10" x14ac:dyDescent="0.2">
      <c r="A184" s="284">
        <v>72101</v>
      </c>
      <c r="B184" s="956" t="s">
        <v>116</v>
      </c>
      <c r="C184" s="311"/>
      <c r="D184" s="311"/>
      <c r="E184" s="311"/>
      <c r="F184" s="311"/>
      <c r="G184" s="311"/>
      <c r="H184" s="312">
        <f>SUM(C184:G184)</f>
        <v>0</v>
      </c>
    </row>
    <row r="185" spans="1:10" ht="22.5" x14ac:dyDescent="0.2">
      <c r="A185" s="284">
        <v>722</v>
      </c>
      <c r="B185" s="957" t="s">
        <v>806</v>
      </c>
      <c r="C185" s="311"/>
      <c r="D185" s="311"/>
      <c r="E185" s="311"/>
      <c r="F185" s="311"/>
      <c r="G185" s="311"/>
      <c r="H185" s="312"/>
    </row>
    <row r="186" spans="1:10" ht="22.5" x14ac:dyDescent="0.2">
      <c r="A186" s="284">
        <v>72201</v>
      </c>
      <c r="B186" s="958" t="s">
        <v>806</v>
      </c>
      <c r="C186" s="311"/>
      <c r="D186" s="311"/>
      <c r="E186" s="311"/>
      <c r="F186" s="311"/>
      <c r="G186" s="311"/>
      <c r="H186" s="312"/>
    </row>
    <row r="187" spans="1:10" x14ac:dyDescent="0.2">
      <c r="A187" s="284"/>
      <c r="B187" s="958"/>
      <c r="C187" s="311"/>
      <c r="D187" s="311"/>
      <c r="E187" s="311"/>
      <c r="F187" s="311"/>
      <c r="G187" s="311"/>
      <c r="H187" s="312"/>
    </row>
    <row r="188" spans="1:10" x14ac:dyDescent="0.2">
      <c r="A188" s="283">
        <v>99</v>
      </c>
      <c r="B188" s="125" t="s">
        <v>117</v>
      </c>
      <c r="C188" s="309">
        <f t="shared" ref="C188:H189" si="30">+C189</f>
        <v>0</v>
      </c>
      <c r="D188" s="309">
        <f t="shared" si="30"/>
        <v>0</v>
      </c>
      <c r="E188" s="309">
        <f t="shared" si="30"/>
        <v>0</v>
      </c>
      <c r="F188" s="309">
        <f t="shared" si="30"/>
        <v>0</v>
      </c>
      <c r="G188" s="309">
        <f t="shared" si="30"/>
        <v>0</v>
      </c>
      <c r="H188" s="310">
        <f t="shared" si="30"/>
        <v>0</v>
      </c>
    </row>
    <row r="189" spans="1:10" x14ac:dyDescent="0.2">
      <c r="A189" s="283">
        <v>991</v>
      </c>
      <c r="B189" s="52" t="s">
        <v>118</v>
      </c>
      <c r="C189" s="309">
        <f t="shared" si="30"/>
        <v>0</v>
      </c>
      <c r="D189" s="309">
        <f t="shared" si="30"/>
        <v>0</v>
      </c>
      <c r="E189" s="309">
        <f t="shared" si="30"/>
        <v>0</v>
      </c>
      <c r="F189" s="309">
        <f t="shared" si="30"/>
        <v>0</v>
      </c>
      <c r="G189" s="309">
        <f t="shared" si="30"/>
        <v>0</v>
      </c>
      <c r="H189" s="310">
        <f t="shared" si="30"/>
        <v>0</v>
      </c>
    </row>
    <row r="190" spans="1:10" ht="13.5" thickBot="1" x14ac:dyDescent="0.25">
      <c r="A190" s="284">
        <v>99101</v>
      </c>
      <c r="B190" s="52" t="s">
        <v>118</v>
      </c>
      <c r="C190" s="311"/>
      <c r="D190" s="311"/>
      <c r="E190" s="311"/>
      <c r="F190" s="311"/>
      <c r="G190" s="311"/>
      <c r="H190" s="313">
        <f>SUM(C190:G190)</f>
        <v>0</v>
      </c>
    </row>
    <row r="191" spans="1:10" ht="14.25" thickTop="1" thickBot="1" x14ac:dyDescent="0.25">
      <c r="A191" s="288"/>
      <c r="B191" s="289" t="s">
        <v>31</v>
      </c>
      <c r="C191" s="584">
        <f t="shared" ref="C191:H191" si="31">C107+C157+C166+C182+C188+C173</f>
        <v>440999.53</v>
      </c>
      <c r="D191" s="584">
        <f t="shared" si="31"/>
        <v>173066.55</v>
      </c>
      <c r="E191" s="584">
        <f t="shared" si="31"/>
        <v>0</v>
      </c>
      <c r="F191" s="584">
        <f t="shared" si="31"/>
        <v>0</v>
      </c>
      <c r="G191" s="584">
        <f t="shared" si="31"/>
        <v>0</v>
      </c>
      <c r="H191" s="584">
        <f t="shared" si="31"/>
        <v>614066.07999999996</v>
      </c>
      <c r="I191" s="861">
        <f>H191+H93+EgreUP01!H189+EgreUP01!H92</f>
        <v>1498974.55</v>
      </c>
      <c r="J191" s="861">
        <f>H191+H93+EgreUP01!H189+EgreUP01!H92</f>
        <v>1498974.55</v>
      </c>
    </row>
    <row r="192" spans="1:10" ht="13.5" thickTop="1" x14ac:dyDescent="0.2">
      <c r="C192" s="30">
        <f>'BS_CR '!BB268</f>
        <v>440999.53</v>
      </c>
      <c r="D192" s="30">
        <f>'BS_CR '!BB178</f>
        <v>173066.55</v>
      </c>
      <c r="I192" s="861">
        <f>'BS_CR '!BI90+'BS_CR '!BI94</f>
        <v>1498974.5499999998</v>
      </c>
    </row>
    <row r="193" spans="4:9" x14ac:dyDescent="0.2">
      <c r="D193" s="861">
        <f>D191-D192</f>
        <v>0</v>
      </c>
      <c r="I193" s="861">
        <f>I191-I192</f>
        <v>0</v>
      </c>
    </row>
  </sheetData>
  <mergeCells count="12">
    <mergeCell ref="C9:G9"/>
    <mergeCell ref="H9:H10"/>
    <mergeCell ref="A1:H1"/>
    <mergeCell ref="A2:H2"/>
    <mergeCell ref="A3:H3"/>
    <mergeCell ref="A9:B9"/>
    <mergeCell ref="A97:H97"/>
    <mergeCell ref="A98:H98"/>
    <mergeCell ref="A99:H99"/>
    <mergeCell ref="A105:B105"/>
    <mergeCell ref="C105:G105"/>
    <mergeCell ref="H105:H106"/>
  </mergeCells>
  <phoneticPr fontId="0" type="noConversion"/>
  <printOptions horizontalCentered="1"/>
  <pageMargins left="0.27559055118110237" right="0.27559055118110237" top="0.47244094488188981" bottom="0.39370078740157483" header="0" footer="0"/>
  <pageSetup scale="80" orientation="portrait" horizontalDpi="4294967294" r:id="rId1"/>
  <headerFooter alignWithMargins="0"/>
  <rowBreaks count="1" manualBreakCount="1"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4">
    <pageSetUpPr fitToPage="1"/>
  </sheetPr>
  <dimension ref="A1:L127"/>
  <sheetViews>
    <sheetView showGridLines="0" tabSelected="1" topLeftCell="B1" zoomScale="150" zoomScaleNormal="150" workbookViewId="0">
      <selection activeCell="B3" sqref="B3"/>
    </sheetView>
  </sheetViews>
  <sheetFormatPr baseColWidth="10" defaultColWidth="11.42578125" defaultRowHeight="12.75" x14ac:dyDescent="0.2"/>
  <cols>
    <col min="1" max="1" width="8.140625" style="47" customWidth="1"/>
    <col min="2" max="2" width="64.7109375" style="833" customWidth="1"/>
    <col min="3" max="3" width="12.42578125" style="833" customWidth="1"/>
    <col min="4" max="4" width="9.28515625" style="30" customWidth="1"/>
    <col min="5" max="5" width="10.42578125" style="30" customWidth="1"/>
    <col min="6" max="6" width="11.85546875" style="30" customWidth="1"/>
    <col min="7" max="7" width="10.5703125" style="30" bestFit="1" customWidth="1"/>
    <col min="8" max="8" width="12.140625" style="30" customWidth="1"/>
    <col min="9" max="9" width="11.42578125" style="30"/>
    <col min="10" max="10" width="15.28515625" style="30" bestFit="1" customWidth="1"/>
    <col min="11" max="11" width="14.140625" style="30" bestFit="1" customWidth="1"/>
    <col min="12" max="12" width="12" style="30" bestFit="1" customWidth="1"/>
    <col min="13" max="13" width="11.42578125" style="30"/>
    <col min="14" max="14" width="13" style="30" bestFit="1" customWidth="1"/>
    <col min="15" max="15" width="12" style="30" bestFit="1" customWidth="1"/>
    <col min="16" max="16384" width="11.42578125" style="30"/>
  </cols>
  <sheetData>
    <row r="1" spans="1:8" ht="15.75" x14ac:dyDescent="0.25">
      <c r="A1" s="1124" t="s">
        <v>666</v>
      </c>
      <c r="B1" s="1124"/>
      <c r="C1" s="1124"/>
      <c r="D1" s="1124"/>
      <c r="E1" s="1124"/>
      <c r="F1" s="1124"/>
      <c r="G1" s="1124"/>
      <c r="H1" s="1124"/>
    </row>
    <row r="2" spans="1:8" x14ac:dyDescent="0.2">
      <c r="A2" s="1191" t="s">
        <v>120</v>
      </c>
      <c r="B2" s="1191"/>
      <c r="C2" s="1191"/>
      <c r="D2" s="1191"/>
      <c r="E2" s="1191"/>
      <c r="F2" s="1191"/>
      <c r="G2" s="1191"/>
      <c r="H2" s="1191"/>
    </row>
    <row r="3" spans="1:8" ht="18" customHeight="1" x14ac:dyDescent="0.2">
      <c r="A3" s="47" t="str">
        <f>EgreUP02!A4</f>
        <v>INSTITUCION: ALCALDIA MUNICIPAL DE CHALATENANGO</v>
      </c>
      <c r="B3" s="1305"/>
      <c r="C3" s="818"/>
      <c r="D3" s="47"/>
      <c r="E3" s="47"/>
      <c r="F3" s="47"/>
      <c r="G3" s="47"/>
      <c r="H3" s="47"/>
    </row>
    <row r="4" spans="1:8" ht="15" customHeight="1" x14ac:dyDescent="0.2">
      <c r="A4" s="1114" t="str">
        <f>EgreUP02!A5</f>
        <v>EJERCICIO FINANCIERO FISCAL: DEL 01 DE ENERO AL 31 DE DICIEMBRE DE 2024</v>
      </c>
      <c r="B4" s="1114"/>
      <c r="C4" s="1114"/>
      <c r="D4" s="1114"/>
      <c r="E4" s="1114"/>
      <c r="F4" s="1114"/>
      <c r="G4" s="1114"/>
      <c r="H4" s="1114"/>
    </row>
    <row r="5" spans="1:8" ht="15" customHeight="1" x14ac:dyDescent="0.2">
      <c r="A5" s="1114" t="s">
        <v>412</v>
      </c>
      <c r="B5" s="1114"/>
      <c r="C5" s="1114"/>
      <c r="D5" s="1114"/>
      <c r="E5" s="1114"/>
      <c r="F5" s="1114"/>
      <c r="G5" s="1114"/>
      <c r="H5" s="1114"/>
    </row>
    <row r="6" spans="1:8" ht="15.75" customHeight="1" thickBot="1" x14ac:dyDescent="0.25">
      <c r="A6" s="1114" t="s">
        <v>413</v>
      </c>
      <c r="B6" s="1114"/>
      <c r="C6" s="1114"/>
      <c r="D6" s="1114"/>
      <c r="E6" s="1114"/>
      <c r="F6" s="1114"/>
      <c r="G6" s="1114"/>
      <c r="H6" s="1114"/>
    </row>
    <row r="7" spans="1:8" ht="25.5" customHeight="1" thickTop="1" thickBot="1" x14ac:dyDescent="0.25">
      <c r="A7" s="1233" t="s">
        <v>122</v>
      </c>
      <c r="B7" s="1235" t="s">
        <v>123</v>
      </c>
      <c r="C7" s="1230" t="s">
        <v>187</v>
      </c>
      <c r="D7" s="1231"/>
      <c r="E7" s="1231"/>
      <c r="F7" s="1231"/>
      <c r="G7" s="1232"/>
      <c r="H7" s="1228" t="s">
        <v>188</v>
      </c>
    </row>
    <row r="8" spans="1:8" ht="23.25" thickBot="1" x14ac:dyDescent="0.25">
      <c r="A8" s="1234"/>
      <c r="B8" s="1236"/>
      <c r="C8" s="819" t="s">
        <v>784</v>
      </c>
      <c r="D8" s="292" t="s">
        <v>663</v>
      </c>
      <c r="E8" s="292" t="s">
        <v>664</v>
      </c>
      <c r="F8" s="292" t="s">
        <v>665</v>
      </c>
      <c r="G8" s="293" t="s">
        <v>54</v>
      </c>
      <c r="H8" s="1229"/>
    </row>
    <row r="9" spans="1:8" ht="13.5" thickBot="1" x14ac:dyDescent="0.25">
      <c r="A9" s="1051">
        <v>56</v>
      </c>
      <c r="B9" s="842" t="s">
        <v>938</v>
      </c>
      <c r="C9" s="1052">
        <f>C10</f>
        <v>32501</v>
      </c>
      <c r="D9" s="1053"/>
      <c r="E9" s="1054"/>
      <c r="F9" s="1053"/>
      <c r="G9" s="1055"/>
      <c r="H9" s="1056">
        <f>SUM(C9:G9)</f>
        <v>32501</v>
      </c>
    </row>
    <row r="10" spans="1:8" ht="13.5" thickBot="1" x14ac:dyDescent="0.25">
      <c r="A10" s="298">
        <v>563</v>
      </c>
      <c r="B10" s="842" t="s">
        <v>939</v>
      </c>
      <c r="C10" s="1057">
        <f>SUM(C11:C12)</f>
        <v>32501</v>
      </c>
      <c r="D10" s="1057">
        <f>SUM(D11:D12)</f>
        <v>0</v>
      </c>
      <c r="E10" s="1057">
        <f t="shared" ref="E10:G10" si="0">SUM(E11:E12)</f>
        <v>0</v>
      </c>
      <c r="F10" s="1057">
        <f t="shared" si="0"/>
        <v>0</v>
      </c>
      <c r="G10" s="1057">
        <f t="shared" si="0"/>
        <v>0</v>
      </c>
      <c r="H10" s="1057">
        <f>SUM(H11:H12)</f>
        <v>32501</v>
      </c>
    </row>
    <row r="11" spans="1:8" ht="13.5" thickBot="1" x14ac:dyDescent="0.25">
      <c r="A11" s="299">
        <v>5630301</v>
      </c>
      <c r="B11" s="820" t="s">
        <v>1003</v>
      </c>
      <c r="C11" s="1048">
        <v>30000</v>
      </c>
      <c r="D11" s="301"/>
      <c r="E11" s="300"/>
      <c r="F11" s="301"/>
      <c r="G11" s="1045"/>
      <c r="H11" s="486">
        <f>SUM(C11:G11)</f>
        <v>30000</v>
      </c>
    </row>
    <row r="12" spans="1:8" ht="13.5" thickBot="1" x14ac:dyDescent="0.25">
      <c r="A12" s="299"/>
      <c r="B12" s="820" t="s">
        <v>1004</v>
      </c>
      <c r="C12" s="1048">
        <v>2501</v>
      </c>
      <c r="D12" s="301"/>
      <c r="E12" s="300"/>
      <c r="F12" s="301"/>
      <c r="G12" s="1045"/>
      <c r="H12" s="486">
        <f>SUM(C12:G12)</f>
        <v>2501</v>
      </c>
    </row>
    <row r="13" spans="1:8" x14ac:dyDescent="0.2">
      <c r="A13" s="298">
        <v>611</v>
      </c>
      <c r="B13" s="842" t="s">
        <v>395</v>
      </c>
      <c r="C13" s="1049">
        <f>SUM(C14:C14)</f>
        <v>0</v>
      </c>
      <c r="D13" s="480">
        <f>+D14</f>
        <v>0</v>
      </c>
      <c r="E13" s="409">
        <f>+E14</f>
        <v>0</v>
      </c>
      <c r="F13" s="409">
        <f>+F14</f>
        <v>0</v>
      </c>
      <c r="G13" s="482">
        <f>+G14</f>
        <v>0</v>
      </c>
      <c r="H13" s="487">
        <f>SUM(C13:G13)</f>
        <v>0</v>
      </c>
    </row>
    <row r="14" spans="1:8" x14ac:dyDescent="0.2">
      <c r="A14" s="299">
        <v>61105</v>
      </c>
      <c r="B14" s="771"/>
      <c r="C14" s="1050"/>
      <c r="D14" s="412">
        <v>0</v>
      </c>
      <c r="E14" s="411"/>
      <c r="F14" s="412"/>
      <c r="G14" s="483"/>
      <c r="H14" s="488">
        <f t="shared" ref="H14:H58" si="1">SUM(C14:G14)</f>
        <v>0</v>
      </c>
    </row>
    <row r="15" spans="1:8" x14ac:dyDescent="0.2">
      <c r="A15" s="298">
        <v>612</v>
      </c>
      <c r="B15" s="1046" t="s">
        <v>422</v>
      </c>
      <c r="C15" s="1047">
        <f>SUM(C16:C16)</f>
        <v>0</v>
      </c>
      <c r="D15" s="480">
        <f>SUM(D16:D16)</f>
        <v>0</v>
      </c>
      <c r="E15" s="480">
        <f>SUM(E16:E16)</f>
        <v>0</v>
      </c>
      <c r="F15" s="480">
        <f>SUM(F16:F16)</f>
        <v>0</v>
      </c>
      <c r="G15" s="480">
        <f>SUM(G16:G16)</f>
        <v>0</v>
      </c>
      <c r="H15" s="487">
        <f t="shared" si="1"/>
        <v>0</v>
      </c>
    </row>
    <row r="16" spans="1:8" ht="15" customHeight="1" x14ac:dyDescent="0.2">
      <c r="A16" s="299">
        <v>61201</v>
      </c>
      <c r="B16" s="645"/>
      <c r="C16" s="645"/>
      <c r="D16" s="300"/>
      <c r="E16" s="300"/>
      <c r="F16" s="300"/>
      <c r="G16" s="483"/>
      <c r="H16" s="487">
        <f t="shared" si="1"/>
        <v>0</v>
      </c>
    </row>
    <row r="17" spans="1:8" x14ac:dyDescent="0.2">
      <c r="A17" s="298">
        <v>614</v>
      </c>
      <c r="B17" s="843" t="s">
        <v>421</v>
      </c>
      <c r="C17" s="822">
        <f>SUM(C18:C18)</f>
        <v>0</v>
      </c>
      <c r="D17" s="409">
        <f>SUM(D18:D18)</f>
        <v>0</v>
      </c>
      <c r="E17" s="409">
        <f>SUM(E18:E18)</f>
        <v>0</v>
      </c>
      <c r="F17" s="412"/>
      <c r="G17" s="483"/>
      <c r="H17" s="487">
        <f t="shared" si="1"/>
        <v>0</v>
      </c>
    </row>
    <row r="18" spans="1:8" x14ac:dyDescent="0.2">
      <c r="A18" s="299"/>
      <c r="B18" s="770"/>
      <c r="C18" s="772">
        <v>0</v>
      </c>
      <c r="D18" s="412"/>
      <c r="E18" s="411"/>
      <c r="F18" s="412"/>
      <c r="G18" s="483"/>
      <c r="H18" s="487">
        <f t="shared" si="1"/>
        <v>0</v>
      </c>
    </row>
    <row r="19" spans="1:8" x14ac:dyDescent="0.2">
      <c r="A19" s="298">
        <v>615</v>
      </c>
      <c r="B19" s="843" t="s">
        <v>407</v>
      </c>
      <c r="C19" s="822">
        <f>SUM(C20:C21)</f>
        <v>3375</v>
      </c>
      <c r="D19" s="480">
        <f>SUM(D20:D21)</f>
        <v>0</v>
      </c>
      <c r="E19" s="480">
        <f>SUM(E20:E21)</f>
        <v>0</v>
      </c>
      <c r="F19" s="480">
        <f>SUM(F20:F21)</f>
        <v>0</v>
      </c>
      <c r="G19" s="480">
        <f>SUM(G20:G21)</f>
        <v>0</v>
      </c>
      <c r="H19" s="487">
        <f t="shared" si="1"/>
        <v>3375</v>
      </c>
    </row>
    <row r="20" spans="1:8" ht="11.25" customHeight="1" x14ac:dyDescent="0.2">
      <c r="A20" s="299">
        <v>6159901</v>
      </c>
      <c r="B20" s="645" t="s">
        <v>983</v>
      </c>
      <c r="C20" s="645">
        <v>3375</v>
      </c>
      <c r="D20" s="412"/>
      <c r="E20" s="411"/>
      <c r="F20" s="412"/>
      <c r="G20" s="483"/>
      <c r="H20" s="488">
        <f t="shared" si="1"/>
        <v>3375</v>
      </c>
    </row>
    <row r="21" spans="1:8" ht="14.25" customHeight="1" x14ac:dyDescent="0.2">
      <c r="A21" s="299"/>
      <c r="B21" s="844"/>
      <c r="C21" s="772"/>
      <c r="D21" s="412"/>
      <c r="E21" s="411"/>
      <c r="F21" s="412"/>
      <c r="G21" s="483"/>
      <c r="H21" s="487">
        <f t="shared" si="1"/>
        <v>0</v>
      </c>
    </row>
    <row r="22" spans="1:8" x14ac:dyDescent="0.2">
      <c r="A22" s="298">
        <v>61601</v>
      </c>
      <c r="B22" s="843" t="s">
        <v>133</v>
      </c>
      <c r="C22" s="822">
        <f>SUM(C23:C33)</f>
        <v>161018.74</v>
      </c>
      <c r="D22" s="822">
        <f t="shared" ref="D22:G22" si="2">SUM(D23:D33)</f>
        <v>0</v>
      </c>
      <c r="E22" s="822">
        <f t="shared" si="2"/>
        <v>0</v>
      </c>
      <c r="F22" s="822">
        <f t="shared" si="2"/>
        <v>0</v>
      </c>
      <c r="G22" s="822">
        <f t="shared" si="2"/>
        <v>0</v>
      </c>
      <c r="H22" s="487">
        <f t="shared" si="1"/>
        <v>161018.74</v>
      </c>
    </row>
    <row r="23" spans="1:8" x14ac:dyDescent="0.2">
      <c r="A23" s="298"/>
      <c r="B23" s="645" t="s">
        <v>974</v>
      </c>
      <c r="C23" s="821">
        <v>87141.05</v>
      </c>
      <c r="D23" s="408"/>
      <c r="E23" s="409"/>
      <c r="F23" s="408"/>
      <c r="G23" s="482"/>
      <c r="H23" s="488">
        <f t="shared" si="1"/>
        <v>87141.05</v>
      </c>
    </row>
    <row r="24" spans="1:8" ht="25.5" x14ac:dyDescent="0.2">
      <c r="A24" s="298"/>
      <c r="B24" s="913" t="s">
        <v>984</v>
      </c>
      <c r="C24" s="821">
        <v>30000</v>
      </c>
      <c r="D24" s="408"/>
      <c r="E24" s="409"/>
      <c r="F24" s="408"/>
      <c r="G24" s="482"/>
      <c r="H24" s="488">
        <f t="shared" si="1"/>
        <v>30000</v>
      </c>
    </row>
    <row r="25" spans="1:8" ht="25.5" x14ac:dyDescent="0.2">
      <c r="A25" s="298"/>
      <c r="B25" s="913" t="s">
        <v>985</v>
      </c>
      <c r="C25" s="821">
        <v>15000</v>
      </c>
      <c r="D25" s="408"/>
      <c r="E25" s="409"/>
      <c r="F25" s="408"/>
      <c r="G25" s="482"/>
      <c r="H25" s="488">
        <f t="shared" si="1"/>
        <v>15000</v>
      </c>
    </row>
    <row r="26" spans="1:8" ht="25.5" x14ac:dyDescent="0.2">
      <c r="A26" s="298"/>
      <c r="B26" s="913" t="s">
        <v>986</v>
      </c>
      <c r="C26" s="821">
        <v>10000</v>
      </c>
      <c r="D26" s="408"/>
      <c r="E26" s="409"/>
      <c r="F26" s="408"/>
      <c r="G26" s="482"/>
      <c r="H26" s="488">
        <f t="shared" si="1"/>
        <v>10000</v>
      </c>
    </row>
    <row r="27" spans="1:8" ht="25.5" x14ac:dyDescent="0.2">
      <c r="A27" s="298"/>
      <c r="B27" s="913" t="s">
        <v>988</v>
      </c>
      <c r="C27" s="821">
        <v>11405.74</v>
      </c>
      <c r="D27" s="408"/>
      <c r="E27" s="409"/>
      <c r="F27" s="408"/>
      <c r="G27" s="482"/>
      <c r="H27" s="488">
        <f t="shared" si="1"/>
        <v>11405.74</v>
      </c>
    </row>
    <row r="28" spans="1:8" x14ac:dyDescent="0.2">
      <c r="A28" s="298"/>
      <c r="B28" s="913" t="s">
        <v>989</v>
      </c>
      <c r="C28" s="821">
        <v>3067.85</v>
      </c>
      <c r="D28" s="408"/>
      <c r="E28" s="409"/>
      <c r="F28" s="408"/>
      <c r="G28" s="482"/>
      <c r="H28" s="488">
        <f t="shared" si="1"/>
        <v>3067.85</v>
      </c>
    </row>
    <row r="29" spans="1:8" x14ac:dyDescent="0.2">
      <c r="A29" s="298"/>
      <c r="B29" s="913" t="s">
        <v>990</v>
      </c>
      <c r="C29" s="821">
        <v>286.17</v>
      </c>
      <c r="D29" s="408"/>
      <c r="E29" s="409"/>
      <c r="F29" s="408"/>
      <c r="G29" s="482"/>
      <c r="H29" s="488">
        <f t="shared" si="1"/>
        <v>286.17</v>
      </c>
    </row>
    <row r="30" spans="1:8" ht="25.5" x14ac:dyDescent="0.2">
      <c r="A30" s="298"/>
      <c r="B30" s="913" t="s">
        <v>991</v>
      </c>
      <c r="C30" s="821">
        <v>1223.99</v>
      </c>
      <c r="D30" s="408"/>
      <c r="E30" s="409"/>
      <c r="F30" s="408"/>
      <c r="G30" s="482"/>
      <c r="H30" s="488">
        <f t="shared" si="1"/>
        <v>1223.99</v>
      </c>
    </row>
    <row r="31" spans="1:8" ht="25.5" x14ac:dyDescent="0.2">
      <c r="A31" s="298"/>
      <c r="B31" s="913" t="s">
        <v>992</v>
      </c>
      <c r="C31" s="821">
        <v>2159.7800000000002</v>
      </c>
      <c r="D31" s="408"/>
      <c r="E31" s="409"/>
      <c r="F31" s="408"/>
      <c r="G31" s="482"/>
      <c r="H31" s="488">
        <f t="shared" si="1"/>
        <v>2159.7800000000002</v>
      </c>
    </row>
    <row r="32" spans="1:8" ht="25.5" x14ac:dyDescent="0.2">
      <c r="A32" s="298"/>
      <c r="B32" s="913" t="s">
        <v>993</v>
      </c>
      <c r="C32" s="821">
        <v>734.16</v>
      </c>
      <c r="D32" s="408"/>
      <c r="E32" s="409"/>
      <c r="F32" s="408"/>
      <c r="G32" s="482"/>
      <c r="H32" s="488">
        <f t="shared" si="1"/>
        <v>734.16</v>
      </c>
    </row>
    <row r="33" spans="1:8" ht="12.75" customHeight="1" x14ac:dyDescent="0.2">
      <c r="A33" s="298"/>
      <c r="B33" s="913"/>
      <c r="C33" s="821"/>
      <c r="D33" s="408"/>
      <c r="E33" s="409"/>
      <c r="F33" s="408"/>
      <c r="G33" s="482"/>
      <c r="H33" s="488">
        <f t="shared" si="1"/>
        <v>0</v>
      </c>
    </row>
    <row r="34" spans="1:8" x14ac:dyDescent="0.2">
      <c r="A34" s="298">
        <v>61602</v>
      </c>
      <c r="B34" s="843" t="s">
        <v>125</v>
      </c>
      <c r="C34" s="822">
        <f>SUM(C35:C37)</f>
        <v>9000</v>
      </c>
      <c r="D34" s="822">
        <f t="shared" ref="D34:H34" si="3">SUM(D35:D37)</f>
        <v>0</v>
      </c>
      <c r="E34" s="822">
        <f t="shared" si="3"/>
        <v>0</v>
      </c>
      <c r="F34" s="822">
        <f t="shared" si="3"/>
        <v>0</v>
      </c>
      <c r="G34" s="822">
        <f t="shared" si="3"/>
        <v>0</v>
      </c>
      <c r="H34" s="822">
        <f t="shared" si="3"/>
        <v>9000</v>
      </c>
    </row>
    <row r="35" spans="1:8" x14ac:dyDescent="0.2">
      <c r="A35" s="298"/>
      <c r="B35" s="913" t="s">
        <v>982</v>
      </c>
      <c r="C35" s="822">
        <v>9000</v>
      </c>
      <c r="D35" s="480"/>
      <c r="E35" s="480"/>
      <c r="F35" s="480"/>
      <c r="G35" s="408"/>
      <c r="H35" s="488">
        <f t="shared" si="1"/>
        <v>9000</v>
      </c>
    </row>
    <row r="36" spans="1:8" x14ac:dyDescent="0.2">
      <c r="A36" s="298"/>
      <c r="B36" s="913"/>
      <c r="C36" s="822"/>
      <c r="D36" s="480"/>
      <c r="E36" s="480"/>
      <c r="F36" s="480">
        <f>SUM(C52:C53)</f>
        <v>0</v>
      </c>
      <c r="G36" s="408"/>
      <c r="H36" s="488">
        <f t="shared" si="1"/>
        <v>0</v>
      </c>
    </row>
    <row r="37" spans="1:8" x14ac:dyDescent="0.2">
      <c r="A37" s="299"/>
      <c r="B37" s="770"/>
      <c r="C37" s="772"/>
      <c r="D37" s="415"/>
      <c r="E37" s="1041"/>
      <c r="F37" s="415"/>
      <c r="G37" s="415"/>
      <c r="H37" s="488">
        <f t="shared" si="1"/>
        <v>0</v>
      </c>
    </row>
    <row r="38" spans="1:8" x14ac:dyDescent="0.2">
      <c r="A38" s="298">
        <v>61603</v>
      </c>
      <c r="B38" s="1042" t="s">
        <v>126</v>
      </c>
      <c r="C38" s="822">
        <f>SUM(C39:C45)</f>
        <v>181912.51</v>
      </c>
      <c r="D38" s="480">
        <f>SUM(D39:D45)</f>
        <v>0</v>
      </c>
      <c r="E38" s="480">
        <f>SUM(E39:E45)</f>
        <v>0</v>
      </c>
      <c r="F38" s="480">
        <f>SUM(F39:F45)</f>
        <v>0</v>
      </c>
      <c r="G38" s="480">
        <f>SUM(G39:G45)</f>
        <v>0</v>
      </c>
      <c r="H38" s="487">
        <f t="shared" si="1"/>
        <v>181912.51</v>
      </c>
    </row>
    <row r="39" spans="1:8" x14ac:dyDescent="0.2">
      <c r="A39" s="299">
        <v>6160301</v>
      </c>
      <c r="B39" s="1111" t="s">
        <v>975</v>
      </c>
      <c r="C39" s="1112">
        <v>1300</v>
      </c>
      <c r="D39" s="300"/>
      <c r="E39" s="300"/>
      <c r="F39" s="300"/>
      <c r="G39" s="482"/>
      <c r="H39" s="488">
        <f t="shared" si="1"/>
        <v>1300</v>
      </c>
    </row>
    <row r="40" spans="1:8" ht="27" customHeight="1" x14ac:dyDescent="0.2">
      <c r="A40" s="299">
        <v>6160302</v>
      </c>
      <c r="B40" s="913" t="s">
        <v>976</v>
      </c>
      <c r="C40" s="645">
        <v>22500</v>
      </c>
      <c r="D40" s="300"/>
      <c r="E40" s="300"/>
      <c r="F40" s="300"/>
      <c r="G40" s="482"/>
      <c r="H40" s="488">
        <f t="shared" si="1"/>
        <v>22500</v>
      </c>
    </row>
    <row r="41" spans="1:8" x14ac:dyDescent="0.2">
      <c r="A41" s="299">
        <v>6160303</v>
      </c>
      <c r="B41" s="1111" t="s">
        <v>987</v>
      </c>
      <c r="C41" s="1112">
        <v>73012.25</v>
      </c>
      <c r="D41" s="300"/>
      <c r="E41" s="300"/>
      <c r="F41" s="300"/>
      <c r="G41" s="483">
        <v>0</v>
      </c>
      <c r="H41" s="488">
        <f t="shared" si="1"/>
        <v>73012.25</v>
      </c>
    </row>
    <row r="42" spans="1:8" x14ac:dyDescent="0.2">
      <c r="A42" s="299">
        <v>6160305</v>
      </c>
      <c r="B42" s="913" t="s">
        <v>981</v>
      </c>
      <c r="C42" s="645">
        <v>13460</v>
      </c>
      <c r="D42" s="300"/>
      <c r="E42" s="300"/>
      <c r="F42" s="300"/>
      <c r="G42" s="483">
        <v>0</v>
      </c>
      <c r="H42" s="488">
        <f t="shared" si="1"/>
        <v>13460</v>
      </c>
    </row>
    <row r="43" spans="1:8" x14ac:dyDescent="0.2">
      <c r="A43" s="299">
        <v>6160304</v>
      </c>
      <c r="B43" s="1111" t="s">
        <v>995</v>
      </c>
      <c r="C43" s="1112">
        <v>13460.26</v>
      </c>
      <c r="D43" s="300"/>
      <c r="E43" s="300"/>
      <c r="F43" s="300"/>
      <c r="G43" s="483">
        <v>0</v>
      </c>
      <c r="H43" s="488">
        <f t="shared" si="1"/>
        <v>13460.26</v>
      </c>
    </row>
    <row r="44" spans="1:8" x14ac:dyDescent="0.2">
      <c r="A44" s="299"/>
      <c r="B44" s="913" t="s">
        <v>1002</v>
      </c>
      <c r="C44" s="645">
        <v>8000</v>
      </c>
      <c r="D44" s="300"/>
      <c r="E44" s="300"/>
      <c r="F44" s="300"/>
      <c r="G44" s="483"/>
      <c r="H44" s="488"/>
    </row>
    <row r="45" spans="1:8" x14ac:dyDescent="0.2">
      <c r="A45" s="299">
        <v>6160305</v>
      </c>
      <c r="B45" s="913" t="s">
        <v>1005</v>
      </c>
      <c r="C45" s="645">
        <v>50180</v>
      </c>
      <c r="D45" s="300"/>
      <c r="E45" s="300"/>
      <c r="F45" s="300"/>
      <c r="G45" s="483">
        <v>0</v>
      </c>
      <c r="H45" s="487">
        <f t="shared" si="1"/>
        <v>50180</v>
      </c>
    </row>
    <row r="46" spans="1:8" x14ac:dyDescent="0.2">
      <c r="A46" s="298">
        <v>61604</v>
      </c>
      <c r="B46" s="1042" t="s">
        <v>127</v>
      </c>
      <c r="C46" s="822">
        <f>SUM(C47)</f>
        <v>0</v>
      </c>
      <c r="D46" s="408">
        <f>+D50</f>
        <v>0</v>
      </c>
      <c r="E46" s="409">
        <f>+E50</f>
        <v>0</v>
      </c>
      <c r="F46" s="408">
        <f>+F50</f>
        <v>0</v>
      </c>
      <c r="G46" s="482">
        <f>+G50</f>
        <v>0</v>
      </c>
      <c r="H46" s="487">
        <f t="shared" si="1"/>
        <v>0</v>
      </c>
    </row>
    <row r="47" spans="1:8" x14ac:dyDescent="0.2">
      <c r="A47" s="298"/>
      <c r="B47" s="913"/>
      <c r="C47" s="822"/>
      <c r="D47" s="408"/>
      <c r="E47" s="409"/>
      <c r="F47" s="408"/>
      <c r="G47" s="482"/>
      <c r="H47" s="487">
        <f t="shared" si="1"/>
        <v>0</v>
      </c>
    </row>
    <row r="48" spans="1:8" x14ac:dyDescent="0.2">
      <c r="A48" s="298">
        <v>61606</v>
      </c>
      <c r="B48" s="1042" t="s">
        <v>134</v>
      </c>
      <c r="C48" s="822">
        <f>SUM(C49:C50)</f>
        <v>0</v>
      </c>
      <c r="D48" s="480">
        <f>SUM(D49:D50)</f>
        <v>0</v>
      </c>
      <c r="E48" s="480">
        <f>SUM(E49:E50)</f>
        <v>0</v>
      </c>
      <c r="F48" s="480">
        <f>SUM(F49:F50)</f>
        <v>0</v>
      </c>
      <c r="G48" s="480">
        <f>SUM(G49:G50)</f>
        <v>0</v>
      </c>
      <c r="H48" s="487">
        <f t="shared" si="1"/>
        <v>0</v>
      </c>
    </row>
    <row r="49" spans="1:8" x14ac:dyDescent="0.2">
      <c r="A49" s="299"/>
      <c r="B49" s="913"/>
      <c r="C49" s="645"/>
      <c r="D49" s="300"/>
      <c r="E49" s="300"/>
      <c r="F49" s="300"/>
      <c r="G49" s="483"/>
      <c r="H49" s="487">
        <f t="shared" si="1"/>
        <v>0</v>
      </c>
    </row>
    <row r="50" spans="1:8" x14ac:dyDescent="0.2">
      <c r="A50" s="299"/>
      <c r="B50" s="770"/>
      <c r="C50" s="772">
        <v>0</v>
      </c>
      <c r="D50" s="412"/>
      <c r="E50" s="411"/>
      <c r="F50" s="412"/>
      <c r="G50" s="483"/>
      <c r="H50" s="487">
        <f t="shared" si="1"/>
        <v>0</v>
      </c>
    </row>
    <row r="51" spans="1:8" x14ac:dyDescent="0.2">
      <c r="A51" s="298">
        <v>61607</v>
      </c>
      <c r="B51" s="912" t="s">
        <v>128</v>
      </c>
      <c r="C51" s="823">
        <f>SUM(C52:C53)</f>
        <v>0</v>
      </c>
      <c r="D51" s="418">
        <f>+D53</f>
        <v>0</v>
      </c>
      <c r="E51" s="417">
        <f>+E53</f>
        <v>0</v>
      </c>
      <c r="F51" s="418">
        <f>+F53</f>
        <v>0</v>
      </c>
      <c r="G51" s="485">
        <f>+G53</f>
        <v>0</v>
      </c>
      <c r="H51" s="487">
        <f t="shared" si="1"/>
        <v>0</v>
      </c>
    </row>
    <row r="52" spans="1:8" x14ac:dyDescent="0.2">
      <c r="A52" s="298"/>
      <c r="B52" s="912"/>
      <c r="C52" s="823"/>
      <c r="D52" s="418"/>
      <c r="E52" s="417"/>
      <c r="F52" s="418"/>
      <c r="G52" s="485"/>
      <c r="H52" s="487">
        <f t="shared" si="1"/>
        <v>0</v>
      </c>
    </row>
    <row r="53" spans="1:8" x14ac:dyDescent="0.2">
      <c r="A53" s="299"/>
      <c r="B53" s="913"/>
      <c r="C53" s="821"/>
      <c r="D53" s="412"/>
      <c r="E53" s="411"/>
      <c r="F53" s="412"/>
      <c r="G53" s="483"/>
      <c r="H53" s="487">
        <f t="shared" si="1"/>
        <v>0</v>
      </c>
    </row>
    <row r="54" spans="1:8" x14ac:dyDescent="0.2">
      <c r="A54" s="298">
        <v>61608</v>
      </c>
      <c r="B54" s="912" t="s">
        <v>401</v>
      </c>
      <c r="C54" s="823">
        <f>SUM(C55:C56)</f>
        <v>0</v>
      </c>
      <c r="D54" s="418">
        <f>+D56</f>
        <v>0</v>
      </c>
      <c r="E54" s="417">
        <f>+E56</f>
        <v>0</v>
      </c>
      <c r="F54" s="418">
        <f>+F56</f>
        <v>0</v>
      </c>
      <c r="G54" s="485">
        <f>+G56</f>
        <v>0</v>
      </c>
      <c r="H54" s="487">
        <f t="shared" si="1"/>
        <v>0</v>
      </c>
    </row>
    <row r="55" spans="1:8" x14ac:dyDescent="0.2">
      <c r="A55" s="298"/>
      <c r="B55" s="912"/>
      <c r="C55" s="823"/>
      <c r="D55" s="418"/>
      <c r="E55" s="417"/>
      <c r="F55" s="418"/>
      <c r="G55" s="485"/>
      <c r="H55" s="487">
        <f t="shared" si="1"/>
        <v>0</v>
      </c>
    </row>
    <row r="56" spans="1:8" x14ac:dyDescent="0.2">
      <c r="A56" s="299"/>
      <c r="B56" s="913"/>
      <c r="C56" s="645"/>
      <c r="D56" s="415"/>
      <c r="E56" s="414"/>
      <c r="F56" s="415"/>
      <c r="G56" s="484"/>
      <c r="H56" s="487">
        <f t="shared" si="1"/>
        <v>0</v>
      </c>
    </row>
    <row r="57" spans="1:8" x14ac:dyDescent="0.2">
      <c r="A57" s="298">
        <v>61699</v>
      </c>
      <c r="B57" s="912" t="s">
        <v>129</v>
      </c>
      <c r="C57" s="823">
        <f>SUM(C58:C60)</f>
        <v>10846</v>
      </c>
      <c r="D57" s="823">
        <f>SUM(D58:D60)</f>
        <v>0</v>
      </c>
      <c r="E57" s="823">
        <f>SUM(E58:E60)</f>
        <v>0</v>
      </c>
      <c r="F57" s="823">
        <f>SUM(F58:F60)</f>
        <v>0</v>
      </c>
      <c r="G57" s="823">
        <f>SUM(G58:G60)</f>
        <v>0</v>
      </c>
      <c r="H57" s="487">
        <f t="shared" si="1"/>
        <v>10846</v>
      </c>
    </row>
    <row r="58" spans="1:8" x14ac:dyDescent="0.2">
      <c r="A58" s="298"/>
      <c r="B58" s="770" t="s">
        <v>994</v>
      </c>
      <c r="C58" s="914">
        <v>10846</v>
      </c>
      <c r="D58" s="481"/>
      <c r="E58" s="481"/>
      <c r="F58" s="481"/>
      <c r="G58" s="418"/>
      <c r="H58" s="488">
        <f t="shared" si="1"/>
        <v>10846</v>
      </c>
    </row>
    <row r="59" spans="1:8" x14ac:dyDescent="0.2">
      <c r="A59" s="298"/>
      <c r="B59" s="770"/>
      <c r="C59" s="914"/>
      <c r="D59" s="481"/>
      <c r="E59" s="481"/>
      <c r="F59" s="481"/>
      <c r="G59" s="418"/>
      <c r="H59" s="488"/>
    </row>
    <row r="60" spans="1:8" ht="11.25" customHeight="1" x14ac:dyDescent="0.2">
      <c r="A60" s="298"/>
      <c r="B60" s="770"/>
      <c r="C60" s="914"/>
      <c r="D60" s="481"/>
      <c r="E60" s="481"/>
      <c r="F60" s="481"/>
      <c r="G60" s="418"/>
      <c r="H60" s="488">
        <f t="shared" ref="H60:H65" si="4">SUM(C60:G60)</f>
        <v>0</v>
      </c>
    </row>
    <row r="61" spans="1:8" x14ac:dyDescent="0.2">
      <c r="A61" s="298">
        <v>722</v>
      </c>
      <c r="B61" s="912" t="s">
        <v>808</v>
      </c>
      <c r="C61" s="823">
        <f>SUM(C62:C65)</f>
        <v>13583.52</v>
      </c>
      <c r="D61" s="823">
        <f t="shared" ref="D61:G61" si="5">SUM(D62:D65)</f>
        <v>0</v>
      </c>
      <c r="E61" s="823">
        <f t="shared" si="5"/>
        <v>0</v>
      </c>
      <c r="F61" s="823">
        <f t="shared" si="5"/>
        <v>112184.43</v>
      </c>
      <c r="G61" s="823">
        <f t="shared" si="5"/>
        <v>0</v>
      </c>
      <c r="H61" s="487">
        <f>SUM(C61:G61)</f>
        <v>125767.95</v>
      </c>
    </row>
    <row r="62" spans="1:8" ht="17.25" customHeight="1" x14ac:dyDescent="0.2">
      <c r="A62" s="298">
        <v>72201</v>
      </c>
      <c r="B62" s="770" t="s">
        <v>810</v>
      </c>
      <c r="C62" s="914">
        <f>SdoBcos!G26+SdoBcos!H26+SdoBcos!I26</f>
        <v>13583.52</v>
      </c>
      <c r="D62" s="481"/>
      <c r="E62" s="481"/>
      <c r="F62" s="481">
        <f>SdoBcos!M14</f>
        <v>112184.43</v>
      </c>
      <c r="G62" s="418"/>
      <c r="H62" s="488">
        <f t="shared" si="4"/>
        <v>125767.95</v>
      </c>
    </row>
    <row r="63" spans="1:8" ht="12" customHeight="1" x14ac:dyDescent="0.2">
      <c r="A63" s="298"/>
      <c r="B63" s="770"/>
      <c r="C63" s="914"/>
      <c r="D63" s="481"/>
      <c r="E63" s="481"/>
      <c r="F63" s="481"/>
      <c r="G63" s="418"/>
      <c r="H63" s="488">
        <f t="shared" si="4"/>
        <v>0</v>
      </c>
    </row>
    <row r="64" spans="1:8" ht="12.75" customHeight="1" x14ac:dyDescent="0.2">
      <c r="A64" s="298"/>
      <c r="B64" s="912"/>
      <c r="C64" s="914"/>
      <c r="D64" s="481"/>
      <c r="E64" s="481"/>
      <c r="F64" s="481"/>
      <c r="G64" s="418"/>
      <c r="H64" s="488">
        <f t="shared" si="4"/>
        <v>0</v>
      </c>
    </row>
    <row r="65" spans="1:8" ht="13.5" thickBot="1" x14ac:dyDescent="0.25">
      <c r="A65" s="299"/>
      <c r="B65" s="913"/>
      <c r="C65" s="645"/>
      <c r="D65" s="300"/>
      <c r="E65" s="300"/>
      <c r="F65" s="300">
        <v>0</v>
      </c>
      <c r="G65" s="483"/>
      <c r="H65" s="488">
        <f t="shared" si="4"/>
        <v>0</v>
      </c>
    </row>
    <row r="66" spans="1:8" ht="13.5" thickBot="1" x14ac:dyDescent="0.25">
      <c r="A66" s="302"/>
      <c r="B66" s="845" t="s">
        <v>130</v>
      </c>
      <c r="C66" s="824">
        <f t="shared" ref="C66:H66" si="6">+C57+C51+C46+C38+C34+C13+C19+C48+C54+C15+C17+C22+C10+C61</f>
        <v>412236.77</v>
      </c>
      <c r="D66" s="824">
        <f t="shared" si="6"/>
        <v>0</v>
      </c>
      <c r="E66" s="824">
        <f t="shared" si="6"/>
        <v>0</v>
      </c>
      <c r="F66" s="824">
        <f t="shared" si="6"/>
        <v>112184.43</v>
      </c>
      <c r="G66" s="824">
        <f t="shared" si="6"/>
        <v>0</v>
      </c>
      <c r="H66" s="824">
        <f t="shared" si="6"/>
        <v>524421.19999999995</v>
      </c>
    </row>
    <row r="67" spans="1:8" ht="13.5" thickTop="1" x14ac:dyDescent="0.2">
      <c r="C67" s="825"/>
      <c r="H67" s="861"/>
    </row>
    <row r="69" spans="1:8" ht="15.75" x14ac:dyDescent="0.25">
      <c r="A69" s="1124" t="s">
        <v>119</v>
      </c>
      <c r="B69" s="1124"/>
      <c r="C69" s="1124"/>
      <c r="D69" s="1124"/>
      <c r="E69" s="1124"/>
      <c r="F69" s="1124"/>
      <c r="G69" s="1124"/>
      <c r="H69" s="1124"/>
    </row>
    <row r="70" spans="1:8" x14ac:dyDescent="0.2">
      <c r="A70" s="1191" t="s">
        <v>120</v>
      </c>
      <c r="B70" s="1191"/>
      <c r="C70" s="1191"/>
      <c r="D70" s="1191"/>
      <c r="E70" s="1191"/>
      <c r="F70" s="1191"/>
      <c r="G70" s="1191"/>
      <c r="H70" s="1191"/>
    </row>
    <row r="71" spans="1:8" x14ac:dyDescent="0.2">
      <c r="A71" s="47" t="s">
        <v>394</v>
      </c>
      <c r="B71" s="818"/>
      <c r="C71" s="818"/>
      <c r="D71" s="47"/>
      <c r="E71" s="47"/>
      <c r="F71" s="47"/>
      <c r="G71" s="47"/>
      <c r="H71" s="47"/>
    </row>
    <row r="72" spans="1:8" ht="15.75" x14ac:dyDescent="0.25">
      <c r="A72" s="47" t="s">
        <v>953</v>
      </c>
      <c r="B72" s="826"/>
      <c r="C72" s="826"/>
      <c r="D72" s="303"/>
      <c r="E72" s="303"/>
      <c r="F72" s="303"/>
      <c r="G72" s="303"/>
      <c r="H72" s="303"/>
    </row>
    <row r="73" spans="1:8" ht="15.75" x14ac:dyDescent="0.25">
      <c r="A73" s="47" t="s">
        <v>414</v>
      </c>
      <c r="B73" s="826"/>
      <c r="C73" s="827"/>
      <c r="D73" s="304"/>
      <c r="E73" s="304"/>
      <c r="F73" s="304"/>
      <c r="G73" s="304"/>
      <c r="H73" s="303"/>
    </row>
    <row r="74" spans="1:8" ht="16.5" thickBot="1" x14ac:dyDescent="0.3">
      <c r="A74" s="47" t="s">
        <v>131</v>
      </c>
      <c r="B74" s="826"/>
      <c r="C74" s="826"/>
      <c r="D74" s="303"/>
      <c r="E74" s="303"/>
      <c r="F74" s="303"/>
      <c r="G74" s="303"/>
      <c r="H74" s="303"/>
    </row>
    <row r="75" spans="1:8" ht="23.25" customHeight="1" thickTop="1" thickBot="1" x14ac:dyDescent="0.25">
      <c r="A75" s="290" t="s">
        <v>121</v>
      </c>
      <c r="B75" s="840"/>
      <c r="C75" s="1230" t="s">
        <v>187</v>
      </c>
      <c r="D75" s="1231"/>
      <c r="E75" s="1231"/>
      <c r="F75" s="1231"/>
      <c r="G75" s="1232"/>
      <c r="H75" s="1228" t="s">
        <v>188</v>
      </c>
    </row>
    <row r="76" spans="1:8" ht="25.5" customHeight="1" thickBot="1" x14ac:dyDescent="0.25">
      <c r="A76" s="291" t="s">
        <v>122</v>
      </c>
      <c r="B76" s="841" t="s">
        <v>123</v>
      </c>
      <c r="C76" s="819" t="s">
        <v>692</v>
      </c>
      <c r="D76" s="292" t="s">
        <v>30</v>
      </c>
      <c r="E76" s="292" t="s">
        <v>135</v>
      </c>
      <c r="F76" s="292" t="s">
        <v>136</v>
      </c>
      <c r="G76" s="293" t="s">
        <v>54</v>
      </c>
      <c r="H76" s="1229"/>
    </row>
    <row r="77" spans="1:8" ht="12" customHeight="1" thickBot="1" x14ac:dyDescent="0.25">
      <c r="A77" s="299"/>
      <c r="B77" s="846"/>
      <c r="C77" s="828"/>
      <c r="D77" s="322"/>
      <c r="E77" s="322"/>
      <c r="F77" s="322"/>
      <c r="G77" s="323"/>
      <c r="H77" s="324"/>
    </row>
    <row r="78" spans="1:8" ht="12" customHeight="1" thickBot="1" x14ac:dyDescent="0.25">
      <c r="A78" s="299"/>
      <c r="B78" s="846"/>
      <c r="C78" s="828"/>
      <c r="D78" s="322"/>
      <c r="E78" s="322"/>
      <c r="F78" s="322"/>
      <c r="G78" s="323"/>
      <c r="H78" s="324"/>
    </row>
    <row r="79" spans="1:8" ht="11.25" customHeight="1" x14ac:dyDescent="0.2">
      <c r="A79" s="294"/>
      <c r="B79" s="820"/>
      <c r="C79" s="820"/>
      <c r="D79" s="296"/>
      <c r="E79" s="295"/>
      <c r="F79" s="296"/>
      <c r="G79" s="295"/>
      <c r="H79" s="297"/>
    </row>
    <row r="80" spans="1:8" x14ac:dyDescent="0.2">
      <c r="A80" s="298">
        <v>616</v>
      </c>
      <c r="B80" s="843" t="s">
        <v>132</v>
      </c>
      <c r="C80" s="829">
        <f>C81+C85</f>
        <v>0</v>
      </c>
      <c r="D80" s="412"/>
      <c r="E80" s="411"/>
      <c r="F80" s="412"/>
      <c r="G80" s="411"/>
      <c r="H80" s="815">
        <f t="shared" ref="H80:H87" si="7">SUM(C80:G80)</f>
        <v>0</v>
      </c>
    </row>
    <row r="81" spans="1:12" x14ac:dyDescent="0.2">
      <c r="A81" s="298">
        <v>61601</v>
      </c>
      <c r="B81" s="493" t="s">
        <v>133</v>
      </c>
      <c r="C81" s="830">
        <f>SUM(C82:C84)</f>
        <v>0</v>
      </c>
      <c r="D81" s="417">
        <f>SUM(D82:D87)</f>
        <v>0</v>
      </c>
      <c r="E81" s="417">
        <f>SUM(E82:E87)</f>
        <v>0</v>
      </c>
      <c r="F81" s="417">
        <f>SUM(F82:F87)</f>
        <v>0</v>
      </c>
      <c r="G81" s="417">
        <f>SUM(G82:G87)</f>
        <v>0</v>
      </c>
      <c r="H81" s="659">
        <f t="shared" si="7"/>
        <v>0</v>
      </c>
    </row>
    <row r="82" spans="1:12" x14ac:dyDescent="0.2">
      <c r="A82" s="299">
        <v>6160101</v>
      </c>
      <c r="B82" s="770"/>
      <c r="C82" s="772"/>
      <c r="D82" s="479"/>
      <c r="E82" s="479"/>
      <c r="F82" s="479"/>
      <c r="G82" s="417"/>
      <c r="H82" s="658">
        <f t="shared" si="7"/>
        <v>0</v>
      </c>
    </row>
    <row r="83" spans="1:12" x14ac:dyDescent="0.2">
      <c r="A83" s="299">
        <v>6160123</v>
      </c>
      <c r="B83" s="770"/>
      <c r="C83" s="772"/>
      <c r="D83" s="772"/>
      <c r="E83" s="772"/>
      <c r="F83" s="772"/>
      <c r="G83" s="773"/>
      <c r="H83" s="658">
        <f t="shared" si="7"/>
        <v>0</v>
      </c>
    </row>
    <row r="84" spans="1:12" x14ac:dyDescent="0.2">
      <c r="A84" s="299">
        <v>6160124</v>
      </c>
      <c r="B84" s="770"/>
      <c r="C84" s="772"/>
      <c r="D84" s="772"/>
      <c r="E84" s="772"/>
      <c r="F84" s="772"/>
      <c r="G84" s="773"/>
      <c r="H84" s="658">
        <f t="shared" si="7"/>
        <v>0</v>
      </c>
    </row>
    <row r="85" spans="1:12" ht="13.5" thickBot="1" x14ac:dyDescent="0.25">
      <c r="A85" s="298">
        <v>61699</v>
      </c>
      <c r="B85" s="493" t="s">
        <v>129</v>
      </c>
      <c r="C85" s="831">
        <f>SUM(C86:C87)</f>
        <v>0</v>
      </c>
      <c r="D85" s="479">
        <f>SUM(D86:D87)</f>
        <v>0</v>
      </c>
      <c r="E85" s="479">
        <f>SUM(E86:E87)</f>
        <v>0</v>
      </c>
      <c r="F85" s="479">
        <f>SUM(F86:F87)</f>
        <v>0</v>
      </c>
      <c r="G85" s="479">
        <f>SUM(G86:G87)</f>
        <v>0</v>
      </c>
      <c r="H85" s="813">
        <f t="shared" si="7"/>
        <v>0</v>
      </c>
    </row>
    <row r="86" spans="1:12" ht="13.5" thickBot="1" x14ac:dyDescent="0.25">
      <c r="A86" s="299"/>
      <c r="B86" s="770" t="s">
        <v>941</v>
      </c>
      <c r="C86" s="772"/>
      <c r="D86" s="479"/>
      <c r="E86" s="479"/>
      <c r="F86" s="479"/>
      <c r="G86" s="414"/>
      <c r="H86" s="658">
        <f t="shared" si="7"/>
        <v>0</v>
      </c>
      <c r="K86" s="528"/>
      <c r="L86" s="500"/>
    </row>
    <row r="87" spans="1:12" ht="14.25" thickTop="1" thickBot="1" x14ac:dyDescent="0.25">
      <c r="A87" s="299"/>
      <c r="B87" s="770"/>
      <c r="C87" s="772"/>
      <c r="D87" s="479"/>
      <c r="E87" s="479"/>
      <c r="F87" s="479"/>
      <c r="G87" s="414"/>
      <c r="H87" s="658">
        <f t="shared" si="7"/>
        <v>0</v>
      </c>
      <c r="L87" s="601"/>
    </row>
    <row r="88" spans="1:12" ht="13.5" thickBot="1" x14ac:dyDescent="0.25">
      <c r="A88" s="302"/>
      <c r="B88" s="845" t="s">
        <v>130</v>
      </c>
      <c r="C88" s="832">
        <f>C85+C81</f>
        <v>0</v>
      </c>
      <c r="D88" s="528">
        <f>D85+D81</f>
        <v>0</v>
      </c>
      <c r="E88" s="528">
        <f>E85+E81</f>
        <v>0</v>
      </c>
      <c r="F88" s="528">
        <f>F85+F81</f>
        <v>0</v>
      </c>
      <c r="G88" s="419">
        <f>SUM(G82:G87)</f>
        <v>0</v>
      </c>
      <c r="H88" s="657">
        <f>H85+H81</f>
        <v>0</v>
      </c>
      <c r="K88" s="500"/>
    </row>
    <row r="89" spans="1:12" ht="13.5" thickTop="1" x14ac:dyDescent="0.2"/>
    <row r="90" spans="1:12" ht="12" customHeight="1" x14ac:dyDescent="0.2">
      <c r="K90" s="760"/>
    </row>
    <row r="91" spans="1:12" x14ac:dyDescent="0.2">
      <c r="F91" s="500"/>
      <c r="J91" s="758"/>
      <c r="K91" s="500"/>
    </row>
    <row r="92" spans="1:12" x14ac:dyDescent="0.2">
      <c r="B92" s="847"/>
      <c r="C92" s="834"/>
      <c r="J92" s="758"/>
      <c r="K92" s="759"/>
    </row>
    <row r="93" spans="1:12" ht="15.75" x14ac:dyDescent="0.25">
      <c r="A93" s="1124" t="s">
        <v>119</v>
      </c>
      <c r="B93" s="1124"/>
      <c r="C93" s="1124"/>
      <c r="D93" s="1124"/>
      <c r="E93" s="1124"/>
      <c r="F93" s="1124"/>
      <c r="G93" s="1124"/>
      <c r="H93" s="1124"/>
      <c r="K93" s="759"/>
    </row>
    <row r="94" spans="1:12" x14ac:dyDescent="0.2">
      <c r="A94" s="1191" t="s">
        <v>120</v>
      </c>
      <c r="B94" s="1191"/>
      <c r="C94" s="1191"/>
      <c r="D94" s="1191"/>
      <c r="E94" s="1191"/>
      <c r="F94" s="1191"/>
      <c r="G94" s="1191"/>
      <c r="H94" s="1191"/>
    </row>
    <row r="95" spans="1:12" x14ac:dyDescent="0.2">
      <c r="A95" s="47" t="s">
        <v>394</v>
      </c>
      <c r="B95" s="818"/>
      <c r="C95" s="818"/>
      <c r="D95" s="47"/>
      <c r="E95" s="47"/>
      <c r="F95" s="47"/>
      <c r="G95" s="47"/>
      <c r="H95" s="47"/>
    </row>
    <row r="96" spans="1:12" ht="15.75" x14ac:dyDescent="0.25">
      <c r="A96" s="47" t="s">
        <v>863</v>
      </c>
      <c r="B96" s="826"/>
      <c r="C96" s="826"/>
      <c r="D96" s="303"/>
      <c r="E96" s="303"/>
      <c r="F96" s="303"/>
      <c r="G96" s="303"/>
      <c r="H96" s="303"/>
    </row>
    <row r="97" spans="1:8" ht="15.75" x14ac:dyDescent="0.25">
      <c r="A97" s="47" t="s">
        <v>209</v>
      </c>
      <c r="B97" s="826"/>
      <c r="C97" s="826"/>
      <c r="D97" s="303"/>
      <c r="E97" s="303"/>
      <c r="F97" s="303"/>
      <c r="G97" s="303"/>
      <c r="H97" s="303"/>
    </row>
    <row r="98" spans="1:8" ht="16.5" thickBot="1" x14ac:dyDescent="0.3">
      <c r="A98" s="47" t="s">
        <v>710</v>
      </c>
      <c r="B98" s="826"/>
      <c r="C98" s="826"/>
      <c r="D98" s="303"/>
      <c r="E98" s="303"/>
      <c r="F98" s="303"/>
      <c r="G98" s="303"/>
      <c r="H98" s="303"/>
    </row>
    <row r="99" spans="1:8" ht="23.25" customHeight="1" thickTop="1" thickBot="1" x14ac:dyDescent="0.25">
      <c r="A99" s="290" t="s">
        <v>121</v>
      </c>
      <c r="B99" s="840"/>
      <c r="C99" s="1230" t="s">
        <v>187</v>
      </c>
      <c r="D99" s="1231"/>
      <c r="E99" s="1231"/>
      <c r="F99" s="1231"/>
      <c r="G99" s="1232"/>
      <c r="H99" s="1228" t="s">
        <v>188</v>
      </c>
    </row>
    <row r="100" spans="1:8" ht="25.5" customHeight="1" thickBot="1" x14ac:dyDescent="0.25">
      <c r="A100" s="291" t="s">
        <v>122</v>
      </c>
      <c r="B100" s="841" t="s">
        <v>123</v>
      </c>
      <c r="C100" s="819" t="s">
        <v>691</v>
      </c>
      <c r="D100" s="292" t="s">
        <v>30</v>
      </c>
      <c r="E100" s="292" t="s">
        <v>135</v>
      </c>
      <c r="F100" s="292" t="s">
        <v>136</v>
      </c>
      <c r="G100" s="293" t="s">
        <v>54</v>
      </c>
      <c r="H100" s="1229"/>
    </row>
    <row r="101" spans="1:8" x14ac:dyDescent="0.2">
      <c r="A101" s="294"/>
      <c r="B101" s="820"/>
      <c r="C101" s="820"/>
      <c r="D101" s="296"/>
      <c r="E101" s="295"/>
      <c r="F101" s="296"/>
      <c r="G101" s="295"/>
      <c r="H101" s="297"/>
    </row>
    <row r="102" spans="1:8" x14ac:dyDescent="0.2">
      <c r="A102" s="298">
        <v>55</v>
      </c>
      <c r="B102" s="843" t="s">
        <v>112</v>
      </c>
      <c r="C102" s="829">
        <f t="shared" ref="C102:H102" si="8">C103</f>
        <v>487102</v>
      </c>
      <c r="D102" s="409">
        <f t="shared" si="8"/>
        <v>0</v>
      </c>
      <c r="E102" s="409">
        <f t="shared" si="8"/>
        <v>0</v>
      </c>
      <c r="F102" s="409">
        <f t="shared" si="8"/>
        <v>0</v>
      </c>
      <c r="G102" s="409">
        <f t="shared" si="8"/>
        <v>0</v>
      </c>
      <c r="H102" s="416">
        <f t="shared" si="8"/>
        <v>487102</v>
      </c>
    </row>
    <row r="103" spans="1:8" x14ac:dyDescent="0.2">
      <c r="A103" s="299">
        <v>553</v>
      </c>
      <c r="B103" s="645" t="s">
        <v>400</v>
      </c>
      <c r="C103" s="829">
        <f>C104+C105</f>
        <v>487102</v>
      </c>
      <c r="D103" s="411">
        <f>D104+D105</f>
        <v>0</v>
      </c>
      <c r="E103" s="411">
        <f>E104+E105</f>
        <v>0</v>
      </c>
      <c r="F103" s="411">
        <f>F104+F105</f>
        <v>0</v>
      </c>
      <c r="G103" s="411"/>
      <c r="H103" s="410">
        <f>SUM(C103:G103)</f>
        <v>487102</v>
      </c>
    </row>
    <row r="104" spans="1:8" x14ac:dyDescent="0.2">
      <c r="A104" s="299">
        <v>55302</v>
      </c>
      <c r="B104" s="494" t="s">
        <v>600</v>
      </c>
      <c r="C104" s="773"/>
      <c r="D104" s="415">
        <f>+D106</f>
        <v>0</v>
      </c>
      <c r="E104" s="414">
        <f>+E106</f>
        <v>0</v>
      </c>
      <c r="F104" s="415"/>
      <c r="G104" s="414">
        <f>+G106</f>
        <v>0</v>
      </c>
      <c r="H104" s="413">
        <f t="shared" ref="H104:H112" si="9">SUM(C104:G104)</f>
        <v>0</v>
      </c>
    </row>
    <row r="105" spans="1:8" x14ac:dyDescent="0.2">
      <c r="A105" s="299">
        <v>55308</v>
      </c>
      <c r="B105" s="494" t="s">
        <v>212</v>
      </c>
      <c r="C105" s="773">
        <v>487102</v>
      </c>
      <c r="D105" s="414">
        <v>0</v>
      </c>
      <c r="E105" s="414">
        <v>0</v>
      </c>
      <c r="F105" s="414"/>
      <c r="G105" s="414">
        <v>0</v>
      </c>
      <c r="H105" s="413">
        <f t="shared" si="9"/>
        <v>487102</v>
      </c>
    </row>
    <row r="106" spans="1:8" x14ac:dyDescent="0.2">
      <c r="A106" s="299"/>
      <c r="B106" s="645"/>
      <c r="C106" s="835"/>
      <c r="D106" s="412"/>
      <c r="E106" s="411"/>
      <c r="F106" s="412"/>
      <c r="G106" s="411"/>
      <c r="H106" s="413">
        <f t="shared" si="9"/>
        <v>0</v>
      </c>
    </row>
    <row r="107" spans="1:8" x14ac:dyDescent="0.2">
      <c r="A107" s="298">
        <v>71</v>
      </c>
      <c r="B107" s="843" t="s">
        <v>210</v>
      </c>
      <c r="C107" s="829">
        <f>C109</f>
        <v>262286</v>
      </c>
      <c r="D107" s="409">
        <f>D109</f>
        <v>0</v>
      </c>
      <c r="E107" s="409">
        <f>E109</f>
        <v>0</v>
      </c>
      <c r="F107" s="409">
        <f>F109</f>
        <v>0</v>
      </c>
      <c r="G107" s="409">
        <f>G109</f>
        <v>0</v>
      </c>
      <c r="H107" s="410">
        <f t="shared" si="9"/>
        <v>262286</v>
      </c>
    </row>
    <row r="108" spans="1:8" x14ac:dyDescent="0.2">
      <c r="A108" s="299"/>
      <c r="B108" s="494"/>
      <c r="C108" s="773"/>
      <c r="D108" s="415"/>
      <c r="E108" s="414"/>
      <c r="F108" s="415"/>
      <c r="G108" s="414"/>
      <c r="H108" s="413">
        <f t="shared" si="9"/>
        <v>0</v>
      </c>
    </row>
    <row r="109" spans="1:8" x14ac:dyDescent="0.2">
      <c r="A109" s="298">
        <v>713</v>
      </c>
      <c r="B109" s="493" t="s">
        <v>211</v>
      </c>
      <c r="C109" s="829">
        <f>C110</f>
        <v>262286</v>
      </c>
      <c r="D109" s="409">
        <f>D110</f>
        <v>0</v>
      </c>
      <c r="E109" s="409">
        <f>E110</f>
        <v>0</v>
      </c>
      <c r="F109" s="409">
        <f>F110</f>
        <v>0</v>
      </c>
      <c r="G109" s="409">
        <f>G110</f>
        <v>0</v>
      </c>
      <c r="H109" s="410">
        <f t="shared" si="9"/>
        <v>262286</v>
      </c>
    </row>
    <row r="110" spans="1:8" x14ac:dyDescent="0.2">
      <c r="A110" s="299">
        <v>71308</v>
      </c>
      <c r="B110" s="645" t="s">
        <v>212</v>
      </c>
      <c r="C110" s="835">
        <v>262286</v>
      </c>
      <c r="D110" s="412"/>
      <c r="E110" s="411"/>
      <c r="F110" s="412"/>
      <c r="G110" s="411"/>
      <c r="H110" s="413">
        <f t="shared" si="9"/>
        <v>262286</v>
      </c>
    </row>
    <row r="111" spans="1:8" x14ac:dyDescent="0.2">
      <c r="A111" s="299"/>
      <c r="B111" s="494"/>
      <c r="C111" s="773"/>
      <c r="D111" s="415"/>
      <c r="E111" s="414"/>
      <c r="F111" s="415"/>
      <c r="G111" s="414"/>
      <c r="H111" s="413">
        <f t="shared" si="9"/>
        <v>0</v>
      </c>
    </row>
    <row r="112" spans="1:8" ht="13.5" thickBot="1" x14ac:dyDescent="0.25">
      <c r="A112" s="298"/>
      <c r="B112" s="493"/>
      <c r="C112" s="829"/>
      <c r="D112" s="408"/>
      <c r="E112" s="409"/>
      <c r="F112" s="408"/>
      <c r="G112" s="409"/>
      <c r="H112" s="413">
        <f t="shared" si="9"/>
        <v>0</v>
      </c>
    </row>
    <row r="113" spans="1:10" ht="13.5" thickBot="1" x14ac:dyDescent="0.25">
      <c r="A113" s="302"/>
      <c r="B113" s="845" t="s">
        <v>130</v>
      </c>
      <c r="C113" s="836">
        <f t="shared" ref="C113:H113" si="10">C107+C102</f>
        <v>749388</v>
      </c>
      <c r="D113" s="419">
        <f t="shared" si="10"/>
        <v>0</v>
      </c>
      <c r="E113" s="419">
        <f t="shared" si="10"/>
        <v>0</v>
      </c>
      <c r="F113" s="419">
        <f t="shared" si="10"/>
        <v>0</v>
      </c>
      <c r="G113" s="419">
        <f t="shared" si="10"/>
        <v>0</v>
      </c>
      <c r="H113" s="419">
        <f t="shared" si="10"/>
        <v>749388</v>
      </c>
    </row>
    <row r="114" spans="1:10" ht="13.5" thickTop="1" x14ac:dyDescent="0.2"/>
    <row r="115" spans="1:10" x14ac:dyDescent="0.2">
      <c r="J115" s="814"/>
    </row>
    <row r="116" spans="1:10" x14ac:dyDescent="0.2">
      <c r="C116" s="817">
        <f>C113+C88+C66</f>
        <v>1161624.77</v>
      </c>
      <c r="D116" s="562"/>
      <c r="E116" s="562"/>
      <c r="F116" s="562"/>
      <c r="G116" s="30" t="s">
        <v>666</v>
      </c>
      <c r="H116" s="500"/>
    </row>
    <row r="117" spans="1:10" x14ac:dyDescent="0.2">
      <c r="C117" s="837">
        <v>0</v>
      </c>
      <c r="D117" s="246"/>
      <c r="E117" s="562"/>
      <c r="F117" s="415"/>
      <c r="H117" s="741"/>
    </row>
    <row r="118" spans="1:10" x14ac:dyDescent="0.2">
      <c r="C118" s="837"/>
      <c r="D118" s="246"/>
      <c r="E118" s="562"/>
      <c r="F118" s="562"/>
    </row>
    <row r="119" spans="1:10" x14ac:dyDescent="0.2">
      <c r="C119" s="817"/>
      <c r="D119" s="562"/>
      <c r="E119" s="562"/>
      <c r="F119" s="562"/>
    </row>
    <row r="120" spans="1:10" x14ac:dyDescent="0.2">
      <c r="B120" s="833" t="s">
        <v>707</v>
      </c>
      <c r="C120" s="817">
        <f>ProyIng!F56+ProyIng!F59+SdoBcos!G26+SdoBcos!H26+SdoBcos!I26+SdoBcos!J26+SdoBcos!K16+SdoBcos!L26+SdoBcos!M26+SdoBcos!E43</f>
        <v>1273809.2</v>
      </c>
      <c r="E120" s="305"/>
      <c r="F120" s="500">
        <f>SdoBcos!E34</f>
        <v>112184.43</v>
      </c>
      <c r="H120" s="560"/>
    </row>
    <row r="121" spans="1:10" x14ac:dyDescent="0.2">
      <c r="B121" s="833" t="s">
        <v>708</v>
      </c>
      <c r="C121" s="838">
        <f>H113+H88+H66</f>
        <v>1273809.2</v>
      </c>
      <c r="D121" s="500">
        <f>D113+D88+D66</f>
        <v>0</v>
      </c>
      <c r="E121" s="500">
        <f>E113+E88+E66</f>
        <v>0</v>
      </c>
      <c r="F121" s="500">
        <f>F113+F88+F66</f>
        <v>112184.43</v>
      </c>
      <c r="G121" s="500"/>
      <c r="H121" s="500"/>
      <c r="I121" s="500"/>
    </row>
    <row r="122" spans="1:10" x14ac:dyDescent="0.2">
      <c r="B122" s="833" t="s">
        <v>738</v>
      </c>
      <c r="C122" s="879">
        <f>C120-C121</f>
        <v>0</v>
      </c>
      <c r="F122" s="500">
        <f>F120-F121</f>
        <v>0</v>
      </c>
    </row>
    <row r="124" spans="1:10" x14ac:dyDescent="0.2">
      <c r="D124" s="833"/>
      <c r="E124" s="833"/>
      <c r="F124" s="833"/>
    </row>
    <row r="125" spans="1:10" x14ac:dyDescent="0.2">
      <c r="B125" s="833" t="s">
        <v>846</v>
      </c>
      <c r="C125" s="879"/>
    </row>
    <row r="126" spans="1:10" x14ac:dyDescent="0.2">
      <c r="C126" s="817"/>
    </row>
    <row r="127" spans="1:10" x14ac:dyDescent="0.2">
      <c r="C127" s="839"/>
    </row>
  </sheetData>
  <sortState xmlns:xlrd2="http://schemas.microsoft.com/office/spreadsheetml/2017/richdata2" ref="A38:H49">
    <sortCondition ref="A38"/>
  </sortState>
  <mergeCells count="17">
    <mergeCell ref="C99:G99"/>
    <mergeCell ref="H99:H100"/>
    <mergeCell ref="A6:H6"/>
    <mergeCell ref="A93:H93"/>
    <mergeCell ref="A94:H94"/>
    <mergeCell ref="A69:H69"/>
    <mergeCell ref="A70:H70"/>
    <mergeCell ref="C7:G7"/>
    <mergeCell ref="A1:H1"/>
    <mergeCell ref="H7:H8"/>
    <mergeCell ref="C75:G75"/>
    <mergeCell ref="H75:H76"/>
    <mergeCell ref="A2:H2"/>
    <mergeCell ref="A4:H4"/>
    <mergeCell ref="A5:H5"/>
    <mergeCell ref="A7:A8"/>
    <mergeCell ref="B7:B8"/>
  </mergeCells>
  <phoneticPr fontId="0" type="noConversion"/>
  <conditionalFormatting sqref="C122">
    <cfRule type="cellIs" dxfId="1" priority="1" operator="lessThan">
      <formula>$C$117</formula>
    </cfRule>
    <cfRule type="cellIs" dxfId="0" priority="2" operator="lessThan">
      <formula>0</formula>
    </cfRule>
  </conditionalFormatting>
  <printOptions horizontalCentered="1" verticalCentered="1"/>
  <pageMargins left="0.28000000000000003" right="0.56000000000000005" top="0.85" bottom="0.75" header="0" footer="0"/>
  <pageSetup scale="77" orientation="landscape" horizontalDpi="4294967294" verticalDpi="300" r:id="rId1"/>
  <headerFooter alignWithMargins="0"/>
  <rowBreaks count="1" manualBreakCount="1">
    <brk id="67" max="16383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5"/>
  <dimension ref="A1:AF142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2" sqref="B2:B6"/>
    </sheetView>
  </sheetViews>
  <sheetFormatPr baseColWidth="10" defaultColWidth="11.42578125" defaultRowHeight="18" customHeight="1" x14ac:dyDescent="0.2"/>
  <cols>
    <col min="1" max="1" width="6.42578125" style="362" customWidth="1"/>
    <col min="2" max="2" width="57.42578125" style="351" bestFit="1" customWidth="1"/>
    <col min="3" max="3" width="11.7109375" style="351" bestFit="1" customWidth="1"/>
    <col min="4" max="4" width="10.5703125" style="351" bestFit="1" customWidth="1"/>
    <col min="5" max="5" width="11.140625" style="351" bestFit="1" customWidth="1"/>
    <col min="6" max="6" width="12" style="351" bestFit="1" customWidth="1"/>
    <col min="7" max="7" width="11.7109375" style="351" bestFit="1" customWidth="1"/>
    <col min="8" max="8" width="9.7109375" style="351" bestFit="1" customWidth="1"/>
    <col min="9" max="10" width="11.7109375" style="351" bestFit="1" customWidth="1"/>
    <col min="11" max="11" width="12" style="351" bestFit="1" customWidth="1"/>
    <col min="12" max="12" width="11.42578125" style="351" customWidth="1"/>
    <col min="13" max="14" width="11.7109375" style="351" bestFit="1" customWidth="1"/>
    <col min="15" max="15" width="11.42578125" style="351" bestFit="1" customWidth="1"/>
    <col min="16" max="16" width="12.28515625" style="351" bestFit="1" customWidth="1"/>
    <col min="17" max="17" width="12.85546875" style="351" bestFit="1" customWidth="1"/>
    <col min="18" max="18" width="16.7109375" style="351" customWidth="1"/>
    <col min="19" max="19" width="15.7109375" style="351" customWidth="1"/>
    <col min="20" max="20" width="15.140625" style="351" customWidth="1"/>
    <col min="21" max="21" width="13.140625" style="351" customWidth="1"/>
    <col min="22" max="22" width="13.7109375" style="351" customWidth="1"/>
    <col min="23" max="23" width="11.42578125" style="351" customWidth="1"/>
    <col min="24" max="24" width="15.140625" style="351" customWidth="1"/>
    <col min="25" max="25" width="11.42578125" style="351" customWidth="1"/>
    <col min="26" max="29" width="16.7109375" style="351" customWidth="1"/>
    <col min="30" max="30" width="13.140625" style="351" bestFit="1" customWidth="1"/>
    <col min="31" max="31" width="13.85546875" style="351" bestFit="1" customWidth="1"/>
    <col min="32" max="32" width="13.7109375" style="351" customWidth="1"/>
    <col min="33" max="16384" width="11.42578125" style="351"/>
  </cols>
  <sheetData>
    <row r="1" spans="1:32" ht="18" customHeight="1" thickBot="1" x14ac:dyDescent="0.35">
      <c r="A1" s="438" t="s">
        <v>954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</row>
    <row r="2" spans="1:32" ht="14.25" customHeight="1" thickBot="1" x14ac:dyDescent="0.25">
      <c r="A2" s="1256"/>
      <c r="B2" s="1152"/>
      <c r="C2" s="1250" t="s">
        <v>815</v>
      </c>
      <c r="D2" s="1251"/>
      <c r="E2" s="1251"/>
      <c r="F2" s="1251"/>
      <c r="G2" s="1252"/>
      <c r="H2" s="1259" t="s">
        <v>178</v>
      </c>
      <c r="I2" s="1259"/>
      <c r="J2" s="1259"/>
      <c r="K2" s="1259"/>
      <c r="L2" s="1259"/>
      <c r="M2" s="1237" t="s">
        <v>191</v>
      </c>
      <c r="N2" s="1238"/>
      <c r="O2" s="1238"/>
      <c r="P2" s="1238"/>
      <c r="Q2" s="1239"/>
      <c r="R2" s="1237" t="s">
        <v>192</v>
      </c>
      <c r="S2" s="1238"/>
      <c r="T2" s="1239"/>
      <c r="U2" s="459"/>
      <c r="V2" s="460" t="s">
        <v>193</v>
      </c>
      <c r="W2" s="461"/>
      <c r="X2" s="462"/>
      <c r="Y2" s="459"/>
      <c r="Z2" s="1237" t="s">
        <v>194</v>
      </c>
      <c r="AA2" s="1238"/>
      <c r="AB2" s="1239"/>
      <c r="AC2" s="463"/>
      <c r="AD2" s="464"/>
    </row>
    <row r="3" spans="1:32" ht="15" customHeight="1" thickBot="1" x14ac:dyDescent="0.25">
      <c r="A3" s="1256"/>
      <c r="B3" s="1152"/>
      <c r="C3" s="1250" t="s">
        <v>138</v>
      </c>
      <c r="D3" s="1251"/>
      <c r="E3" s="1251"/>
      <c r="F3" s="1251"/>
      <c r="G3" s="1252"/>
      <c r="H3" s="465" t="s">
        <v>139</v>
      </c>
      <c r="I3" s="466" t="s">
        <v>139</v>
      </c>
      <c r="J3" s="466" t="s">
        <v>140</v>
      </c>
      <c r="K3" s="467" t="s">
        <v>141</v>
      </c>
      <c r="L3" s="1253" t="s">
        <v>83</v>
      </c>
      <c r="M3" s="1250" t="s">
        <v>138</v>
      </c>
      <c r="N3" s="1251"/>
      <c r="O3" s="1251"/>
      <c r="P3" s="1251"/>
      <c r="Q3" s="1252"/>
      <c r="R3" s="466" t="s">
        <v>139</v>
      </c>
      <c r="S3" s="466" t="s">
        <v>140</v>
      </c>
      <c r="T3" s="467" t="s">
        <v>141</v>
      </c>
      <c r="U3" s="1253" t="s">
        <v>83</v>
      </c>
      <c r="V3" s="466" t="s">
        <v>139</v>
      </c>
      <c r="W3" s="466" t="s">
        <v>140</v>
      </c>
      <c r="X3" s="467" t="s">
        <v>141</v>
      </c>
      <c r="Y3" s="1240" t="s">
        <v>83</v>
      </c>
      <c r="Z3" s="466" t="s">
        <v>139</v>
      </c>
      <c r="AA3" s="466" t="s">
        <v>140</v>
      </c>
      <c r="AB3" s="467" t="s">
        <v>141</v>
      </c>
      <c r="AC3" s="1253" t="s">
        <v>83</v>
      </c>
      <c r="AD3" s="468" t="s">
        <v>142</v>
      </c>
    </row>
    <row r="4" spans="1:32" ht="12.75" customHeight="1" thickBot="1" x14ac:dyDescent="0.25">
      <c r="A4" s="1256"/>
      <c r="B4" s="1152"/>
      <c r="C4" s="1243" t="s">
        <v>143</v>
      </c>
      <c r="D4" s="1244"/>
      <c r="E4" s="1244"/>
      <c r="F4" s="1244"/>
      <c r="G4" s="1245"/>
      <c r="H4" s="463" t="s">
        <v>189</v>
      </c>
      <c r="I4" s="464" t="s">
        <v>189</v>
      </c>
      <c r="J4" s="464" t="s">
        <v>190</v>
      </c>
      <c r="K4" s="469" t="s">
        <v>144</v>
      </c>
      <c r="L4" s="1254"/>
      <c r="M4" s="1243" t="s">
        <v>143</v>
      </c>
      <c r="N4" s="1244"/>
      <c r="O4" s="1244"/>
      <c r="P4" s="1244"/>
      <c r="Q4" s="1245"/>
      <c r="R4" s="464" t="s">
        <v>189</v>
      </c>
      <c r="S4" s="464" t="s">
        <v>190</v>
      </c>
      <c r="T4" s="469" t="s">
        <v>144</v>
      </c>
      <c r="U4" s="1254"/>
      <c r="V4" s="464" t="s">
        <v>189</v>
      </c>
      <c r="W4" s="464" t="s">
        <v>190</v>
      </c>
      <c r="X4" s="469" t="s">
        <v>144</v>
      </c>
      <c r="Y4" s="1241"/>
      <c r="Z4" s="464" t="s">
        <v>189</v>
      </c>
      <c r="AA4" s="464" t="s">
        <v>190</v>
      </c>
      <c r="AB4" s="469" t="s">
        <v>144</v>
      </c>
      <c r="AC4" s="1254"/>
      <c r="AD4" s="468" t="s">
        <v>31</v>
      </c>
    </row>
    <row r="5" spans="1:32" ht="25.5" customHeight="1" thickBot="1" x14ac:dyDescent="0.25">
      <c r="A5" s="1256"/>
      <c r="B5" s="1258"/>
      <c r="C5" s="1248" t="s">
        <v>372</v>
      </c>
      <c r="D5" s="1262"/>
      <c r="E5" s="1248" t="s">
        <v>480</v>
      </c>
      <c r="F5" s="1249"/>
      <c r="G5" s="1254" t="s">
        <v>83</v>
      </c>
      <c r="H5" s="1260" t="s">
        <v>496</v>
      </c>
      <c r="I5" s="1260" t="s">
        <v>497</v>
      </c>
      <c r="J5" s="1246" t="s">
        <v>498</v>
      </c>
      <c r="K5" s="1246" t="s">
        <v>499</v>
      </c>
      <c r="L5" s="1254"/>
      <c r="M5" s="1248" t="s">
        <v>372</v>
      </c>
      <c r="N5" s="1262"/>
      <c r="O5" s="1248" t="s">
        <v>480</v>
      </c>
      <c r="P5" s="1249"/>
      <c r="Q5" s="1254" t="s">
        <v>83</v>
      </c>
      <c r="R5" s="466" t="s">
        <v>9</v>
      </c>
      <c r="S5" s="470" t="s">
        <v>11</v>
      </c>
      <c r="T5" s="470" t="s">
        <v>145</v>
      </c>
      <c r="U5" s="1254"/>
      <c r="V5" s="466" t="s">
        <v>9</v>
      </c>
      <c r="W5" s="470" t="s">
        <v>11</v>
      </c>
      <c r="X5" s="470" t="s">
        <v>145</v>
      </c>
      <c r="Y5" s="1241"/>
      <c r="Z5" s="466" t="s">
        <v>9</v>
      </c>
      <c r="AA5" s="470" t="s">
        <v>11</v>
      </c>
      <c r="AB5" s="470" t="s">
        <v>145</v>
      </c>
      <c r="AC5" s="1254"/>
      <c r="AD5" s="464"/>
    </row>
    <row r="6" spans="1:32" ht="17.25" customHeight="1" thickBot="1" x14ac:dyDescent="0.25">
      <c r="A6" s="1257"/>
      <c r="B6" s="1155"/>
      <c r="C6" s="436" t="s">
        <v>373</v>
      </c>
      <c r="D6" s="436" t="s">
        <v>374</v>
      </c>
      <c r="E6" s="436" t="s">
        <v>373</v>
      </c>
      <c r="F6" s="436" t="s">
        <v>374</v>
      </c>
      <c r="G6" s="1255"/>
      <c r="H6" s="1261"/>
      <c r="I6" s="1261"/>
      <c r="J6" s="1247"/>
      <c r="K6" s="1247"/>
      <c r="L6" s="1255"/>
      <c r="M6" s="436" t="s">
        <v>373</v>
      </c>
      <c r="N6" s="436" t="s">
        <v>374</v>
      </c>
      <c r="O6" s="436" t="s">
        <v>373</v>
      </c>
      <c r="P6" s="436" t="s">
        <v>374</v>
      </c>
      <c r="Q6" s="1255"/>
      <c r="R6" s="471" t="s">
        <v>146</v>
      </c>
      <c r="S6" s="471" t="s">
        <v>147</v>
      </c>
      <c r="T6" s="471" t="s">
        <v>148</v>
      </c>
      <c r="U6" s="1255"/>
      <c r="V6" s="471" t="s">
        <v>146</v>
      </c>
      <c r="W6" s="471" t="s">
        <v>147</v>
      </c>
      <c r="X6" s="471" t="s">
        <v>148</v>
      </c>
      <c r="Y6" s="1242"/>
      <c r="Z6" s="471" t="s">
        <v>146</v>
      </c>
      <c r="AA6" s="471" t="s">
        <v>147</v>
      </c>
      <c r="AB6" s="471" t="s">
        <v>148</v>
      </c>
      <c r="AC6" s="1255"/>
      <c r="AD6" s="471"/>
    </row>
    <row r="7" spans="1:32" s="354" customFormat="1" ht="18" customHeight="1" x14ac:dyDescent="0.2">
      <c r="A7" s="439">
        <v>51</v>
      </c>
      <c r="B7" s="440" t="s">
        <v>99</v>
      </c>
      <c r="C7" s="581">
        <f>C8+C13+C17+C19+C21+C23+C26</f>
        <v>0</v>
      </c>
      <c r="D7" s="581">
        <f>D8+D13+D17+D19+D21+D23+D26</f>
        <v>0</v>
      </c>
      <c r="E7" s="581">
        <f>E8+E13+E17+E19+E21+E23+E26</f>
        <v>0</v>
      </c>
      <c r="F7" s="581">
        <f>F8+F13+F17+F19+F21+F23+F26</f>
        <v>0</v>
      </c>
      <c r="G7" s="581">
        <f>G8+G13+G17+G19+G21+G23+G26</f>
        <v>0</v>
      </c>
      <c r="H7" s="442"/>
      <c r="I7" s="442"/>
      <c r="J7" s="442"/>
      <c r="K7" s="442"/>
      <c r="L7" s="442"/>
      <c r="M7" s="580">
        <f>M8+M13+M17+M19+M21+M23+M26</f>
        <v>561817.82000000007</v>
      </c>
      <c r="N7" s="580">
        <f>N8+N13+N17+N19+N21+N23+N26</f>
        <v>579732.26</v>
      </c>
      <c r="O7" s="580">
        <f>O8+O13+O17+O19+O21+O23+O26</f>
        <v>152186.92000000001</v>
      </c>
      <c r="P7" s="580">
        <f>P8+P13+P17+P19+P21+P23+P26</f>
        <v>601775.13</v>
      </c>
      <c r="Q7" s="580">
        <f>Q8+Q13+Q17+Q19+Q21+Q23+Q26</f>
        <v>1895512.13</v>
      </c>
      <c r="R7" s="442"/>
      <c r="S7" s="442"/>
      <c r="T7" s="442"/>
      <c r="U7" s="442"/>
      <c r="V7" s="442"/>
      <c r="W7" s="442"/>
      <c r="X7" s="442"/>
      <c r="Y7" s="442"/>
      <c r="Z7" s="442"/>
      <c r="AA7" s="442"/>
      <c r="AB7" s="442"/>
      <c r="AC7" s="442"/>
      <c r="AD7" s="619">
        <f>+G7+L7+Q7+U7+Y7+AC7</f>
        <v>1895512.13</v>
      </c>
    </row>
    <row r="8" spans="1:32" s="354" customFormat="1" ht="18" customHeight="1" x14ac:dyDescent="0.2">
      <c r="A8" s="443">
        <v>511</v>
      </c>
      <c r="B8" s="444" t="s">
        <v>100</v>
      </c>
      <c r="C8" s="441">
        <f>SUM(C9:C12)</f>
        <v>0</v>
      </c>
      <c r="D8" s="498">
        <f>SUM(D9:D10)</f>
        <v>0</v>
      </c>
      <c r="E8" s="441">
        <f>SUM(E9:E10)</f>
        <v>0</v>
      </c>
      <c r="F8" s="441">
        <f>SUM(F9:F10)</f>
        <v>0</v>
      </c>
      <c r="G8" s="441">
        <f>SUM(G9:G12)</f>
        <v>0</v>
      </c>
      <c r="H8" s="441"/>
      <c r="I8" s="441"/>
      <c r="J8" s="441"/>
      <c r="K8" s="441"/>
      <c r="L8" s="441"/>
      <c r="M8" s="442">
        <f>SUM(M9:M12)</f>
        <v>349905.95</v>
      </c>
      <c r="N8" s="497">
        <f>SUM(N9:N10)</f>
        <v>475056</v>
      </c>
      <c r="O8" s="442">
        <f>SUM(O9:O10)</f>
        <v>123552</v>
      </c>
      <c r="P8" s="442">
        <f>SUM(P9:P10)</f>
        <v>486708</v>
      </c>
      <c r="Q8" s="442">
        <f>SUM(Q9:Q12)</f>
        <v>1435221.95</v>
      </c>
      <c r="R8" s="442">
        <f t="shared" ref="R8:AC8" si="0">SUM(R9:R10)</f>
        <v>0</v>
      </c>
      <c r="S8" s="442">
        <f t="shared" si="0"/>
        <v>0</v>
      </c>
      <c r="T8" s="442">
        <f t="shared" si="0"/>
        <v>0</v>
      </c>
      <c r="U8" s="442">
        <f t="shared" si="0"/>
        <v>0</v>
      </c>
      <c r="V8" s="442">
        <f t="shared" si="0"/>
        <v>0</v>
      </c>
      <c r="W8" s="442">
        <f t="shared" si="0"/>
        <v>0</v>
      </c>
      <c r="X8" s="442">
        <f t="shared" si="0"/>
        <v>0</v>
      </c>
      <c r="Y8" s="442">
        <f t="shared" si="0"/>
        <v>0</v>
      </c>
      <c r="Z8" s="442">
        <f t="shared" si="0"/>
        <v>0</v>
      </c>
      <c r="AA8" s="442">
        <f t="shared" si="0"/>
        <v>0</v>
      </c>
      <c r="AB8" s="442">
        <f t="shared" si="0"/>
        <v>0</v>
      </c>
      <c r="AC8" s="442">
        <f t="shared" si="0"/>
        <v>0</v>
      </c>
      <c r="AD8" s="619">
        <f t="shared" ref="AD8:AD71" si="1">+G8+L8+Q8+U8+Y8+AC8</f>
        <v>1435221.95</v>
      </c>
    </row>
    <row r="9" spans="1:32" s="357" customFormat="1" ht="18" customHeight="1" x14ac:dyDescent="0.2">
      <c r="A9" s="445" t="s">
        <v>2</v>
      </c>
      <c r="B9" s="211" t="s">
        <v>350</v>
      </c>
      <c r="C9" s="441">
        <f>Res_Nom_FF!C8</f>
        <v>0</v>
      </c>
      <c r="D9" s="498">
        <f>Res_Nom_FF!D8</f>
        <v>0</v>
      </c>
      <c r="E9" s="441">
        <f>Res_Nom_FF!E8</f>
        <v>0</v>
      </c>
      <c r="F9" s="441">
        <f>Res_Nom_FF!F8</f>
        <v>0</v>
      </c>
      <c r="G9" s="442">
        <f>SUM(C9:F9)</f>
        <v>0</v>
      </c>
      <c r="H9" s="446"/>
      <c r="I9" s="446"/>
      <c r="J9" s="446"/>
      <c r="K9" s="446"/>
      <c r="L9" s="441">
        <f t="shared" ref="L9:L95" si="2">SUM(H9:K9)</f>
        <v>0</v>
      </c>
      <c r="M9" s="442">
        <f>Res_Nom_FF!C21</f>
        <v>310260</v>
      </c>
      <c r="N9" s="497">
        <f>Res_Nom_FF!D21</f>
        <v>475056</v>
      </c>
      <c r="O9" s="442">
        <f>Res_Nom_FF!E21</f>
        <v>123552</v>
      </c>
      <c r="P9" s="442">
        <f>Res_Nom_FF!F21</f>
        <v>486708</v>
      </c>
      <c r="Q9" s="442">
        <f>SUM(M9:P9)</f>
        <v>1395576</v>
      </c>
      <c r="R9" s="446"/>
      <c r="S9" s="446"/>
      <c r="T9" s="446"/>
      <c r="U9" s="441">
        <f t="shared" ref="U9:U94" si="3">SUM(R9:T9)</f>
        <v>0</v>
      </c>
      <c r="V9" s="446"/>
      <c r="W9" s="446"/>
      <c r="X9" s="446"/>
      <c r="Y9" s="441">
        <f t="shared" ref="Y9:Y94" si="4">SUM(V9:X9)</f>
        <v>0</v>
      </c>
      <c r="Z9" s="446"/>
      <c r="AA9" s="446"/>
      <c r="AB9" s="446"/>
      <c r="AC9" s="441">
        <f t="shared" ref="AC9:AC94" si="5">SUM(Z9:AB9)</f>
        <v>0</v>
      </c>
      <c r="AD9" s="619">
        <f t="shared" si="1"/>
        <v>1395576</v>
      </c>
      <c r="AE9" s="354"/>
      <c r="AF9" s="354"/>
    </row>
    <row r="10" spans="1:32" s="354" customFormat="1" ht="18" customHeight="1" x14ac:dyDescent="0.2">
      <c r="A10" s="445" t="s">
        <v>8</v>
      </c>
      <c r="B10" s="211" t="s">
        <v>287</v>
      </c>
      <c r="C10" s="441">
        <f>Res_Nom_FF!C9</f>
        <v>0</v>
      </c>
      <c r="D10" s="498">
        <f>Res_Nom_FF!D9</f>
        <v>0</v>
      </c>
      <c r="E10" s="441">
        <f>Res_Nom_FF!E9</f>
        <v>0</v>
      </c>
      <c r="F10" s="441">
        <f>Res_Nom_FF!F9</f>
        <v>0</v>
      </c>
      <c r="G10" s="442">
        <f>SUM(C10:F10)</f>
        <v>0</v>
      </c>
      <c r="H10" s="446"/>
      <c r="I10" s="446"/>
      <c r="J10" s="446"/>
      <c r="K10" s="446"/>
      <c r="L10" s="441">
        <f t="shared" si="2"/>
        <v>0</v>
      </c>
      <c r="M10" s="442">
        <f>Res_Nom_FF!C22</f>
        <v>0</v>
      </c>
      <c r="N10" s="442">
        <f>Res_Nom_FF!D22</f>
        <v>0</v>
      </c>
      <c r="O10" s="442">
        <f>Res_Nom_FF!E22</f>
        <v>0</v>
      </c>
      <c r="P10" s="442">
        <f>Res_Nom_FF!F22</f>
        <v>0</v>
      </c>
      <c r="Q10" s="442">
        <f>SUM(M10:P10)</f>
        <v>0</v>
      </c>
      <c r="R10" s="446"/>
      <c r="S10" s="446"/>
      <c r="T10" s="446"/>
      <c r="U10" s="441">
        <f t="shared" si="3"/>
        <v>0</v>
      </c>
      <c r="V10" s="446"/>
      <c r="W10" s="446"/>
      <c r="X10" s="446"/>
      <c r="Y10" s="441">
        <f t="shared" si="4"/>
        <v>0</v>
      </c>
      <c r="Z10" s="446"/>
      <c r="AA10" s="446"/>
      <c r="AB10" s="446"/>
      <c r="AC10" s="441">
        <f t="shared" si="5"/>
        <v>0</v>
      </c>
      <c r="AD10" s="619">
        <f t="shared" si="1"/>
        <v>0</v>
      </c>
    </row>
    <row r="11" spans="1:32" s="354" customFormat="1" ht="18" customHeight="1" x14ac:dyDescent="0.2">
      <c r="A11" s="445" t="s">
        <v>518</v>
      </c>
      <c r="B11" s="211" t="s">
        <v>517</v>
      </c>
      <c r="C11" s="441">
        <f>Res_Nom_FF!C13</f>
        <v>0</v>
      </c>
      <c r="D11" s="441">
        <f>Res_Nom_FF!D13</f>
        <v>0</v>
      </c>
      <c r="E11" s="441">
        <f>Res_Nom_FF!E13</f>
        <v>0</v>
      </c>
      <c r="F11" s="441">
        <f>Res_Nom_FF!F13</f>
        <v>0</v>
      </c>
      <c r="G11" s="442">
        <f>SUM(C11:F11)</f>
        <v>0</v>
      </c>
      <c r="H11" s="446"/>
      <c r="I11" s="446"/>
      <c r="J11" s="446"/>
      <c r="K11" s="446"/>
      <c r="L11" s="441">
        <f>SUM(H11:K11)</f>
        <v>0</v>
      </c>
      <c r="M11" s="442">
        <f>Res_Nom_FF!C29</f>
        <v>6295.95</v>
      </c>
      <c r="N11" s="442">
        <f>Res_Nom_FF!D29</f>
        <v>0</v>
      </c>
      <c r="O11" s="442">
        <f>Res_Nom_FF!E29</f>
        <v>0</v>
      </c>
      <c r="P11" s="442">
        <f>Res_Nom_FF!F29</f>
        <v>0</v>
      </c>
      <c r="Q11" s="442">
        <f>SUM(M11:P11)</f>
        <v>6295.95</v>
      </c>
      <c r="R11" s="446"/>
      <c r="S11" s="446"/>
      <c r="T11" s="446"/>
      <c r="U11" s="441">
        <f>SUM(R11:T11)</f>
        <v>0</v>
      </c>
      <c r="V11" s="446"/>
      <c r="W11" s="446"/>
      <c r="X11" s="446"/>
      <c r="Y11" s="441">
        <f>SUM(V11:X11)</f>
        <v>0</v>
      </c>
      <c r="Z11" s="446"/>
      <c r="AA11" s="446"/>
      <c r="AB11" s="446"/>
      <c r="AC11" s="441">
        <f>SUM(Z11:AB11)</f>
        <v>0</v>
      </c>
      <c r="AD11" s="619">
        <f t="shared" si="1"/>
        <v>6295.95</v>
      </c>
    </row>
    <row r="12" spans="1:32" s="354" customFormat="1" ht="18" customHeight="1" x14ac:dyDescent="0.2">
      <c r="A12" s="445" t="s">
        <v>612</v>
      </c>
      <c r="B12" s="211" t="s">
        <v>613</v>
      </c>
      <c r="C12" s="441">
        <f>Res_Nom_FF!C14</f>
        <v>0</v>
      </c>
      <c r="D12" s="441">
        <f>Res_Nom_FF!D14</f>
        <v>0</v>
      </c>
      <c r="E12" s="441">
        <f>Res_Nom_FF!E14</f>
        <v>0</v>
      </c>
      <c r="F12" s="441">
        <f>Res_Nom_FF!F14</f>
        <v>0</v>
      </c>
      <c r="G12" s="442">
        <f>SUM(C12:F12)</f>
        <v>0</v>
      </c>
      <c r="H12" s="446"/>
      <c r="I12" s="446"/>
      <c r="J12" s="446"/>
      <c r="K12" s="446"/>
      <c r="L12" s="441">
        <f>SUM(H12:K12)</f>
        <v>0</v>
      </c>
      <c r="M12" s="442">
        <f>Res_Nom_FF!C30</f>
        <v>33350</v>
      </c>
      <c r="N12" s="442">
        <f>Res_Nom_FF!D30</f>
        <v>0</v>
      </c>
      <c r="O12" s="442">
        <f>Res_Nom_FF!E30</f>
        <v>0</v>
      </c>
      <c r="P12" s="442">
        <f>Res_Nom_FF!F30</f>
        <v>0</v>
      </c>
      <c r="Q12" s="442">
        <f>SUM(M12:P12)</f>
        <v>33350</v>
      </c>
      <c r="R12" s="446"/>
      <c r="S12" s="446"/>
      <c r="T12" s="446"/>
      <c r="U12" s="441">
        <f>SUM(R12:T12)</f>
        <v>0</v>
      </c>
      <c r="V12" s="446"/>
      <c r="W12" s="446"/>
      <c r="X12" s="446"/>
      <c r="Y12" s="441">
        <f>SUM(V12:X12)</f>
        <v>0</v>
      </c>
      <c r="Z12" s="446"/>
      <c r="AA12" s="446"/>
      <c r="AB12" s="446"/>
      <c r="AC12" s="441">
        <f>SUM(Z12:AB12)</f>
        <v>0</v>
      </c>
      <c r="AD12" s="619">
        <f t="shared" si="1"/>
        <v>33350</v>
      </c>
    </row>
    <row r="13" spans="1:32" s="357" customFormat="1" ht="18" customHeight="1" x14ac:dyDescent="0.2">
      <c r="A13" s="447" t="s">
        <v>101</v>
      </c>
      <c r="B13" s="448" t="s">
        <v>102</v>
      </c>
      <c r="C13" s="441">
        <f>SUM(C14:C16)</f>
        <v>0</v>
      </c>
      <c r="D13" s="441">
        <f>SUM(D14:D16)</f>
        <v>0</v>
      </c>
      <c r="E13" s="441">
        <f>SUM(E14:E16)</f>
        <v>0</v>
      </c>
      <c r="F13" s="441">
        <f>SUM(F14:F16)</f>
        <v>0</v>
      </c>
      <c r="G13" s="441">
        <f>SUM(G14:G16)</f>
        <v>0</v>
      </c>
      <c r="H13" s="446"/>
      <c r="I13" s="446"/>
      <c r="J13" s="446"/>
      <c r="K13" s="446"/>
      <c r="L13" s="441"/>
      <c r="M13" s="442">
        <f>SUM(M14:M16)</f>
        <v>169503.96</v>
      </c>
      <c r="N13" s="442">
        <f>SUM(N14:N16)</f>
        <v>23485</v>
      </c>
      <c r="O13" s="442">
        <f>SUM(O14:O16)</f>
        <v>7320</v>
      </c>
      <c r="P13" s="442">
        <f>SUM(P14:P16)</f>
        <v>31110</v>
      </c>
      <c r="Q13" s="442">
        <f>SUM(Q14:Q16)</f>
        <v>231418.96</v>
      </c>
      <c r="R13" s="446"/>
      <c r="S13" s="446"/>
      <c r="T13" s="446"/>
      <c r="U13" s="441"/>
      <c r="V13" s="446"/>
      <c r="W13" s="446"/>
      <c r="X13" s="446"/>
      <c r="Y13" s="441"/>
      <c r="Z13" s="446"/>
      <c r="AA13" s="446"/>
      <c r="AB13" s="446"/>
      <c r="AC13" s="441"/>
      <c r="AD13" s="619">
        <f t="shared" si="1"/>
        <v>231418.96</v>
      </c>
      <c r="AE13" s="354"/>
      <c r="AF13" s="354"/>
    </row>
    <row r="14" spans="1:32" s="354" customFormat="1" ht="18" customHeight="1" x14ac:dyDescent="0.2">
      <c r="A14" s="117">
        <v>51201</v>
      </c>
      <c r="B14" s="116" t="s">
        <v>425</v>
      </c>
      <c r="C14" s="163">
        <v>0</v>
      </c>
      <c r="D14" s="163">
        <v>0</v>
      </c>
      <c r="E14" s="163">
        <v>0</v>
      </c>
      <c r="F14" s="441">
        <v>0</v>
      </c>
      <c r="G14" s="442">
        <f>SUM(C14:F14)</f>
        <v>0</v>
      </c>
      <c r="H14" s="441"/>
      <c r="I14" s="441"/>
      <c r="J14" s="441"/>
      <c r="K14" s="441"/>
      <c r="L14" s="441">
        <f t="shared" si="2"/>
        <v>0</v>
      </c>
      <c r="M14" s="442">
        <f>Res_Nom_FF!C23</f>
        <v>160353.96</v>
      </c>
      <c r="N14" s="442">
        <f>Res_Nom_FF!D23</f>
        <v>0</v>
      </c>
      <c r="O14" s="442">
        <f>Res_Nom_FF!E23</f>
        <v>0</v>
      </c>
      <c r="P14" s="442">
        <f>Res_Nom_FF!F23</f>
        <v>0</v>
      </c>
      <c r="Q14" s="442">
        <f>SUM(M14:P14)</f>
        <v>160353.96</v>
      </c>
      <c r="R14" s="446"/>
      <c r="S14" s="446"/>
      <c r="T14" s="446"/>
      <c r="U14" s="441">
        <f t="shared" si="3"/>
        <v>0</v>
      </c>
      <c r="V14" s="446"/>
      <c r="W14" s="446"/>
      <c r="X14" s="446"/>
      <c r="Y14" s="441">
        <f t="shared" si="4"/>
        <v>0</v>
      </c>
      <c r="Z14" s="446"/>
      <c r="AA14" s="446"/>
      <c r="AB14" s="446"/>
      <c r="AC14" s="441">
        <f t="shared" si="5"/>
        <v>0</v>
      </c>
      <c r="AD14" s="619">
        <f t="shared" si="1"/>
        <v>160353.96</v>
      </c>
    </row>
    <row r="15" spans="1:32" s="357" customFormat="1" ht="18" customHeight="1" x14ac:dyDescent="0.2">
      <c r="A15" s="445" t="s">
        <v>476</v>
      </c>
      <c r="B15" s="211" t="s">
        <v>351</v>
      </c>
      <c r="C15" s="441">
        <v>0</v>
      </c>
      <c r="D15" s="441">
        <v>0</v>
      </c>
      <c r="E15" s="441">
        <v>0</v>
      </c>
      <c r="F15" s="441">
        <v>0</v>
      </c>
      <c r="G15" s="442">
        <f>SUM(C15:F15)</f>
        <v>0</v>
      </c>
      <c r="H15" s="446"/>
      <c r="I15" s="446"/>
      <c r="J15" s="446"/>
      <c r="K15" s="446"/>
      <c r="L15" s="441">
        <f>SUM(H15:K15)</f>
        <v>0</v>
      </c>
      <c r="M15" s="442">
        <f>Res_Nom_FF!C24</f>
        <v>0</v>
      </c>
      <c r="N15" s="442">
        <f>Res_Nom_FF!D24</f>
        <v>0</v>
      </c>
      <c r="O15" s="442">
        <f>Res_Nom_FF!E24</f>
        <v>0</v>
      </c>
      <c r="P15" s="442">
        <f>Res_Nom_FF!F24</f>
        <v>0</v>
      </c>
      <c r="Q15" s="442">
        <f t="shared" ref="Q15:Q27" si="6">SUM(M15:P15)</f>
        <v>0</v>
      </c>
      <c r="R15" s="446"/>
      <c r="S15" s="446"/>
      <c r="T15" s="446"/>
      <c r="U15" s="441">
        <f>SUM(R15:T15)</f>
        <v>0</v>
      </c>
      <c r="V15" s="446"/>
      <c r="W15" s="446"/>
      <c r="X15" s="446"/>
      <c r="Y15" s="441">
        <f>SUM(V15:X15)</f>
        <v>0</v>
      </c>
      <c r="Z15" s="446"/>
      <c r="AA15" s="446"/>
      <c r="AB15" s="446"/>
      <c r="AC15" s="441">
        <f>SUM(Z15:AB15)</f>
        <v>0</v>
      </c>
      <c r="AD15" s="619">
        <f t="shared" si="1"/>
        <v>0</v>
      </c>
      <c r="AE15" s="354"/>
      <c r="AF15" s="354"/>
    </row>
    <row r="16" spans="1:32" s="357" customFormat="1" ht="18" customHeight="1" x14ac:dyDescent="0.2">
      <c r="A16" s="445" t="s">
        <v>7</v>
      </c>
      <c r="B16" s="211" t="s">
        <v>352</v>
      </c>
      <c r="C16" s="441">
        <f>Res_Nom_FF!C10</f>
        <v>0</v>
      </c>
      <c r="D16" s="441">
        <f>Res_Nom_FF!D10</f>
        <v>0</v>
      </c>
      <c r="E16" s="441">
        <f>Res_Nom_FF!E10</f>
        <v>0</v>
      </c>
      <c r="F16" s="441">
        <f>Res_Nom_FF!F10</f>
        <v>0</v>
      </c>
      <c r="G16" s="442">
        <f>SUM(C16:F16)</f>
        <v>0</v>
      </c>
      <c r="H16" s="446"/>
      <c r="I16" s="446"/>
      <c r="J16" s="446"/>
      <c r="K16" s="446"/>
      <c r="L16" s="441">
        <f t="shared" si="2"/>
        <v>0</v>
      </c>
      <c r="M16" s="442">
        <f>Res_Nom_FF!C25</f>
        <v>9150</v>
      </c>
      <c r="N16" s="442">
        <f>Res_Nom_FF!D25</f>
        <v>23485</v>
      </c>
      <c r="O16" s="442">
        <f>Res_Nom_FF!E25</f>
        <v>7320</v>
      </c>
      <c r="P16" s="442">
        <f>Res_Nom_FF!F25</f>
        <v>31110</v>
      </c>
      <c r="Q16" s="442">
        <f t="shared" si="6"/>
        <v>71065</v>
      </c>
      <c r="R16" s="446"/>
      <c r="S16" s="446"/>
      <c r="T16" s="446"/>
      <c r="U16" s="441">
        <f t="shared" si="3"/>
        <v>0</v>
      </c>
      <c r="V16" s="446"/>
      <c r="W16" s="446"/>
      <c r="X16" s="446"/>
      <c r="Y16" s="441">
        <f t="shared" si="4"/>
        <v>0</v>
      </c>
      <c r="Z16" s="446"/>
      <c r="AA16" s="446"/>
      <c r="AB16" s="446"/>
      <c r="AC16" s="441">
        <f t="shared" si="5"/>
        <v>0</v>
      </c>
      <c r="AD16" s="619">
        <f t="shared" si="1"/>
        <v>71065</v>
      </c>
      <c r="AE16" s="354"/>
      <c r="AF16" s="354"/>
    </row>
    <row r="17" spans="1:32" s="354" customFormat="1" ht="18" customHeight="1" x14ac:dyDescent="0.2">
      <c r="A17" s="447" t="s">
        <v>103</v>
      </c>
      <c r="B17" s="448" t="s">
        <v>104</v>
      </c>
      <c r="C17" s="441">
        <f>SUM(C18:C18)</f>
        <v>0</v>
      </c>
      <c r="D17" s="441">
        <f>SUM(D18:D18)</f>
        <v>0</v>
      </c>
      <c r="E17" s="441">
        <f>SUM(E18:E18)</f>
        <v>0</v>
      </c>
      <c r="F17" s="441">
        <f>SUM(F18:F18)</f>
        <v>0</v>
      </c>
      <c r="G17" s="441">
        <f>SUM(G18:G18)</f>
        <v>0</v>
      </c>
      <c r="H17" s="441"/>
      <c r="I17" s="441"/>
      <c r="J17" s="441"/>
      <c r="K17" s="441"/>
      <c r="L17" s="441"/>
      <c r="M17" s="442">
        <f t="shared" ref="M17:AC17" si="7">SUM(M18:M18)</f>
        <v>0</v>
      </c>
      <c r="N17" s="442">
        <f t="shared" si="7"/>
        <v>0</v>
      </c>
      <c r="O17" s="442">
        <f t="shared" si="7"/>
        <v>0</v>
      </c>
      <c r="P17" s="442">
        <f t="shared" si="7"/>
        <v>0</v>
      </c>
      <c r="Q17" s="442">
        <f t="shared" si="7"/>
        <v>0</v>
      </c>
      <c r="R17" s="442">
        <f t="shared" si="7"/>
        <v>0</v>
      </c>
      <c r="S17" s="442">
        <f t="shared" si="7"/>
        <v>0</v>
      </c>
      <c r="T17" s="442">
        <f t="shared" si="7"/>
        <v>0</v>
      </c>
      <c r="U17" s="442">
        <f t="shared" si="7"/>
        <v>0</v>
      </c>
      <c r="V17" s="442">
        <f t="shared" si="7"/>
        <v>0</v>
      </c>
      <c r="W17" s="442">
        <f t="shared" si="7"/>
        <v>0</v>
      </c>
      <c r="X17" s="442">
        <f t="shared" si="7"/>
        <v>0</v>
      </c>
      <c r="Y17" s="442">
        <f t="shared" si="7"/>
        <v>0</v>
      </c>
      <c r="Z17" s="442">
        <f t="shared" si="7"/>
        <v>0</v>
      </c>
      <c r="AA17" s="442">
        <f t="shared" si="7"/>
        <v>0</v>
      </c>
      <c r="AB17" s="442">
        <f t="shared" si="7"/>
        <v>0</v>
      </c>
      <c r="AC17" s="442">
        <f t="shared" si="7"/>
        <v>0</v>
      </c>
      <c r="AD17" s="619">
        <f t="shared" si="1"/>
        <v>0</v>
      </c>
    </row>
    <row r="18" spans="1:32" s="357" customFormat="1" ht="18" customHeight="1" x14ac:dyDescent="0.2">
      <c r="A18" s="117">
        <v>51301</v>
      </c>
      <c r="B18" s="116" t="s">
        <v>353</v>
      </c>
      <c r="C18" s="163">
        <v>0</v>
      </c>
      <c r="D18" s="163">
        <v>0</v>
      </c>
      <c r="E18" s="163">
        <v>0</v>
      </c>
      <c r="F18" s="441">
        <v>0</v>
      </c>
      <c r="G18" s="442">
        <f>SUM(C18:F18)</f>
        <v>0</v>
      </c>
      <c r="H18" s="446"/>
      <c r="I18" s="446"/>
      <c r="J18" s="446"/>
      <c r="K18" s="446"/>
      <c r="L18" s="441">
        <f t="shared" si="2"/>
        <v>0</v>
      </c>
      <c r="M18" s="442">
        <f>Res_Nom_FF!C26</f>
        <v>0</v>
      </c>
      <c r="N18" s="442">
        <f>Res_Nom_FF!D26</f>
        <v>0</v>
      </c>
      <c r="O18" s="442">
        <f>Res_Nom_FF!E26</f>
        <v>0</v>
      </c>
      <c r="P18" s="442">
        <f>Res_Nom_FF!F26</f>
        <v>0</v>
      </c>
      <c r="Q18" s="442">
        <f t="shared" si="6"/>
        <v>0</v>
      </c>
      <c r="R18" s="446"/>
      <c r="S18" s="446"/>
      <c r="T18" s="446"/>
      <c r="U18" s="441">
        <f t="shared" si="3"/>
        <v>0</v>
      </c>
      <c r="V18" s="446"/>
      <c r="W18" s="446"/>
      <c r="X18" s="446"/>
      <c r="Y18" s="441">
        <f t="shared" si="4"/>
        <v>0</v>
      </c>
      <c r="Z18" s="446"/>
      <c r="AA18" s="446"/>
      <c r="AB18" s="446"/>
      <c r="AC18" s="441">
        <f t="shared" si="5"/>
        <v>0</v>
      </c>
      <c r="AD18" s="619">
        <f t="shared" si="1"/>
        <v>0</v>
      </c>
      <c r="AE18" s="354"/>
      <c r="AF18" s="354"/>
    </row>
    <row r="19" spans="1:32" s="357" customFormat="1" ht="18" customHeight="1" x14ac:dyDescent="0.2">
      <c r="A19" s="443">
        <v>514</v>
      </c>
      <c r="B19" s="121" t="s">
        <v>375</v>
      </c>
      <c r="C19" s="441">
        <f>C20</f>
        <v>0</v>
      </c>
      <c r="D19" s="441">
        <f>D20</f>
        <v>0</v>
      </c>
      <c r="E19" s="441">
        <f>E20</f>
        <v>0</v>
      </c>
      <c r="F19" s="441">
        <f>F20</f>
        <v>0</v>
      </c>
      <c r="G19" s="441">
        <f>G20</f>
        <v>0</v>
      </c>
      <c r="H19" s="446"/>
      <c r="I19" s="446"/>
      <c r="J19" s="446"/>
      <c r="K19" s="446"/>
      <c r="L19" s="441"/>
      <c r="M19" s="442">
        <f>M20</f>
        <v>17868.36</v>
      </c>
      <c r="N19" s="442">
        <f>N20</f>
        <v>39614.759999999995</v>
      </c>
      <c r="O19" s="442">
        <f>O20</f>
        <v>10501.92</v>
      </c>
      <c r="P19" s="442">
        <f t="shared" ref="P19:AC19" si="8">P20</f>
        <v>41370.180000000008</v>
      </c>
      <c r="Q19" s="442">
        <f t="shared" si="8"/>
        <v>109355.22</v>
      </c>
      <c r="R19" s="442">
        <f t="shared" si="8"/>
        <v>0</v>
      </c>
      <c r="S19" s="442">
        <f t="shared" si="8"/>
        <v>0</v>
      </c>
      <c r="T19" s="442">
        <f t="shared" si="8"/>
        <v>0</v>
      </c>
      <c r="U19" s="442">
        <f t="shared" si="8"/>
        <v>0</v>
      </c>
      <c r="V19" s="442">
        <f t="shared" si="8"/>
        <v>0</v>
      </c>
      <c r="W19" s="442">
        <f t="shared" si="8"/>
        <v>0</v>
      </c>
      <c r="X19" s="442">
        <f t="shared" si="8"/>
        <v>0</v>
      </c>
      <c r="Y19" s="442">
        <f t="shared" si="8"/>
        <v>0</v>
      </c>
      <c r="Z19" s="442">
        <f t="shared" si="8"/>
        <v>0</v>
      </c>
      <c r="AA19" s="442">
        <f t="shared" si="8"/>
        <v>0</v>
      </c>
      <c r="AB19" s="442">
        <f t="shared" si="8"/>
        <v>0</v>
      </c>
      <c r="AC19" s="442">
        <f t="shared" si="8"/>
        <v>0</v>
      </c>
      <c r="AD19" s="619">
        <f t="shared" si="1"/>
        <v>109355.22</v>
      </c>
      <c r="AE19" s="354"/>
      <c r="AF19" s="354"/>
    </row>
    <row r="20" spans="1:32" s="354" customFormat="1" ht="18" customHeight="1" x14ac:dyDescent="0.2">
      <c r="A20" s="445" t="s">
        <v>6</v>
      </c>
      <c r="B20" s="211" t="s">
        <v>354</v>
      </c>
      <c r="C20" s="441">
        <f>Res_Nom_FF!C11</f>
        <v>0</v>
      </c>
      <c r="D20" s="441">
        <f>Res_Nom_FF!D11</f>
        <v>0</v>
      </c>
      <c r="E20" s="441">
        <f>Res_Nom_FF!E11</f>
        <v>0</v>
      </c>
      <c r="F20" s="441">
        <f>Res_Nom_FF!F11</f>
        <v>0</v>
      </c>
      <c r="G20" s="442">
        <f>SUM(C20:F20)</f>
        <v>0</v>
      </c>
      <c r="H20" s="441"/>
      <c r="I20" s="441"/>
      <c r="J20" s="441"/>
      <c r="K20" s="441"/>
      <c r="L20" s="441">
        <f t="shared" si="2"/>
        <v>0</v>
      </c>
      <c r="M20" s="442">
        <f>Res_Nom_FF!C27</f>
        <v>17868.36</v>
      </c>
      <c r="N20" s="442">
        <f>Res_Nom_FF!D27</f>
        <v>39614.759999999995</v>
      </c>
      <c r="O20" s="442">
        <f>Res_Nom_FF!E27</f>
        <v>10501.92</v>
      </c>
      <c r="P20" s="442">
        <f>Res_Nom_FF!F27</f>
        <v>41370.180000000008</v>
      </c>
      <c r="Q20" s="442">
        <f t="shared" si="6"/>
        <v>109355.22</v>
      </c>
      <c r="R20" s="446"/>
      <c r="S20" s="446"/>
      <c r="T20" s="446"/>
      <c r="U20" s="441">
        <f t="shared" si="3"/>
        <v>0</v>
      </c>
      <c r="V20" s="446"/>
      <c r="W20" s="446"/>
      <c r="X20" s="446"/>
      <c r="Y20" s="441">
        <f t="shared" si="4"/>
        <v>0</v>
      </c>
      <c r="Z20" s="446"/>
      <c r="AA20" s="446"/>
      <c r="AB20" s="446"/>
      <c r="AC20" s="441">
        <f t="shared" si="5"/>
        <v>0</v>
      </c>
      <c r="AD20" s="619">
        <f t="shared" si="1"/>
        <v>109355.22</v>
      </c>
    </row>
    <row r="21" spans="1:32" s="354" customFormat="1" ht="18" customHeight="1" x14ac:dyDescent="0.2">
      <c r="A21" s="443">
        <v>515</v>
      </c>
      <c r="B21" s="121" t="s">
        <v>376</v>
      </c>
      <c r="C21" s="441">
        <f>C22</f>
        <v>0</v>
      </c>
      <c r="D21" s="441">
        <f>D22</f>
        <v>0</v>
      </c>
      <c r="E21" s="441">
        <f>E22</f>
        <v>0</v>
      </c>
      <c r="F21" s="441">
        <f>F22</f>
        <v>0</v>
      </c>
      <c r="G21" s="441">
        <f>G22</f>
        <v>0</v>
      </c>
      <c r="H21" s="441"/>
      <c r="I21" s="441"/>
      <c r="J21" s="441"/>
      <c r="K21" s="441"/>
      <c r="L21" s="441"/>
      <c r="M21" s="442">
        <f>M22</f>
        <v>24539.55</v>
      </c>
      <c r="N21" s="442">
        <f>N22</f>
        <v>41576.5</v>
      </c>
      <c r="O21" s="442">
        <f>O22</f>
        <v>10813</v>
      </c>
      <c r="P21" s="442">
        <f t="shared" ref="P21:AC21" si="9">P22</f>
        <v>42586.95</v>
      </c>
      <c r="Q21" s="442">
        <f t="shared" si="9"/>
        <v>119516</v>
      </c>
      <c r="R21" s="442">
        <f t="shared" si="9"/>
        <v>0</v>
      </c>
      <c r="S21" s="442">
        <f t="shared" si="9"/>
        <v>0</v>
      </c>
      <c r="T21" s="442">
        <f t="shared" si="9"/>
        <v>0</v>
      </c>
      <c r="U21" s="442">
        <f t="shared" si="9"/>
        <v>0</v>
      </c>
      <c r="V21" s="442">
        <f t="shared" si="9"/>
        <v>0</v>
      </c>
      <c r="W21" s="442">
        <f t="shared" si="9"/>
        <v>0</v>
      </c>
      <c r="X21" s="442">
        <f t="shared" si="9"/>
        <v>0</v>
      </c>
      <c r="Y21" s="442">
        <f t="shared" si="9"/>
        <v>0</v>
      </c>
      <c r="Z21" s="442">
        <f t="shared" si="9"/>
        <v>0</v>
      </c>
      <c r="AA21" s="442">
        <f t="shared" si="9"/>
        <v>0</v>
      </c>
      <c r="AB21" s="442">
        <f t="shared" si="9"/>
        <v>0</v>
      </c>
      <c r="AC21" s="442">
        <f t="shared" si="9"/>
        <v>0</v>
      </c>
      <c r="AD21" s="619">
        <f t="shared" si="1"/>
        <v>119516</v>
      </c>
    </row>
    <row r="22" spans="1:32" s="357" customFormat="1" ht="18" customHeight="1" x14ac:dyDescent="0.2">
      <c r="A22" s="445" t="s">
        <v>5</v>
      </c>
      <c r="B22" s="211" t="s">
        <v>355</v>
      </c>
      <c r="C22" s="441">
        <f>Res_Nom_FF!C12</f>
        <v>0</v>
      </c>
      <c r="D22" s="441">
        <f>Res_Nom_FF!D12</f>
        <v>0</v>
      </c>
      <c r="E22" s="441">
        <f>Res_Nom_FF!E12</f>
        <v>0</v>
      </c>
      <c r="F22" s="441">
        <f>Res_Nom_FF!F12</f>
        <v>0</v>
      </c>
      <c r="G22" s="442">
        <f>SUM(C22:F22)</f>
        <v>0</v>
      </c>
      <c r="H22" s="446"/>
      <c r="I22" s="446"/>
      <c r="J22" s="446"/>
      <c r="K22" s="446"/>
      <c r="L22" s="441">
        <f t="shared" si="2"/>
        <v>0</v>
      </c>
      <c r="M22" s="442">
        <f>Res_Nom_FF!C28</f>
        <v>24539.55</v>
      </c>
      <c r="N22" s="442">
        <f>Res_Nom_FF!D28</f>
        <v>41576.5</v>
      </c>
      <c r="O22" s="442">
        <f>Res_Nom_FF!E28</f>
        <v>10813</v>
      </c>
      <c r="P22" s="442">
        <f>Res_Nom_FF!F28</f>
        <v>42586.95</v>
      </c>
      <c r="Q22" s="442">
        <f t="shared" si="6"/>
        <v>119516</v>
      </c>
      <c r="R22" s="446"/>
      <c r="S22" s="446"/>
      <c r="T22" s="446"/>
      <c r="U22" s="441">
        <f t="shared" si="3"/>
        <v>0</v>
      </c>
      <c r="V22" s="446"/>
      <c r="W22" s="446"/>
      <c r="X22" s="446"/>
      <c r="Y22" s="441">
        <f t="shared" si="4"/>
        <v>0</v>
      </c>
      <c r="Z22" s="446"/>
      <c r="AA22" s="446"/>
      <c r="AB22" s="446"/>
      <c r="AC22" s="441">
        <f t="shared" si="5"/>
        <v>0</v>
      </c>
      <c r="AD22" s="619">
        <f t="shared" si="1"/>
        <v>119516</v>
      </c>
      <c r="AE22" s="354"/>
      <c r="AF22" s="354"/>
    </row>
    <row r="23" spans="1:32" s="357" customFormat="1" ht="18" customHeight="1" x14ac:dyDescent="0.2">
      <c r="A23" s="447" t="s">
        <v>105</v>
      </c>
      <c r="B23" s="448" t="s">
        <v>106</v>
      </c>
      <c r="C23" s="441">
        <f>SUM(C24:C25)</f>
        <v>0</v>
      </c>
      <c r="D23" s="441">
        <f>SUM(D24:D25)</f>
        <v>0</v>
      </c>
      <c r="E23" s="441">
        <f>SUM(E24:E25)</f>
        <v>0</v>
      </c>
      <c r="F23" s="441">
        <f>SUM(F24:F25)</f>
        <v>0</v>
      </c>
      <c r="G23" s="441">
        <f>SUM(G24:G25)</f>
        <v>0</v>
      </c>
      <c r="H23" s="446"/>
      <c r="I23" s="446"/>
      <c r="J23" s="446"/>
      <c r="K23" s="446"/>
      <c r="L23" s="441"/>
      <c r="M23" s="442">
        <f>SUM(M24:M25)</f>
        <v>0</v>
      </c>
      <c r="N23" s="442">
        <f>SUM(N24:N25)</f>
        <v>0</v>
      </c>
      <c r="O23" s="442">
        <f>SUM(O24:O25)</f>
        <v>0</v>
      </c>
      <c r="P23" s="442">
        <f t="shared" ref="P23:AC23" si="10">SUM(P24:P25)</f>
        <v>0</v>
      </c>
      <c r="Q23" s="442">
        <f t="shared" si="10"/>
        <v>0</v>
      </c>
      <c r="R23" s="442">
        <f t="shared" si="10"/>
        <v>0</v>
      </c>
      <c r="S23" s="442">
        <f t="shared" si="10"/>
        <v>0</v>
      </c>
      <c r="T23" s="442">
        <f t="shared" si="10"/>
        <v>0</v>
      </c>
      <c r="U23" s="442">
        <f t="shared" si="10"/>
        <v>0</v>
      </c>
      <c r="V23" s="442">
        <f t="shared" si="10"/>
        <v>0</v>
      </c>
      <c r="W23" s="442">
        <f t="shared" si="10"/>
        <v>0</v>
      </c>
      <c r="X23" s="442">
        <f t="shared" si="10"/>
        <v>0</v>
      </c>
      <c r="Y23" s="442">
        <f t="shared" si="10"/>
        <v>0</v>
      </c>
      <c r="Z23" s="442">
        <f t="shared" si="10"/>
        <v>0</v>
      </c>
      <c r="AA23" s="442">
        <f t="shared" si="10"/>
        <v>0</v>
      </c>
      <c r="AB23" s="442">
        <f t="shared" si="10"/>
        <v>0</v>
      </c>
      <c r="AC23" s="442">
        <f t="shared" si="10"/>
        <v>0</v>
      </c>
      <c r="AD23" s="619">
        <f t="shared" si="1"/>
        <v>0</v>
      </c>
      <c r="AE23" s="354"/>
      <c r="AF23" s="354"/>
    </row>
    <row r="24" spans="1:32" s="354" customFormat="1" ht="18" customHeight="1" x14ac:dyDescent="0.2">
      <c r="A24" s="117">
        <v>51601</v>
      </c>
      <c r="B24" s="116" t="s">
        <v>356</v>
      </c>
      <c r="C24" s="163"/>
      <c r="D24" s="163"/>
      <c r="E24" s="163"/>
      <c r="F24" s="441"/>
      <c r="G24" s="442">
        <f>SUM(C24:F24)</f>
        <v>0</v>
      </c>
      <c r="H24" s="446"/>
      <c r="I24" s="446"/>
      <c r="J24" s="446"/>
      <c r="K24" s="446"/>
      <c r="L24" s="441">
        <f t="shared" si="2"/>
        <v>0</v>
      </c>
      <c r="M24" s="442"/>
      <c r="N24" s="442"/>
      <c r="O24" s="442"/>
      <c r="P24" s="442">
        <v>0</v>
      </c>
      <c r="Q24" s="442">
        <f t="shared" si="6"/>
        <v>0</v>
      </c>
      <c r="R24" s="446"/>
      <c r="S24" s="446"/>
      <c r="T24" s="446"/>
      <c r="U24" s="441">
        <f t="shared" si="3"/>
        <v>0</v>
      </c>
      <c r="V24" s="446"/>
      <c r="W24" s="446"/>
      <c r="X24" s="446"/>
      <c r="Y24" s="441">
        <f t="shared" si="4"/>
        <v>0</v>
      </c>
      <c r="Z24" s="446"/>
      <c r="AA24" s="446"/>
      <c r="AB24" s="446"/>
      <c r="AC24" s="441">
        <f t="shared" si="5"/>
        <v>0</v>
      </c>
      <c r="AD24" s="619">
        <f t="shared" si="1"/>
        <v>0</v>
      </c>
    </row>
    <row r="25" spans="1:32" s="357" customFormat="1" ht="18" customHeight="1" x14ac:dyDescent="0.2">
      <c r="A25" s="117">
        <v>51602</v>
      </c>
      <c r="B25" s="116" t="s">
        <v>357</v>
      </c>
      <c r="C25" s="163"/>
      <c r="D25" s="163"/>
      <c r="E25" s="163"/>
      <c r="F25" s="441"/>
      <c r="G25" s="442">
        <f>SUM(C25:F25)</f>
        <v>0</v>
      </c>
      <c r="H25" s="446"/>
      <c r="I25" s="446"/>
      <c r="J25" s="446"/>
      <c r="K25" s="446"/>
      <c r="L25" s="441">
        <f t="shared" si="2"/>
        <v>0</v>
      </c>
      <c r="M25" s="442"/>
      <c r="N25" s="442"/>
      <c r="O25" s="442"/>
      <c r="P25" s="442">
        <v>0</v>
      </c>
      <c r="Q25" s="442">
        <f t="shared" si="6"/>
        <v>0</v>
      </c>
      <c r="R25" s="446"/>
      <c r="S25" s="446"/>
      <c r="T25" s="446"/>
      <c r="U25" s="441">
        <f t="shared" si="3"/>
        <v>0</v>
      </c>
      <c r="V25" s="446"/>
      <c r="W25" s="446"/>
      <c r="X25" s="446"/>
      <c r="Y25" s="441">
        <f t="shared" si="4"/>
        <v>0</v>
      </c>
      <c r="Z25" s="446"/>
      <c r="AA25" s="446"/>
      <c r="AB25" s="446"/>
      <c r="AC25" s="441">
        <f t="shared" si="5"/>
        <v>0</v>
      </c>
      <c r="AD25" s="619">
        <f t="shared" si="1"/>
        <v>0</v>
      </c>
      <c r="AE25" s="354"/>
      <c r="AF25" s="354"/>
    </row>
    <row r="26" spans="1:32" s="357" customFormat="1" ht="18" customHeight="1" x14ac:dyDescent="0.2">
      <c r="A26" s="443">
        <v>517</v>
      </c>
      <c r="B26" s="121" t="s">
        <v>396</v>
      </c>
      <c r="C26" s="441">
        <f>C27</f>
        <v>0</v>
      </c>
      <c r="D26" s="441">
        <f>D27</f>
        <v>0</v>
      </c>
      <c r="E26" s="441">
        <f>E27</f>
        <v>0</v>
      </c>
      <c r="F26" s="441">
        <f>F27</f>
        <v>0</v>
      </c>
      <c r="G26" s="441">
        <f>G27</f>
        <v>0</v>
      </c>
      <c r="H26" s="446"/>
      <c r="I26" s="446"/>
      <c r="J26" s="446"/>
      <c r="K26" s="446"/>
      <c r="L26" s="441"/>
      <c r="M26" s="442">
        <f>M27</f>
        <v>0</v>
      </c>
      <c r="N26" s="442">
        <f>N27</f>
        <v>0</v>
      </c>
      <c r="O26" s="442">
        <f>O27</f>
        <v>0</v>
      </c>
      <c r="P26" s="442">
        <f t="shared" ref="P26:AC26" si="11">P27</f>
        <v>0</v>
      </c>
      <c r="Q26" s="442">
        <f t="shared" si="11"/>
        <v>0</v>
      </c>
      <c r="R26" s="442">
        <f t="shared" si="11"/>
        <v>0</v>
      </c>
      <c r="S26" s="442">
        <f t="shared" si="11"/>
        <v>0</v>
      </c>
      <c r="T26" s="442">
        <f t="shared" si="11"/>
        <v>0</v>
      </c>
      <c r="U26" s="442">
        <f t="shared" si="11"/>
        <v>0</v>
      </c>
      <c r="V26" s="442">
        <f t="shared" si="11"/>
        <v>0</v>
      </c>
      <c r="W26" s="442">
        <f t="shared" si="11"/>
        <v>0</v>
      </c>
      <c r="X26" s="442">
        <f t="shared" si="11"/>
        <v>0</v>
      </c>
      <c r="Y26" s="442">
        <f t="shared" si="11"/>
        <v>0</v>
      </c>
      <c r="Z26" s="442">
        <f t="shared" si="11"/>
        <v>0</v>
      </c>
      <c r="AA26" s="442">
        <f t="shared" si="11"/>
        <v>0</v>
      </c>
      <c r="AB26" s="442">
        <f t="shared" si="11"/>
        <v>0</v>
      </c>
      <c r="AC26" s="442">
        <f t="shared" si="11"/>
        <v>0</v>
      </c>
      <c r="AD26" s="619">
        <f t="shared" si="1"/>
        <v>0</v>
      </c>
      <c r="AE26" s="354"/>
      <c r="AF26" s="354"/>
    </row>
    <row r="27" spans="1:32" s="357" customFormat="1" ht="18" customHeight="1" x14ac:dyDescent="0.2">
      <c r="A27" s="117">
        <v>51701</v>
      </c>
      <c r="B27" s="116" t="s">
        <v>397</v>
      </c>
      <c r="C27" s="163">
        <v>0</v>
      </c>
      <c r="D27" s="163">
        <v>0</v>
      </c>
      <c r="E27" s="163">
        <v>0</v>
      </c>
      <c r="F27" s="441">
        <v>0</v>
      </c>
      <c r="G27" s="442">
        <f>SUM(C27:F27)</f>
        <v>0</v>
      </c>
      <c r="H27" s="446"/>
      <c r="I27" s="446"/>
      <c r="J27" s="446"/>
      <c r="K27" s="446"/>
      <c r="L27" s="441">
        <f t="shared" si="2"/>
        <v>0</v>
      </c>
      <c r="M27" s="442">
        <v>0</v>
      </c>
      <c r="N27" s="442">
        <v>0</v>
      </c>
      <c r="O27" s="442">
        <v>0</v>
      </c>
      <c r="P27" s="442">
        <v>0</v>
      </c>
      <c r="Q27" s="442">
        <f t="shared" si="6"/>
        <v>0</v>
      </c>
      <c r="R27" s="446"/>
      <c r="S27" s="446"/>
      <c r="T27" s="446"/>
      <c r="U27" s="441">
        <f t="shared" si="3"/>
        <v>0</v>
      </c>
      <c r="V27" s="446"/>
      <c r="W27" s="446"/>
      <c r="X27" s="446"/>
      <c r="Y27" s="441">
        <f t="shared" si="4"/>
        <v>0</v>
      </c>
      <c r="Z27" s="446"/>
      <c r="AA27" s="446"/>
      <c r="AB27" s="446"/>
      <c r="AC27" s="441">
        <f t="shared" si="5"/>
        <v>0</v>
      </c>
      <c r="AD27" s="619">
        <f t="shared" si="1"/>
        <v>0</v>
      </c>
      <c r="AE27" s="354"/>
      <c r="AF27" s="354"/>
    </row>
    <row r="28" spans="1:32" s="354" customFormat="1" ht="18" customHeight="1" x14ac:dyDescent="0.2">
      <c r="A28" s="117"/>
      <c r="B28" s="116"/>
      <c r="C28" s="163"/>
      <c r="D28" s="163"/>
      <c r="E28" s="163"/>
      <c r="F28" s="441"/>
      <c r="G28" s="442"/>
      <c r="H28" s="441"/>
      <c r="I28" s="441"/>
      <c r="J28" s="441"/>
      <c r="K28" s="441"/>
      <c r="L28" s="441"/>
      <c r="M28" s="442"/>
      <c r="N28" s="442"/>
      <c r="O28" s="442"/>
      <c r="P28" s="442"/>
      <c r="Q28" s="442"/>
      <c r="R28" s="446"/>
      <c r="S28" s="446"/>
      <c r="T28" s="446"/>
      <c r="U28" s="441"/>
      <c r="V28" s="446"/>
      <c r="W28" s="446"/>
      <c r="X28" s="446"/>
      <c r="Y28" s="441"/>
      <c r="Z28" s="446"/>
      <c r="AA28" s="446"/>
      <c r="AB28" s="446"/>
      <c r="AC28" s="441"/>
      <c r="AD28" s="619">
        <f t="shared" si="1"/>
        <v>0</v>
      </c>
    </row>
    <row r="29" spans="1:32" s="354" customFormat="1" ht="18" customHeight="1" x14ac:dyDescent="0.2">
      <c r="A29" s="443">
        <v>54</v>
      </c>
      <c r="B29" s="121" t="s">
        <v>382</v>
      </c>
      <c r="C29" s="526">
        <f>C30+C52+C57+C72+C77</f>
        <v>198545.05</v>
      </c>
      <c r="D29" s="441">
        <f>D30+D52+D57+D72+D77</f>
        <v>0</v>
      </c>
      <c r="E29" s="441">
        <f>E30+E52+E57+E72+E77</f>
        <v>87000</v>
      </c>
      <c r="F29" s="441">
        <f>F30+F52+F57+F72+F77</f>
        <v>440999.53</v>
      </c>
      <c r="G29" s="526">
        <f>G30+G52+G57+G72+G77</f>
        <v>726544.58</v>
      </c>
      <c r="H29" s="446"/>
      <c r="I29" s="446"/>
      <c r="J29" s="446"/>
      <c r="K29" s="446"/>
      <c r="L29" s="441"/>
      <c r="M29" s="442">
        <f>M30+M52+M57+M72+M77</f>
        <v>56879.12</v>
      </c>
      <c r="N29" s="442">
        <f>N30+N52+N57+N72+N77</f>
        <v>331865</v>
      </c>
      <c r="O29" s="442">
        <f>O30+O52+O57+O72+O77</f>
        <v>28969.9</v>
      </c>
      <c r="P29" s="442">
        <f>P30+P52+P57+P72+P77</f>
        <v>158078.65</v>
      </c>
      <c r="Q29" s="442">
        <f>Q30+Q52+Q57+Q72+Q77</f>
        <v>575792.66999999993</v>
      </c>
      <c r="R29" s="442">
        <f t="shared" ref="R29:AC29" si="12">R30+R52+R57+R72+R77</f>
        <v>0</v>
      </c>
      <c r="S29" s="442">
        <f t="shared" si="12"/>
        <v>0</v>
      </c>
      <c r="T29" s="442">
        <f t="shared" si="12"/>
        <v>0</v>
      </c>
      <c r="U29" s="442">
        <f t="shared" si="12"/>
        <v>0</v>
      </c>
      <c r="V29" s="442">
        <f t="shared" si="12"/>
        <v>0</v>
      </c>
      <c r="W29" s="442">
        <f t="shared" si="12"/>
        <v>0</v>
      </c>
      <c r="X29" s="442">
        <f t="shared" si="12"/>
        <v>0</v>
      </c>
      <c r="Y29" s="442">
        <f t="shared" si="12"/>
        <v>0</v>
      </c>
      <c r="Z29" s="442">
        <f t="shared" si="12"/>
        <v>0</v>
      </c>
      <c r="AA29" s="442">
        <f t="shared" si="12"/>
        <v>0</v>
      </c>
      <c r="AB29" s="442">
        <f t="shared" si="12"/>
        <v>0</v>
      </c>
      <c r="AC29" s="442">
        <f t="shared" si="12"/>
        <v>0</v>
      </c>
      <c r="AD29" s="619">
        <f t="shared" si="1"/>
        <v>1302337.25</v>
      </c>
    </row>
    <row r="30" spans="1:32" s="357" customFormat="1" ht="18" customHeight="1" x14ac:dyDescent="0.2">
      <c r="A30" s="443">
        <v>541</v>
      </c>
      <c r="B30" s="121" t="s">
        <v>108</v>
      </c>
      <c r="C30" s="441">
        <f>SUM(C31:C51)</f>
        <v>0</v>
      </c>
      <c r="D30" s="441">
        <f>SUM(D31:D51)</f>
        <v>0</v>
      </c>
      <c r="E30" s="441">
        <f>SUM(E31:E51)</f>
        <v>57000</v>
      </c>
      <c r="F30" s="441">
        <f>SUM(F31:F51)</f>
        <v>93999.53</v>
      </c>
      <c r="G30" s="441">
        <f>SUM(G31:G51)</f>
        <v>150999.53</v>
      </c>
      <c r="H30" s="446"/>
      <c r="I30" s="446"/>
      <c r="J30" s="446"/>
      <c r="K30" s="446"/>
      <c r="L30" s="441"/>
      <c r="M30" s="442">
        <f>SUM(M31:M51)</f>
        <v>21865.9</v>
      </c>
      <c r="N30" s="442">
        <f>SUM(N31:N51)</f>
        <v>169510</v>
      </c>
      <c r="O30" s="442">
        <f>SUM(O31:O51)</f>
        <v>17299.900000000001</v>
      </c>
      <c r="P30" s="442">
        <f>SUM(P31:P51)</f>
        <v>58678.65</v>
      </c>
      <c r="Q30" s="442">
        <f>SUM(Q31:Q51)</f>
        <v>267354.44999999995</v>
      </c>
      <c r="R30" s="442">
        <f t="shared" ref="R30:AC30" si="13">SUM(R31:R51)</f>
        <v>0</v>
      </c>
      <c r="S30" s="442">
        <f t="shared" si="13"/>
        <v>0</v>
      </c>
      <c r="T30" s="442">
        <f t="shared" si="13"/>
        <v>0</v>
      </c>
      <c r="U30" s="442">
        <f t="shared" si="13"/>
        <v>0</v>
      </c>
      <c r="V30" s="442">
        <f t="shared" si="13"/>
        <v>0</v>
      </c>
      <c r="W30" s="442">
        <f t="shared" si="13"/>
        <v>0</v>
      </c>
      <c r="X30" s="442">
        <f t="shared" si="13"/>
        <v>0</v>
      </c>
      <c r="Y30" s="442">
        <f t="shared" si="13"/>
        <v>0</v>
      </c>
      <c r="Z30" s="442">
        <f t="shared" si="13"/>
        <v>0</v>
      </c>
      <c r="AA30" s="442">
        <f t="shared" si="13"/>
        <v>0</v>
      </c>
      <c r="AB30" s="442">
        <f t="shared" si="13"/>
        <v>0</v>
      </c>
      <c r="AC30" s="442">
        <f t="shared" si="13"/>
        <v>0</v>
      </c>
      <c r="AD30" s="619">
        <f t="shared" si="1"/>
        <v>418353.98</v>
      </c>
      <c r="AE30" s="354"/>
      <c r="AF30" s="354"/>
    </row>
    <row r="31" spans="1:32" s="354" customFormat="1" ht="18" customHeight="1" x14ac:dyDescent="0.2">
      <c r="A31" s="117">
        <v>54101</v>
      </c>
      <c r="B31" s="116" t="s">
        <v>291</v>
      </c>
      <c r="C31" s="163">
        <f>EgreUP01!C13</f>
        <v>0</v>
      </c>
      <c r="D31" s="163">
        <f>EgreUP01!C107</f>
        <v>0</v>
      </c>
      <c r="E31" s="163">
        <f>EgreUP02!C13</f>
        <v>0</v>
      </c>
      <c r="F31" s="441">
        <f>EgreUP02!C109</f>
        <v>0</v>
      </c>
      <c r="G31" s="442">
        <f>SUM(C31:F31)</f>
        <v>0</v>
      </c>
      <c r="H31" s="446"/>
      <c r="I31" s="446"/>
      <c r="J31" s="446"/>
      <c r="K31" s="446"/>
      <c r="L31" s="441">
        <f t="shared" si="2"/>
        <v>0</v>
      </c>
      <c r="M31" s="442">
        <f>EgreUP01!D13</f>
        <v>6650</v>
      </c>
      <c r="N31" s="442">
        <f>EgreUP01!D107</f>
        <v>21800</v>
      </c>
      <c r="O31" s="442">
        <f>EgreUP02!D13</f>
        <v>0</v>
      </c>
      <c r="P31" s="442">
        <f>EgreUP02!D109</f>
        <v>0</v>
      </c>
      <c r="Q31" s="442">
        <f t="shared" ref="Q31:Q81" si="14">SUM(M31:P31)</f>
        <v>28450</v>
      </c>
      <c r="R31" s="446"/>
      <c r="S31" s="446"/>
      <c r="T31" s="446"/>
      <c r="U31" s="441">
        <f t="shared" si="3"/>
        <v>0</v>
      </c>
      <c r="V31" s="446"/>
      <c r="W31" s="446"/>
      <c r="X31" s="446"/>
      <c r="Y31" s="441">
        <f t="shared" si="4"/>
        <v>0</v>
      </c>
      <c r="Z31" s="446"/>
      <c r="AA31" s="446"/>
      <c r="AB31" s="446"/>
      <c r="AC31" s="441">
        <f t="shared" si="5"/>
        <v>0</v>
      </c>
      <c r="AD31" s="619">
        <f t="shared" si="1"/>
        <v>28450</v>
      </c>
    </row>
    <row r="32" spans="1:32" s="354" customFormat="1" ht="18" customHeight="1" x14ac:dyDescent="0.2">
      <c r="A32" s="117">
        <v>54102</v>
      </c>
      <c r="B32" s="116" t="s">
        <v>844</v>
      </c>
      <c r="C32" s="163"/>
      <c r="D32" s="163"/>
      <c r="E32" s="163"/>
      <c r="F32" s="441"/>
      <c r="G32" s="442">
        <f>SUM(C32:F32)</f>
        <v>0</v>
      </c>
      <c r="H32" s="446"/>
      <c r="I32" s="446"/>
      <c r="J32" s="446"/>
      <c r="K32" s="446"/>
      <c r="L32" s="441">
        <f t="shared" si="2"/>
        <v>0</v>
      </c>
      <c r="M32" s="442"/>
      <c r="N32" s="442">
        <f>EgreUP01!D108</f>
        <v>2100</v>
      </c>
      <c r="O32" s="442"/>
      <c r="P32" s="442"/>
      <c r="Q32" s="442">
        <f t="shared" si="14"/>
        <v>2100</v>
      </c>
      <c r="R32" s="446"/>
      <c r="S32" s="446"/>
      <c r="T32" s="446"/>
      <c r="U32" s="441">
        <f t="shared" si="3"/>
        <v>0</v>
      </c>
      <c r="V32" s="446"/>
      <c r="W32" s="446"/>
      <c r="X32" s="446"/>
      <c r="Y32" s="441">
        <f t="shared" si="4"/>
        <v>0</v>
      </c>
      <c r="Z32" s="446"/>
      <c r="AA32" s="446"/>
      <c r="AB32" s="446"/>
      <c r="AC32" s="441">
        <f t="shared" si="5"/>
        <v>0</v>
      </c>
      <c r="AD32" s="619">
        <f t="shared" si="1"/>
        <v>2100</v>
      </c>
    </row>
    <row r="33" spans="1:32" s="354" customFormat="1" ht="18" customHeight="1" x14ac:dyDescent="0.2">
      <c r="A33" s="117">
        <v>54103</v>
      </c>
      <c r="B33" s="116" t="s">
        <v>292</v>
      </c>
      <c r="C33" s="163">
        <f>EgreUP01!C14</f>
        <v>0</v>
      </c>
      <c r="D33" s="163">
        <f>EgreUP01!C109</f>
        <v>0</v>
      </c>
      <c r="E33" s="163">
        <f>EgreUP02!C14</f>
        <v>0</v>
      </c>
      <c r="F33" s="441">
        <f>EgreUP02!C110</f>
        <v>0</v>
      </c>
      <c r="G33" s="442">
        <f t="shared" ref="G33:G100" si="15">SUM(C33:F33)</f>
        <v>0</v>
      </c>
      <c r="H33" s="441"/>
      <c r="I33" s="441"/>
      <c r="J33" s="441"/>
      <c r="K33" s="441"/>
      <c r="L33" s="441">
        <f t="shared" si="2"/>
        <v>0</v>
      </c>
      <c r="M33" s="442">
        <f>EgreUP01!D14</f>
        <v>0</v>
      </c>
      <c r="N33" s="442">
        <f>EgreUP01!D109</f>
        <v>16100</v>
      </c>
      <c r="O33" s="442">
        <f>EgreUP02!D14</f>
        <v>0</v>
      </c>
      <c r="P33" s="442">
        <f>EgreUP02!D110</f>
        <v>0</v>
      </c>
      <c r="Q33" s="442">
        <f t="shared" si="14"/>
        <v>16100</v>
      </c>
      <c r="R33" s="446"/>
      <c r="S33" s="446"/>
      <c r="T33" s="446"/>
      <c r="U33" s="441">
        <f t="shared" si="3"/>
        <v>0</v>
      </c>
      <c r="V33" s="446"/>
      <c r="W33" s="446"/>
      <c r="X33" s="446"/>
      <c r="Y33" s="441">
        <f t="shared" si="4"/>
        <v>0</v>
      </c>
      <c r="Z33" s="446"/>
      <c r="AA33" s="446"/>
      <c r="AB33" s="446"/>
      <c r="AC33" s="441">
        <f t="shared" si="5"/>
        <v>0</v>
      </c>
      <c r="AD33" s="619">
        <f t="shared" si="1"/>
        <v>16100</v>
      </c>
    </row>
    <row r="34" spans="1:32" s="357" customFormat="1" ht="18" customHeight="1" x14ac:dyDescent="0.2">
      <c r="A34" s="117">
        <v>54104</v>
      </c>
      <c r="B34" s="116" t="s">
        <v>293</v>
      </c>
      <c r="C34" s="163">
        <f>EgreUP01!C15</f>
        <v>0</v>
      </c>
      <c r="D34" s="163">
        <f>EgreUP01!C110</f>
        <v>0</v>
      </c>
      <c r="E34" s="163">
        <f>EgreUP02!C15</f>
        <v>0</v>
      </c>
      <c r="F34" s="441">
        <f>EgreUP02!C111</f>
        <v>0</v>
      </c>
      <c r="G34" s="442">
        <f t="shared" si="15"/>
        <v>0</v>
      </c>
      <c r="H34" s="446"/>
      <c r="I34" s="446"/>
      <c r="J34" s="446"/>
      <c r="K34" s="446"/>
      <c r="L34" s="441">
        <f t="shared" si="2"/>
        <v>0</v>
      </c>
      <c r="M34" s="442">
        <f>EgreUP01!D15</f>
        <v>0</v>
      </c>
      <c r="N34" s="442">
        <f>EgreUP01!D110</f>
        <v>20500</v>
      </c>
      <c r="O34" s="442">
        <f>EgreUP02!D15</f>
        <v>0</v>
      </c>
      <c r="P34" s="442">
        <f>EgreUP02!D111</f>
        <v>0</v>
      </c>
      <c r="Q34" s="442">
        <f t="shared" si="14"/>
        <v>20500</v>
      </c>
      <c r="R34" s="446"/>
      <c r="S34" s="446"/>
      <c r="T34" s="446"/>
      <c r="U34" s="441">
        <f t="shared" si="3"/>
        <v>0</v>
      </c>
      <c r="V34" s="446"/>
      <c r="W34" s="446"/>
      <c r="X34" s="446"/>
      <c r="Y34" s="441">
        <f t="shared" si="4"/>
        <v>0</v>
      </c>
      <c r="Z34" s="446"/>
      <c r="AA34" s="446"/>
      <c r="AB34" s="446"/>
      <c r="AC34" s="441">
        <f t="shared" si="5"/>
        <v>0</v>
      </c>
      <c r="AD34" s="619">
        <f t="shared" si="1"/>
        <v>20500</v>
      </c>
      <c r="AE34" s="354"/>
      <c r="AF34" s="354"/>
    </row>
    <row r="35" spans="1:32" s="357" customFormat="1" ht="18" customHeight="1" x14ac:dyDescent="0.2">
      <c r="A35" s="117">
        <v>54105</v>
      </c>
      <c r="B35" s="116" t="s">
        <v>294</v>
      </c>
      <c r="C35" s="163">
        <f>EgreUP01!C16</f>
        <v>0</v>
      </c>
      <c r="D35" s="163">
        <f>EgreUP01!C111</f>
        <v>0</v>
      </c>
      <c r="E35" s="163">
        <f>EgreUP02!C16</f>
        <v>0</v>
      </c>
      <c r="F35" s="441">
        <f>EgreUP02!C112</f>
        <v>0</v>
      </c>
      <c r="G35" s="442">
        <f t="shared" si="15"/>
        <v>0</v>
      </c>
      <c r="H35" s="446"/>
      <c r="I35" s="446"/>
      <c r="J35" s="446"/>
      <c r="K35" s="446"/>
      <c r="L35" s="441">
        <f t="shared" si="2"/>
        <v>0</v>
      </c>
      <c r="M35" s="442">
        <f>EgreUP01!D16</f>
        <v>425</v>
      </c>
      <c r="N35" s="442">
        <f>EgreUP01!D111</f>
        <v>700</v>
      </c>
      <c r="O35" s="442">
        <f>EgreUP02!D16</f>
        <v>5000</v>
      </c>
      <c r="P35" s="442">
        <f>EgreUP02!D112</f>
        <v>0</v>
      </c>
      <c r="Q35" s="442">
        <f t="shared" si="14"/>
        <v>6125</v>
      </c>
      <c r="R35" s="446"/>
      <c r="S35" s="446"/>
      <c r="T35" s="446"/>
      <c r="U35" s="441">
        <f t="shared" si="3"/>
        <v>0</v>
      </c>
      <c r="V35" s="446"/>
      <c r="W35" s="446"/>
      <c r="X35" s="446"/>
      <c r="Y35" s="441">
        <f t="shared" si="4"/>
        <v>0</v>
      </c>
      <c r="Z35" s="446"/>
      <c r="AA35" s="446"/>
      <c r="AB35" s="446"/>
      <c r="AC35" s="441">
        <f t="shared" si="5"/>
        <v>0</v>
      </c>
      <c r="AD35" s="619">
        <f t="shared" si="1"/>
        <v>6125</v>
      </c>
      <c r="AE35" s="354"/>
      <c r="AF35" s="354"/>
    </row>
    <row r="36" spans="1:32" s="354" customFormat="1" ht="18" customHeight="1" x14ac:dyDescent="0.2">
      <c r="A36" s="117">
        <v>54106</v>
      </c>
      <c r="B36" s="116" t="s">
        <v>295</v>
      </c>
      <c r="C36" s="163">
        <f>EgreUP01!C17</f>
        <v>0</v>
      </c>
      <c r="D36" s="163">
        <f>EgreUP01!C112</f>
        <v>0</v>
      </c>
      <c r="E36" s="163">
        <f>EgreUP02!C17</f>
        <v>0</v>
      </c>
      <c r="F36" s="441">
        <f>EgreUP02!C113</f>
        <v>0</v>
      </c>
      <c r="G36" s="442">
        <f t="shared" si="15"/>
        <v>0</v>
      </c>
      <c r="H36" s="441"/>
      <c r="I36" s="441"/>
      <c r="J36" s="441"/>
      <c r="K36" s="441"/>
      <c r="L36" s="441">
        <f t="shared" si="2"/>
        <v>0</v>
      </c>
      <c r="M36" s="442">
        <f>EgreUP01!D17</f>
        <v>45</v>
      </c>
      <c r="N36" s="442">
        <f>EgreUP01!D112</f>
        <v>7000</v>
      </c>
      <c r="O36" s="442">
        <f>EgreUP02!D17</f>
        <v>0</v>
      </c>
      <c r="P36" s="442">
        <f>EgreUP02!D113</f>
        <v>4080</v>
      </c>
      <c r="Q36" s="442">
        <f t="shared" si="14"/>
        <v>11125</v>
      </c>
      <c r="R36" s="446"/>
      <c r="S36" s="446"/>
      <c r="T36" s="446"/>
      <c r="U36" s="441">
        <f t="shared" si="3"/>
        <v>0</v>
      </c>
      <c r="V36" s="446"/>
      <c r="W36" s="446"/>
      <c r="X36" s="446"/>
      <c r="Y36" s="441">
        <f t="shared" si="4"/>
        <v>0</v>
      </c>
      <c r="Z36" s="446"/>
      <c r="AA36" s="446"/>
      <c r="AB36" s="446"/>
      <c r="AC36" s="441">
        <f t="shared" si="5"/>
        <v>0</v>
      </c>
      <c r="AD36" s="619">
        <f t="shared" si="1"/>
        <v>11125</v>
      </c>
    </row>
    <row r="37" spans="1:32" s="354" customFormat="1" ht="18" customHeight="1" x14ac:dyDescent="0.2">
      <c r="A37" s="117">
        <v>54107</v>
      </c>
      <c r="B37" s="116" t="s">
        <v>296</v>
      </c>
      <c r="C37" s="163">
        <f>EgreUP01!C18</f>
        <v>0</v>
      </c>
      <c r="D37" s="163">
        <f>EgreUP01!C113</f>
        <v>0</v>
      </c>
      <c r="E37" s="163">
        <f>EgreUP02!C18</f>
        <v>0</v>
      </c>
      <c r="F37" s="441">
        <f>EgreUP02!C114</f>
        <v>0</v>
      </c>
      <c r="G37" s="442">
        <f t="shared" si="15"/>
        <v>0</v>
      </c>
      <c r="H37" s="441"/>
      <c r="I37" s="441"/>
      <c r="J37" s="441"/>
      <c r="K37" s="441"/>
      <c r="L37" s="441">
        <f t="shared" si="2"/>
        <v>0</v>
      </c>
      <c r="M37" s="442">
        <f>EgreUP01!D18</f>
        <v>315</v>
      </c>
      <c r="N37" s="442">
        <f>EgreUP01!D113</f>
        <v>18440</v>
      </c>
      <c r="O37" s="442">
        <f>EgreUP02!D18</f>
        <v>1500</v>
      </c>
      <c r="P37" s="442">
        <f>EgreUP02!D114</f>
        <v>19663.650000000001</v>
      </c>
      <c r="Q37" s="442">
        <f t="shared" si="14"/>
        <v>39918.65</v>
      </c>
      <c r="R37" s="446"/>
      <c r="S37" s="446"/>
      <c r="T37" s="446"/>
      <c r="U37" s="441">
        <f t="shared" si="3"/>
        <v>0</v>
      </c>
      <c r="V37" s="446"/>
      <c r="W37" s="446"/>
      <c r="X37" s="446"/>
      <c r="Y37" s="441">
        <f t="shared" si="4"/>
        <v>0</v>
      </c>
      <c r="Z37" s="446"/>
      <c r="AA37" s="446"/>
      <c r="AB37" s="446"/>
      <c r="AC37" s="441">
        <f t="shared" si="5"/>
        <v>0</v>
      </c>
      <c r="AD37" s="619">
        <f t="shared" si="1"/>
        <v>39918.65</v>
      </c>
    </row>
    <row r="38" spans="1:32" s="357" customFormat="1" ht="18" customHeight="1" x14ac:dyDescent="0.2">
      <c r="A38" s="117">
        <v>54108</v>
      </c>
      <c r="B38" s="116" t="s">
        <v>297</v>
      </c>
      <c r="C38" s="163">
        <f>EgreUP01!C19</f>
        <v>0</v>
      </c>
      <c r="D38" s="163">
        <f>EgreUP01!C114</f>
        <v>0</v>
      </c>
      <c r="E38" s="163">
        <f>EgreUP02!C19</f>
        <v>0</v>
      </c>
      <c r="F38" s="441">
        <f>EgreUP02!C115</f>
        <v>0</v>
      </c>
      <c r="G38" s="442">
        <f t="shared" si="15"/>
        <v>0</v>
      </c>
      <c r="H38" s="446"/>
      <c r="I38" s="446"/>
      <c r="J38" s="446"/>
      <c r="K38" s="446"/>
      <c r="L38" s="441">
        <f t="shared" si="2"/>
        <v>0</v>
      </c>
      <c r="M38" s="442">
        <f>EgreUP01!D19</f>
        <v>0</v>
      </c>
      <c r="N38" s="442">
        <f>EgreUP01!D114</f>
        <v>3100</v>
      </c>
      <c r="O38" s="442">
        <f>EgreUP02!D19</f>
        <v>0</v>
      </c>
      <c r="P38" s="442">
        <f>EgreUP02!D115</f>
        <v>0</v>
      </c>
      <c r="Q38" s="442">
        <f t="shared" si="14"/>
        <v>3100</v>
      </c>
      <c r="R38" s="446"/>
      <c r="S38" s="446"/>
      <c r="T38" s="446"/>
      <c r="U38" s="441">
        <f t="shared" si="3"/>
        <v>0</v>
      </c>
      <c r="V38" s="446"/>
      <c r="W38" s="446"/>
      <c r="X38" s="446"/>
      <c r="Y38" s="441">
        <f t="shared" si="4"/>
        <v>0</v>
      </c>
      <c r="Z38" s="446"/>
      <c r="AA38" s="446"/>
      <c r="AB38" s="446"/>
      <c r="AC38" s="441">
        <f t="shared" si="5"/>
        <v>0</v>
      </c>
      <c r="AD38" s="619">
        <f t="shared" si="1"/>
        <v>3100</v>
      </c>
      <c r="AE38" s="354"/>
      <c r="AF38" s="354"/>
    </row>
    <row r="39" spans="1:32" s="357" customFormat="1" ht="18" customHeight="1" x14ac:dyDescent="0.2">
      <c r="A39" s="117">
        <v>54109</v>
      </c>
      <c r="B39" s="116" t="s">
        <v>298</v>
      </c>
      <c r="C39" s="163">
        <f>EgreUP01!C20</f>
        <v>0</v>
      </c>
      <c r="D39" s="163">
        <f>EgreUP01!C115</f>
        <v>0</v>
      </c>
      <c r="E39" s="163">
        <f>EgreUP02!C20</f>
        <v>12000</v>
      </c>
      <c r="F39" s="441">
        <f>EgreUP02!C116</f>
        <v>25000</v>
      </c>
      <c r="G39" s="442">
        <f t="shared" si="15"/>
        <v>37000</v>
      </c>
      <c r="H39" s="446"/>
      <c r="I39" s="446"/>
      <c r="J39" s="446"/>
      <c r="K39" s="446"/>
      <c r="L39" s="441">
        <f t="shared" si="2"/>
        <v>0</v>
      </c>
      <c r="M39" s="442">
        <f>EgreUP01!D20</f>
        <v>0</v>
      </c>
      <c r="N39" s="442">
        <f>EgreUP01!D115</f>
        <v>19200</v>
      </c>
      <c r="O39" s="442">
        <f>EgreUP02!D20</f>
        <v>0</v>
      </c>
      <c r="P39" s="442">
        <f>EgreUP02!D116</f>
        <v>2671.5</v>
      </c>
      <c r="Q39" s="442">
        <f t="shared" si="14"/>
        <v>21871.5</v>
      </c>
      <c r="R39" s="446"/>
      <c r="S39" s="446"/>
      <c r="T39" s="446"/>
      <c r="U39" s="441">
        <f t="shared" si="3"/>
        <v>0</v>
      </c>
      <c r="V39" s="446"/>
      <c r="W39" s="446"/>
      <c r="X39" s="446"/>
      <c r="Y39" s="441">
        <f t="shared" si="4"/>
        <v>0</v>
      </c>
      <c r="Z39" s="446"/>
      <c r="AA39" s="446"/>
      <c r="AB39" s="446"/>
      <c r="AC39" s="441">
        <f t="shared" si="5"/>
        <v>0</v>
      </c>
      <c r="AD39" s="619">
        <f t="shared" si="1"/>
        <v>58871.5</v>
      </c>
      <c r="AE39" s="354"/>
      <c r="AF39" s="354"/>
    </row>
    <row r="40" spans="1:32" s="354" customFormat="1" ht="18" customHeight="1" x14ac:dyDescent="0.2">
      <c r="A40" s="117">
        <v>54110</v>
      </c>
      <c r="B40" s="116" t="s">
        <v>309</v>
      </c>
      <c r="C40" s="163">
        <f>EgreUP01!C21</f>
        <v>0</v>
      </c>
      <c r="D40" s="163">
        <f>EgreUP01!C116</f>
        <v>0</v>
      </c>
      <c r="E40" s="163">
        <f>EgreUP02!C21</f>
        <v>42000</v>
      </c>
      <c r="F40" s="441">
        <f>EgreUP02!C117</f>
        <v>42000</v>
      </c>
      <c r="G40" s="442">
        <f t="shared" si="15"/>
        <v>84000</v>
      </c>
      <c r="H40" s="441"/>
      <c r="I40" s="441"/>
      <c r="J40" s="441"/>
      <c r="K40" s="441"/>
      <c r="L40" s="441">
        <f t="shared" si="2"/>
        <v>0</v>
      </c>
      <c r="M40" s="442">
        <f>EgreUP01!D21</f>
        <v>0</v>
      </c>
      <c r="N40" s="442">
        <f>EgreUP01!D116</f>
        <v>700</v>
      </c>
      <c r="O40" s="442">
        <f>EgreUP02!D21</f>
        <v>0</v>
      </c>
      <c r="P40" s="442">
        <f>EgreUP02!D117</f>
        <v>463</v>
      </c>
      <c r="Q40" s="442">
        <f t="shared" si="14"/>
        <v>1163</v>
      </c>
      <c r="R40" s="446"/>
      <c r="S40" s="446"/>
      <c r="T40" s="446"/>
      <c r="U40" s="441">
        <f t="shared" si="3"/>
        <v>0</v>
      </c>
      <c r="V40" s="446"/>
      <c r="W40" s="446"/>
      <c r="X40" s="446"/>
      <c r="Y40" s="441">
        <f t="shared" si="4"/>
        <v>0</v>
      </c>
      <c r="Z40" s="446"/>
      <c r="AA40" s="446"/>
      <c r="AB40" s="446"/>
      <c r="AC40" s="441">
        <f t="shared" si="5"/>
        <v>0</v>
      </c>
      <c r="AD40" s="619">
        <f t="shared" si="1"/>
        <v>85163</v>
      </c>
    </row>
    <row r="41" spans="1:32" s="354" customFormat="1" ht="18" customHeight="1" x14ac:dyDescent="0.2">
      <c r="A41" s="117">
        <v>54111</v>
      </c>
      <c r="B41" s="116" t="s">
        <v>299</v>
      </c>
      <c r="C41" s="163">
        <f>EgreUP01!C22</f>
        <v>0</v>
      </c>
      <c r="D41" s="163">
        <f>EgreUP01!C117</f>
        <v>0</v>
      </c>
      <c r="E41" s="163">
        <f>EgreUP02!C22</f>
        <v>0</v>
      </c>
      <c r="F41" s="441">
        <f>EgreUP02!C118</f>
        <v>0</v>
      </c>
      <c r="G41" s="442">
        <f t="shared" si="15"/>
        <v>0</v>
      </c>
      <c r="H41" s="441"/>
      <c r="I41" s="441"/>
      <c r="J41" s="441"/>
      <c r="K41" s="441"/>
      <c r="L41" s="441">
        <f t="shared" si="2"/>
        <v>0</v>
      </c>
      <c r="M41" s="442">
        <f>EgreUP01!D22</f>
        <v>0</v>
      </c>
      <c r="N41" s="442">
        <f>EgreUP01!D117</f>
        <v>4530</v>
      </c>
      <c r="O41" s="442">
        <f>EgreUP02!D22</f>
        <v>0</v>
      </c>
      <c r="P41" s="442">
        <f>EgreUP02!D118</f>
        <v>1186</v>
      </c>
      <c r="Q41" s="442">
        <f t="shared" si="14"/>
        <v>5716</v>
      </c>
      <c r="R41" s="446"/>
      <c r="S41" s="446"/>
      <c r="T41" s="446"/>
      <c r="U41" s="441">
        <f t="shared" si="3"/>
        <v>0</v>
      </c>
      <c r="V41" s="446"/>
      <c r="W41" s="446"/>
      <c r="X41" s="446"/>
      <c r="Y41" s="441">
        <f t="shared" si="4"/>
        <v>0</v>
      </c>
      <c r="Z41" s="446"/>
      <c r="AA41" s="446"/>
      <c r="AB41" s="446"/>
      <c r="AC41" s="441">
        <f t="shared" si="5"/>
        <v>0</v>
      </c>
      <c r="AD41" s="619">
        <f t="shared" si="1"/>
        <v>5716</v>
      </c>
    </row>
    <row r="42" spans="1:32" s="357" customFormat="1" ht="18" customHeight="1" x14ac:dyDescent="0.2">
      <c r="A42" s="117">
        <v>54112</v>
      </c>
      <c r="B42" s="116" t="s">
        <v>300</v>
      </c>
      <c r="C42" s="163">
        <f>EgreUP01!C23</f>
        <v>0</v>
      </c>
      <c r="D42" s="163">
        <f>EgreUP01!C118</f>
        <v>0</v>
      </c>
      <c r="E42" s="163">
        <f>EgreUP02!C23</f>
        <v>0</v>
      </c>
      <c r="F42" s="441">
        <f>EgreUP02!C119</f>
        <v>0</v>
      </c>
      <c r="G42" s="442">
        <f t="shared" si="15"/>
        <v>0</v>
      </c>
      <c r="H42" s="446"/>
      <c r="I42" s="446"/>
      <c r="J42" s="446"/>
      <c r="K42" s="446"/>
      <c r="L42" s="441">
        <f t="shared" si="2"/>
        <v>0</v>
      </c>
      <c r="M42" s="442">
        <f>EgreUP01!D23</f>
        <v>0</v>
      </c>
      <c r="N42" s="442">
        <f>EgreUP01!D118</f>
        <v>8440</v>
      </c>
      <c r="O42" s="442">
        <f>EgreUP02!D23</f>
        <v>0</v>
      </c>
      <c r="P42" s="442">
        <f>EgreUP02!D119</f>
        <v>5730.03</v>
      </c>
      <c r="Q42" s="442">
        <f t="shared" si="14"/>
        <v>14170.029999999999</v>
      </c>
      <c r="R42" s="446"/>
      <c r="S42" s="446"/>
      <c r="T42" s="446"/>
      <c r="U42" s="441">
        <f t="shared" si="3"/>
        <v>0</v>
      </c>
      <c r="V42" s="446"/>
      <c r="W42" s="446"/>
      <c r="X42" s="446"/>
      <c r="Y42" s="441">
        <f t="shared" si="4"/>
        <v>0</v>
      </c>
      <c r="Z42" s="446"/>
      <c r="AA42" s="446"/>
      <c r="AB42" s="446"/>
      <c r="AC42" s="441">
        <f t="shared" si="5"/>
        <v>0</v>
      </c>
      <c r="AD42" s="619">
        <f t="shared" si="1"/>
        <v>14170.029999999999</v>
      </c>
      <c r="AE42" s="354"/>
      <c r="AF42" s="354"/>
    </row>
    <row r="43" spans="1:32" s="357" customFormat="1" ht="11.25" x14ac:dyDescent="0.2">
      <c r="A43" s="117">
        <v>54113</v>
      </c>
      <c r="B43" s="959" t="s">
        <v>923</v>
      </c>
      <c r="C43" s="163"/>
      <c r="D43" s="163"/>
      <c r="E43" s="163"/>
      <c r="F43" s="441"/>
      <c r="G43" s="442"/>
      <c r="H43" s="446"/>
      <c r="I43" s="446"/>
      <c r="J43" s="446"/>
      <c r="K43" s="446"/>
      <c r="L43" s="441">
        <f t="shared" si="2"/>
        <v>0</v>
      </c>
      <c r="M43" s="442">
        <f>EgreUP01!D24</f>
        <v>0</v>
      </c>
      <c r="N43" s="442">
        <f>EgreUP01!D119</f>
        <v>0</v>
      </c>
      <c r="O43" s="442"/>
      <c r="P43" s="442"/>
      <c r="Q43" s="442">
        <f t="shared" si="14"/>
        <v>0</v>
      </c>
      <c r="R43" s="446"/>
      <c r="S43" s="446"/>
      <c r="T43" s="446"/>
      <c r="U43" s="441"/>
      <c r="V43" s="446"/>
      <c r="W43" s="446"/>
      <c r="X43" s="446"/>
      <c r="Y43" s="441"/>
      <c r="Z43" s="446"/>
      <c r="AA43" s="446"/>
      <c r="AB43" s="446"/>
      <c r="AC43" s="441"/>
      <c r="AD43" s="619">
        <f t="shared" si="1"/>
        <v>0</v>
      </c>
      <c r="AE43" s="354"/>
      <c r="AF43" s="354"/>
    </row>
    <row r="44" spans="1:32" s="354" customFormat="1" ht="18" customHeight="1" x14ac:dyDescent="0.2">
      <c r="A44" s="117">
        <v>54114</v>
      </c>
      <c r="B44" s="116" t="s">
        <v>301</v>
      </c>
      <c r="C44" s="163">
        <f>EgreUP01!C25</f>
        <v>0</v>
      </c>
      <c r="D44" s="163">
        <f>EgreUP01!C120</f>
        <v>0</v>
      </c>
      <c r="E44" s="163">
        <f>EgreUP02!C24</f>
        <v>0</v>
      </c>
      <c r="F44" s="441">
        <f>EgreUP02!C120</f>
        <v>0</v>
      </c>
      <c r="G44" s="442">
        <f t="shared" si="15"/>
        <v>0</v>
      </c>
      <c r="H44" s="446"/>
      <c r="I44" s="446"/>
      <c r="J44" s="446"/>
      <c r="K44" s="446"/>
      <c r="L44" s="441">
        <f t="shared" si="2"/>
        <v>0</v>
      </c>
      <c r="M44" s="442">
        <f>EgreUP01!D25</f>
        <v>405</v>
      </c>
      <c r="N44" s="442">
        <f>EgreUP01!D120</f>
        <v>500</v>
      </c>
      <c r="O44" s="442">
        <f>EgreUP02!D24</f>
        <v>3000</v>
      </c>
      <c r="P44" s="442">
        <f>EgreUP02!D120</f>
        <v>0</v>
      </c>
      <c r="Q44" s="442">
        <f t="shared" si="14"/>
        <v>3905</v>
      </c>
      <c r="R44" s="446"/>
      <c r="S44" s="446"/>
      <c r="T44" s="446"/>
      <c r="U44" s="441">
        <f t="shared" si="3"/>
        <v>0</v>
      </c>
      <c r="V44" s="446"/>
      <c r="W44" s="446"/>
      <c r="X44" s="446"/>
      <c r="Y44" s="441">
        <f t="shared" si="4"/>
        <v>0</v>
      </c>
      <c r="Z44" s="446"/>
      <c r="AA44" s="446"/>
      <c r="AB44" s="446"/>
      <c r="AC44" s="441">
        <f t="shared" si="5"/>
        <v>0</v>
      </c>
      <c r="AD44" s="619">
        <f t="shared" si="1"/>
        <v>3905</v>
      </c>
    </row>
    <row r="45" spans="1:32" s="357" customFormat="1" ht="18" customHeight="1" x14ac:dyDescent="0.2">
      <c r="A45" s="117">
        <v>54115</v>
      </c>
      <c r="B45" s="116" t="s">
        <v>302</v>
      </c>
      <c r="C45" s="163">
        <f>EgreUP01!C26</f>
        <v>0</v>
      </c>
      <c r="D45" s="163">
        <f>EgreUP01!C121</f>
        <v>0</v>
      </c>
      <c r="E45" s="163">
        <f>EgreUP02!C25</f>
        <v>0</v>
      </c>
      <c r="F45" s="441">
        <f>EgreUP02!C121</f>
        <v>0</v>
      </c>
      <c r="G45" s="442">
        <f t="shared" si="15"/>
        <v>0</v>
      </c>
      <c r="H45" s="446"/>
      <c r="I45" s="446"/>
      <c r="J45" s="446"/>
      <c r="K45" s="446"/>
      <c r="L45" s="441">
        <f t="shared" si="2"/>
        <v>0</v>
      </c>
      <c r="M45" s="442">
        <f>EgreUP01!D26</f>
        <v>7700.9</v>
      </c>
      <c r="N45" s="442">
        <f>EgreUP01!D121</f>
        <v>1500</v>
      </c>
      <c r="O45" s="442">
        <f>EgreUP02!D25</f>
        <v>2799.9</v>
      </c>
      <c r="P45" s="442">
        <f>EgreUP02!D121</f>
        <v>0</v>
      </c>
      <c r="Q45" s="442">
        <f t="shared" si="14"/>
        <v>12000.8</v>
      </c>
      <c r="R45" s="446"/>
      <c r="S45" s="446"/>
      <c r="T45" s="446"/>
      <c r="U45" s="441">
        <f t="shared" si="3"/>
        <v>0</v>
      </c>
      <c r="V45" s="446"/>
      <c r="W45" s="446"/>
      <c r="X45" s="446"/>
      <c r="Y45" s="441">
        <f t="shared" si="4"/>
        <v>0</v>
      </c>
      <c r="Z45" s="446"/>
      <c r="AA45" s="446"/>
      <c r="AB45" s="446"/>
      <c r="AC45" s="441">
        <f t="shared" si="5"/>
        <v>0</v>
      </c>
      <c r="AD45" s="619">
        <f t="shared" si="1"/>
        <v>12000.8</v>
      </c>
      <c r="AE45" s="354"/>
      <c r="AF45" s="354"/>
    </row>
    <row r="46" spans="1:32" s="354" customFormat="1" ht="18" customHeight="1" x14ac:dyDescent="0.2">
      <c r="A46" s="117">
        <v>54116</v>
      </c>
      <c r="B46" s="116" t="s">
        <v>303</v>
      </c>
      <c r="C46" s="163">
        <f>EgreUP01!C27</f>
        <v>0</v>
      </c>
      <c r="D46" s="163">
        <f>EgreUP01!C122</f>
        <v>0</v>
      </c>
      <c r="E46" s="163">
        <f>EgreUP02!C26</f>
        <v>0</v>
      </c>
      <c r="F46" s="441">
        <f>EgreUP02!C122</f>
        <v>0</v>
      </c>
      <c r="G46" s="442">
        <f t="shared" si="15"/>
        <v>0</v>
      </c>
      <c r="H46" s="446"/>
      <c r="I46" s="446"/>
      <c r="J46" s="446"/>
      <c r="K46" s="446"/>
      <c r="L46" s="441">
        <f t="shared" si="2"/>
        <v>0</v>
      </c>
      <c r="M46" s="442">
        <f>EgreUP01!D27</f>
        <v>0</v>
      </c>
      <c r="N46" s="442">
        <f>EgreUP01!D122</f>
        <v>1000</v>
      </c>
      <c r="O46" s="442">
        <f>EgreUP02!D26</f>
        <v>0</v>
      </c>
      <c r="P46" s="442">
        <f>EgreUP02!D122</f>
        <v>0</v>
      </c>
      <c r="Q46" s="442">
        <f t="shared" si="14"/>
        <v>1000</v>
      </c>
      <c r="R46" s="446"/>
      <c r="S46" s="446"/>
      <c r="T46" s="446"/>
      <c r="U46" s="441">
        <f t="shared" si="3"/>
        <v>0</v>
      </c>
      <c r="V46" s="446"/>
      <c r="W46" s="446"/>
      <c r="X46" s="446"/>
      <c r="Y46" s="441">
        <f t="shared" si="4"/>
        <v>0</v>
      </c>
      <c r="Z46" s="446"/>
      <c r="AA46" s="446"/>
      <c r="AB46" s="446"/>
      <c r="AC46" s="441">
        <f t="shared" si="5"/>
        <v>0</v>
      </c>
      <c r="AD46" s="619">
        <f t="shared" si="1"/>
        <v>1000</v>
      </c>
    </row>
    <row r="47" spans="1:32" s="357" customFormat="1" ht="18" customHeight="1" x14ac:dyDescent="0.2">
      <c r="A47" s="117">
        <v>54117</v>
      </c>
      <c r="B47" s="116" t="s">
        <v>304</v>
      </c>
      <c r="C47" s="163">
        <f>EgreUP01!C28</f>
        <v>0</v>
      </c>
      <c r="D47" s="163">
        <f>EgreUP01!C123</f>
        <v>0</v>
      </c>
      <c r="E47" s="163">
        <f>EgreUP02!C27</f>
        <v>0</v>
      </c>
      <c r="F47" s="441">
        <f>EgreUP02!C123</f>
        <v>0</v>
      </c>
      <c r="G47" s="442">
        <f t="shared" si="15"/>
        <v>0</v>
      </c>
      <c r="H47" s="446"/>
      <c r="I47" s="446"/>
      <c r="J47" s="446"/>
      <c r="K47" s="446"/>
      <c r="L47" s="441">
        <f t="shared" si="2"/>
        <v>0</v>
      </c>
      <c r="M47" s="442">
        <f>EgreUP01!D28</f>
        <v>0</v>
      </c>
      <c r="N47" s="442">
        <f>EgreUP01!D123</f>
        <v>0</v>
      </c>
      <c r="O47" s="442">
        <f>EgreUP02!D27</f>
        <v>0</v>
      </c>
      <c r="P47" s="442">
        <f>EgreUP02!D123</f>
        <v>5800</v>
      </c>
      <c r="Q47" s="442">
        <f t="shared" si="14"/>
        <v>5800</v>
      </c>
      <c r="R47" s="446"/>
      <c r="S47" s="446"/>
      <c r="T47" s="446"/>
      <c r="U47" s="441">
        <f t="shared" si="3"/>
        <v>0</v>
      </c>
      <c r="V47" s="446"/>
      <c r="W47" s="446"/>
      <c r="X47" s="446"/>
      <c r="Y47" s="441">
        <f t="shared" si="4"/>
        <v>0</v>
      </c>
      <c r="Z47" s="446"/>
      <c r="AA47" s="446"/>
      <c r="AB47" s="446"/>
      <c r="AC47" s="441">
        <f t="shared" si="5"/>
        <v>0</v>
      </c>
      <c r="AD47" s="619">
        <f t="shared" si="1"/>
        <v>5800</v>
      </c>
      <c r="AE47" s="354"/>
      <c r="AF47" s="354"/>
    </row>
    <row r="48" spans="1:32" s="357" customFormat="1" ht="18" customHeight="1" x14ac:dyDescent="0.2">
      <c r="A48" s="117">
        <v>54118</v>
      </c>
      <c r="B48" s="116" t="s">
        <v>305</v>
      </c>
      <c r="C48" s="163">
        <f>EgreUP01!C29</f>
        <v>0</v>
      </c>
      <c r="D48" s="163">
        <f>EgreUP01!C124</f>
        <v>0</v>
      </c>
      <c r="E48" s="163">
        <f>EgreUP02!C28</f>
        <v>3000</v>
      </c>
      <c r="F48" s="441">
        <f>EgreUP02!C124</f>
        <v>0</v>
      </c>
      <c r="G48" s="442">
        <f t="shared" si="15"/>
        <v>3000</v>
      </c>
      <c r="H48" s="446"/>
      <c r="I48" s="446"/>
      <c r="J48" s="446"/>
      <c r="K48" s="446"/>
      <c r="L48" s="441">
        <f t="shared" si="2"/>
        <v>0</v>
      </c>
      <c r="M48" s="442">
        <f>EgreUP01!D29</f>
        <v>4145</v>
      </c>
      <c r="N48" s="442">
        <f>EgreUP01!D124</f>
        <v>1000</v>
      </c>
      <c r="O48" s="442">
        <f>EgreUP02!D28</f>
        <v>0</v>
      </c>
      <c r="P48" s="442">
        <f>EgreUP02!D124</f>
        <v>884</v>
      </c>
      <c r="Q48" s="442">
        <f t="shared" si="14"/>
        <v>6029</v>
      </c>
      <c r="R48" s="446"/>
      <c r="S48" s="446"/>
      <c r="T48" s="446"/>
      <c r="U48" s="441">
        <f t="shared" si="3"/>
        <v>0</v>
      </c>
      <c r="V48" s="446"/>
      <c r="W48" s="446"/>
      <c r="X48" s="446"/>
      <c r="Y48" s="441">
        <f t="shared" si="4"/>
        <v>0</v>
      </c>
      <c r="Z48" s="446"/>
      <c r="AA48" s="446"/>
      <c r="AB48" s="446"/>
      <c r="AC48" s="441">
        <f t="shared" si="5"/>
        <v>0</v>
      </c>
      <c r="AD48" s="619">
        <f t="shared" si="1"/>
        <v>9029</v>
      </c>
      <c r="AE48" s="354"/>
      <c r="AF48" s="354"/>
    </row>
    <row r="49" spans="1:32" s="357" customFormat="1" ht="18" customHeight="1" x14ac:dyDescent="0.2">
      <c r="A49" s="117">
        <v>54119</v>
      </c>
      <c r="B49" s="116" t="s">
        <v>306</v>
      </c>
      <c r="C49" s="163">
        <f>EgreUP01!C30</f>
        <v>0</v>
      </c>
      <c r="D49" s="163">
        <f>EgreUP01!C125</f>
        <v>0</v>
      </c>
      <c r="E49" s="163">
        <f>EgreUP02!C29</f>
        <v>0</v>
      </c>
      <c r="F49" s="441">
        <f>EgreUP02!C125</f>
        <v>26999.53</v>
      </c>
      <c r="G49" s="442">
        <f t="shared" si="15"/>
        <v>26999.53</v>
      </c>
      <c r="H49" s="446"/>
      <c r="I49" s="446"/>
      <c r="J49" s="446"/>
      <c r="K49" s="446"/>
      <c r="L49" s="441">
        <f t="shared" si="2"/>
        <v>0</v>
      </c>
      <c r="M49" s="442">
        <f>EgreUP01!D30</f>
        <v>0</v>
      </c>
      <c r="N49" s="442">
        <f>EgreUP01!D125</f>
        <v>0</v>
      </c>
      <c r="O49" s="442">
        <f>EgreUP02!D29</f>
        <v>0</v>
      </c>
      <c r="P49" s="442">
        <f>EgreUP02!D125</f>
        <v>18200.47</v>
      </c>
      <c r="Q49" s="442">
        <f t="shared" si="14"/>
        <v>18200.47</v>
      </c>
      <c r="R49" s="446"/>
      <c r="S49" s="446"/>
      <c r="T49" s="446"/>
      <c r="U49" s="441">
        <f t="shared" si="3"/>
        <v>0</v>
      </c>
      <c r="V49" s="446"/>
      <c r="W49" s="446"/>
      <c r="X49" s="446"/>
      <c r="Y49" s="441">
        <f t="shared" si="4"/>
        <v>0</v>
      </c>
      <c r="Z49" s="446"/>
      <c r="AA49" s="446"/>
      <c r="AB49" s="446"/>
      <c r="AC49" s="441">
        <f t="shared" si="5"/>
        <v>0</v>
      </c>
      <c r="AD49" s="619">
        <f t="shared" si="1"/>
        <v>45200</v>
      </c>
      <c r="AE49" s="354"/>
      <c r="AF49" s="354"/>
    </row>
    <row r="50" spans="1:32" s="357" customFormat="1" ht="18" customHeight="1" x14ac:dyDescent="0.2">
      <c r="A50" s="117">
        <v>54121</v>
      </c>
      <c r="B50" s="116" t="s">
        <v>307</v>
      </c>
      <c r="C50" s="163">
        <f>EgreUP01!C31</f>
        <v>0</v>
      </c>
      <c r="D50" s="163">
        <f>EgreUP01!C126</f>
        <v>0</v>
      </c>
      <c r="E50" s="163">
        <f>EgreUP02!C30</f>
        <v>0</v>
      </c>
      <c r="F50" s="441">
        <f>EgreUP02!C126</f>
        <v>0</v>
      </c>
      <c r="G50" s="442">
        <f t="shared" si="15"/>
        <v>0</v>
      </c>
      <c r="H50" s="446"/>
      <c r="I50" s="446"/>
      <c r="J50" s="446"/>
      <c r="K50" s="446"/>
      <c r="L50" s="441">
        <f t="shared" si="2"/>
        <v>0</v>
      </c>
      <c r="M50" s="442">
        <f>EgreUP01!D31</f>
        <v>0</v>
      </c>
      <c r="N50" s="442">
        <f>EgreUP01!D126</f>
        <v>31200</v>
      </c>
      <c r="O50" s="442">
        <f>EgreUP02!D30</f>
        <v>0</v>
      </c>
      <c r="P50" s="442">
        <f>EgreUP02!D126</f>
        <v>0</v>
      </c>
      <c r="Q50" s="442">
        <f t="shared" si="14"/>
        <v>31200</v>
      </c>
      <c r="R50" s="446"/>
      <c r="S50" s="446"/>
      <c r="T50" s="446"/>
      <c r="U50" s="441">
        <f t="shared" si="3"/>
        <v>0</v>
      </c>
      <c r="V50" s="446"/>
      <c r="W50" s="446"/>
      <c r="X50" s="446"/>
      <c r="Y50" s="441">
        <f t="shared" si="4"/>
        <v>0</v>
      </c>
      <c r="Z50" s="446"/>
      <c r="AA50" s="446"/>
      <c r="AB50" s="446"/>
      <c r="AC50" s="441">
        <f t="shared" si="5"/>
        <v>0</v>
      </c>
      <c r="AD50" s="619">
        <f t="shared" si="1"/>
        <v>31200</v>
      </c>
      <c r="AE50" s="354"/>
      <c r="AF50" s="354"/>
    </row>
    <row r="51" spans="1:32" s="354" customFormat="1" ht="18" customHeight="1" x14ac:dyDescent="0.2">
      <c r="A51" s="117">
        <v>54199</v>
      </c>
      <c r="B51" s="116" t="s">
        <v>308</v>
      </c>
      <c r="C51" s="163">
        <f>EgreUP01!C32</f>
        <v>0</v>
      </c>
      <c r="D51" s="163">
        <f>EgreUP01!C127</f>
        <v>0</v>
      </c>
      <c r="E51" s="163">
        <f>EgreUP02!C31</f>
        <v>0</v>
      </c>
      <c r="F51" s="441">
        <f>EgreUP02!C127</f>
        <v>0</v>
      </c>
      <c r="G51" s="442">
        <f t="shared" si="15"/>
        <v>0</v>
      </c>
      <c r="H51" s="446"/>
      <c r="I51" s="446"/>
      <c r="J51" s="446"/>
      <c r="K51" s="446"/>
      <c r="L51" s="441">
        <f t="shared" si="2"/>
        <v>0</v>
      </c>
      <c r="M51" s="442">
        <f>EgreUP01!D32</f>
        <v>2180</v>
      </c>
      <c r="N51" s="442">
        <f>EgreUP01!D127</f>
        <v>11700</v>
      </c>
      <c r="O51" s="442">
        <f>EgreUP02!D31</f>
        <v>5000</v>
      </c>
      <c r="P51" s="442">
        <f>EgreUP02!D127</f>
        <v>0</v>
      </c>
      <c r="Q51" s="442">
        <f t="shared" si="14"/>
        <v>18880</v>
      </c>
      <c r="R51" s="446"/>
      <c r="S51" s="446"/>
      <c r="T51" s="446"/>
      <c r="U51" s="441">
        <f t="shared" si="3"/>
        <v>0</v>
      </c>
      <c r="V51" s="446"/>
      <c r="W51" s="446"/>
      <c r="X51" s="446"/>
      <c r="Y51" s="441">
        <f t="shared" si="4"/>
        <v>0</v>
      </c>
      <c r="Z51" s="446"/>
      <c r="AA51" s="446"/>
      <c r="AB51" s="446"/>
      <c r="AC51" s="441">
        <f t="shared" si="5"/>
        <v>0</v>
      </c>
      <c r="AD51" s="619">
        <f t="shared" si="1"/>
        <v>18880</v>
      </c>
    </row>
    <row r="52" spans="1:32" s="354" customFormat="1" ht="18" customHeight="1" x14ac:dyDescent="0.2">
      <c r="A52" s="443">
        <v>542</v>
      </c>
      <c r="B52" s="121" t="s">
        <v>109</v>
      </c>
      <c r="C52" s="526">
        <f>SUM(C53:C56)</f>
        <v>198545.05</v>
      </c>
      <c r="D52" s="441">
        <f>SUM(D53:D56)</f>
        <v>0</v>
      </c>
      <c r="E52" s="441">
        <f>SUM(E53:E56)</f>
        <v>0</v>
      </c>
      <c r="F52" s="441">
        <f>SUM(F53:F56)</f>
        <v>0</v>
      </c>
      <c r="G52" s="527">
        <f t="shared" si="15"/>
        <v>198545.05</v>
      </c>
      <c r="H52" s="446"/>
      <c r="I52" s="446"/>
      <c r="J52" s="446"/>
      <c r="K52" s="446"/>
      <c r="L52" s="441"/>
      <c r="M52" s="442">
        <f>SUM(M53:M56)</f>
        <v>0</v>
      </c>
      <c r="N52" s="442">
        <f>SUM(N53:N56)</f>
        <v>3200</v>
      </c>
      <c r="O52" s="442">
        <f>SUM(O53:O56)</f>
        <v>0</v>
      </c>
      <c r="P52" s="442">
        <f>SUM(P53:P56)</f>
        <v>84400</v>
      </c>
      <c r="Q52" s="442">
        <f>SUM(Q53:Q56)</f>
        <v>87600</v>
      </c>
      <c r="R52" s="446"/>
      <c r="S52" s="446"/>
      <c r="T52" s="446"/>
      <c r="U52" s="441"/>
      <c r="V52" s="446"/>
      <c r="W52" s="446"/>
      <c r="X52" s="446"/>
      <c r="Y52" s="441"/>
      <c r="Z52" s="446"/>
      <c r="AA52" s="446"/>
      <c r="AB52" s="446"/>
      <c r="AC52" s="441"/>
      <c r="AD52" s="619">
        <f t="shared" si="1"/>
        <v>286145.05</v>
      </c>
    </row>
    <row r="53" spans="1:32" s="357" customFormat="1" ht="18" customHeight="1" x14ac:dyDescent="0.2">
      <c r="A53" s="117">
        <v>54201</v>
      </c>
      <c r="B53" s="116" t="s">
        <v>311</v>
      </c>
      <c r="C53" s="163">
        <f>EgreUP01!C34</f>
        <v>152685.04999999999</v>
      </c>
      <c r="D53" s="163">
        <f>EgreUP01!C129</f>
        <v>0</v>
      </c>
      <c r="E53" s="163">
        <f>EgreUP02!C33</f>
        <v>0</v>
      </c>
      <c r="F53" s="441">
        <f>EgreUP02!C129</f>
        <v>0</v>
      </c>
      <c r="G53" s="442">
        <f t="shared" si="15"/>
        <v>152685.04999999999</v>
      </c>
      <c r="H53" s="446"/>
      <c r="I53" s="446"/>
      <c r="J53" s="446"/>
      <c r="K53" s="446"/>
      <c r="L53" s="441">
        <f t="shared" si="2"/>
        <v>0</v>
      </c>
      <c r="M53" s="442">
        <f>EgreUP01!D34</f>
        <v>0</v>
      </c>
      <c r="N53" s="442">
        <f>EgreUP01!D129</f>
        <v>0</v>
      </c>
      <c r="O53" s="442">
        <f>EgreUP02!D33</f>
        <v>0</v>
      </c>
      <c r="P53" s="442">
        <f>EgreUP02!D129</f>
        <v>84400</v>
      </c>
      <c r="Q53" s="442">
        <f t="shared" si="14"/>
        <v>84400</v>
      </c>
      <c r="R53" s="446"/>
      <c r="S53" s="446"/>
      <c r="T53" s="446"/>
      <c r="U53" s="441">
        <f t="shared" si="3"/>
        <v>0</v>
      </c>
      <c r="V53" s="446"/>
      <c r="W53" s="446"/>
      <c r="X53" s="446"/>
      <c r="Y53" s="441">
        <f t="shared" si="4"/>
        <v>0</v>
      </c>
      <c r="Z53" s="446"/>
      <c r="AA53" s="446"/>
      <c r="AB53" s="446"/>
      <c r="AC53" s="441">
        <f t="shared" si="5"/>
        <v>0</v>
      </c>
      <c r="AD53" s="619">
        <f t="shared" si="1"/>
        <v>237085.05</v>
      </c>
      <c r="AE53" s="354"/>
      <c r="AF53" s="354"/>
    </row>
    <row r="54" spans="1:32" s="357" customFormat="1" ht="18" customHeight="1" x14ac:dyDescent="0.2">
      <c r="A54" s="117">
        <v>54202</v>
      </c>
      <c r="B54" s="116" t="s">
        <v>310</v>
      </c>
      <c r="C54" s="163">
        <f>EgreUP01!C35</f>
        <v>17500</v>
      </c>
      <c r="D54" s="163">
        <f>EgreUP01!C130</f>
        <v>0</v>
      </c>
      <c r="E54" s="163">
        <f>EgreUP02!C34</f>
        <v>0</v>
      </c>
      <c r="F54" s="441">
        <f>EgreUP02!C130</f>
        <v>0</v>
      </c>
      <c r="G54" s="442">
        <f t="shared" si="15"/>
        <v>17500</v>
      </c>
      <c r="H54" s="446"/>
      <c r="I54" s="446"/>
      <c r="J54" s="446"/>
      <c r="K54" s="446"/>
      <c r="L54" s="441">
        <f t="shared" si="2"/>
        <v>0</v>
      </c>
      <c r="M54" s="442">
        <f>EgreUP01!D35</f>
        <v>0</v>
      </c>
      <c r="N54" s="442">
        <f>EgreUP01!D130</f>
        <v>0</v>
      </c>
      <c r="O54" s="442">
        <f>EgreUP02!D34</f>
        <v>0</v>
      </c>
      <c r="P54" s="442">
        <f>EgreUP02!D130</f>
        <v>0</v>
      </c>
      <c r="Q54" s="442">
        <f t="shared" si="14"/>
        <v>0</v>
      </c>
      <c r="R54" s="446"/>
      <c r="S54" s="446"/>
      <c r="T54" s="446"/>
      <c r="U54" s="441">
        <f t="shared" si="3"/>
        <v>0</v>
      </c>
      <c r="V54" s="446"/>
      <c r="W54" s="446"/>
      <c r="X54" s="446"/>
      <c r="Y54" s="441">
        <f t="shared" si="4"/>
        <v>0</v>
      </c>
      <c r="Z54" s="446"/>
      <c r="AA54" s="446"/>
      <c r="AB54" s="446"/>
      <c r="AC54" s="441">
        <f t="shared" si="5"/>
        <v>0</v>
      </c>
      <c r="AD54" s="619">
        <f t="shared" si="1"/>
        <v>17500</v>
      </c>
      <c r="AE54" s="354"/>
      <c r="AF54" s="354"/>
    </row>
    <row r="55" spans="1:32" s="354" customFormat="1" ht="18" customHeight="1" x14ac:dyDescent="0.2">
      <c r="A55" s="117">
        <v>54203</v>
      </c>
      <c r="B55" s="116" t="s">
        <v>312</v>
      </c>
      <c r="C55" s="525">
        <f>EgreUP01!C36</f>
        <v>27860</v>
      </c>
      <c r="D55" s="163">
        <f>EgreUP01!C131</f>
        <v>0</v>
      </c>
      <c r="E55" s="163">
        <f>EgreUP02!C35</f>
        <v>0</v>
      </c>
      <c r="F55" s="441">
        <f>EgreUP02!C131</f>
        <v>0</v>
      </c>
      <c r="G55" s="527">
        <f t="shared" si="15"/>
        <v>27860</v>
      </c>
      <c r="H55" s="446"/>
      <c r="I55" s="446"/>
      <c r="J55" s="446"/>
      <c r="K55" s="446"/>
      <c r="L55" s="441">
        <f t="shared" si="2"/>
        <v>0</v>
      </c>
      <c r="M55" s="442">
        <f>EgreUP01!D36</f>
        <v>0</v>
      </c>
      <c r="N55" s="442">
        <f>EgreUP01!D131</f>
        <v>3200</v>
      </c>
      <c r="O55" s="442">
        <f>EgreUP02!D35</f>
        <v>0</v>
      </c>
      <c r="P55" s="442">
        <f>EgreUP02!D131</f>
        <v>0</v>
      </c>
      <c r="Q55" s="442">
        <f t="shared" si="14"/>
        <v>3200</v>
      </c>
      <c r="R55" s="446"/>
      <c r="S55" s="446"/>
      <c r="T55" s="446"/>
      <c r="U55" s="441">
        <f t="shared" si="3"/>
        <v>0</v>
      </c>
      <c r="V55" s="446"/>
      <c r="W55" s="446"/>
      <c r="X55" s="446"/>
      <c r="Y55" s="441">
        <f t="shared" si="4"/>
        <v>0</v>
      </c>
      <c r="Z55" s="446"/>
      <c r="AA55" s="446"/>
      <c r="AB55" s="446"/>
      <c r="AC55" s="441">
        <f t="shared" si="5"/>
        <v>0</v>
      </c>
      <c r="AD55" s="619">
        <f t="shared" si="1"/>
        <v>31060</v>
      </c>
    </row>
    <row r="56" spans="1:32" s="354" customFormat="1" ht="18" customHeight="1" x14ac:dyDescent="0.2">
      <c r="A56" s="117">
        <v>54204</v>
      </c>
      <c r="B56" s="116" t="s">
        <v>313</v>
      </c>
      <c r="C56" s="163">
        <f>EgreUP01!C37</f>
        <v>500</v>
      </c>
      <c r="D56" s="163">
        <f>EgreUP01!C132</f>
        <v>0</v>
      </c>
      <c r="E56" s="163">
        <f>EgreUP02!C36</f>
        <v>0</v>
      </c>
      <c r="F56" s="441">
        <f>EgreUP02!C132</f>
        <v>0</v>
      </c>
      <c r="G56" s="442">
        <f t="shared" si="15"/>
        <v>500</v>
      </c>
      <c r="H56" s="446"/>
      <c r="I56" s="446"/>
      <c r="J56" s="446"/>
      <c r="K56" s="446"/>
      <c r="L56" s="441">
        <f t="shared" si="2"/>
        <v>0</v>
      </c>
      <c r="M56" s="442">
        <f>EgreUP01!D37</f>
        <v>0</v>
      </c>
      <c r="N56" s="442">
        <f>EgreUP01!D132</f>
        <v>0</v>
      </c>
      <c r="O56" s="442">
        <f>EgreUP02!D36</f>
        <v>0</v>
      </c>
      <c r="P56" s="442">
        <f>EgreUP02!D132</f>
        <v>0</v>
      </c>
      <c r="Q56" s="442">
        <f t="shared" si="14"/>
        <v>0</v>
      </c>
      <c r="R56" s="446"/>
      <c r="S56" s="446"/>
      <c r="T56" s="446"/>
      <c r="U56" s="441">
        <f t="shared" si="3"/>
        <v>0</v>
      </c>
      <c r="V56" s="446"/>
      <c r="W56" s="446"/>
      <c r="X56" s="446"/>
      <c r="Y56" s="441">
        <f t="shared" si="4"/>
        <v>0</v>
      </c>
      <c r="Z56" s="446"/>
      <c r="AA56" s="446"/>
      <c r="AB56" s="446"/>
      <c r="AC56" s="441">
        <f t="shared" si="5"/>
        <v>0</v>
      </c>
      <c r="AD56" s="619">
        <f t="shared" si="1"/>
        <v>500</v>
      </c>
    </row>
    <row r="57" spans="1:32" s="357" customFormat="1" ht="18" customHeight="1" x14ac:dyDescent="0.2">
      <c r="A57" s="443">
        <v>543</v>
      </c>
      <c r="B57" s="121" t="s">
        <v>110</v>
      </c>
      <c r="C57" s="441">
        <f>SUM(C58:C71)</f>
        <v>0</v>
      </c>
      <c r="D57" s="441">
        <f>SUM(D58:D71)</f>
        <v>0</v>
      </c>
      <c r="E57" s="441">
        <f>SUM(E58:E71)</f>
        <v>30000</v>
      </c>
      <c r="F57" s="581">
        <f>SUM(F58:F71)</f>
        <v>347000</v>
      </c>
      <c r="G57" s="585">
        <f>SUM(C57:F57)</f>
        <v>377000</v>
      </c>
      <c r="H57" s="446"/>
      <c r="I57" s="446"/>
      <c r="J57" s="446"/>
      <c r="K57" s="446"/>
      <c r="L57" s="441"/>
      <c r="M57" s="442">
        <f>SUM(M58:M71)</f>
        <v>25313.22</v>
      </c>
      <c r="N57" s="442">
        <f>SUM(N58:N71)</f>
        <v>156510</v>
      </c>
      <c r="O57" s="442">
        <f>SUM(O58:O71)</f>
        <v>11670</v>
      </c>
      <c r="P57" s="442">
        <f>SUM(P58:P71)</f>
        <v>15000</v>
      </c>
      <c r="Q57" s="442">
        <f>SUM(Q58:Q71)</f>
        <v>208493.22</v>
      </c>
      <c r="R57" s="442">
        <f t="shared" ref="R57:AC57" si="16">SUM(R58:R71)</f>
        <v>0</v>
      </c>
      <c r="S57" s="442">
        <f t="shared" si="16"/>
        <v>0</v>
      </c>
      <c r="T57" s="442">
        <f t="shared" si="16"/>
        <v>0</v>
      </c>
      <c r="U57" s="442">
        <f t="shared" si="16"/>
        <v>0</v>
      </c>
      <c r="V57" s="442">
        <f t="shared" si="16"/>
        <v>0</v>
      </c>
      <c r="W57" s="442">
        <f t="shared" si="16"/>
        <v>0</v>
      </c>
      <c r="X57" s="442">
        <f t="shared" si="16"/>
        <v>0</v>
      </c>
      <c r="Y57" s="442">
        <f t="shared" si="16"/>
        <v>0</v>
      </c>
      <c r="Z57" s="442">
        <f t="shared" si="16"/>
        <v>0</v>
      </c>
      <c r="AA57" s="442">
        <f t="shared" si="16"/>
        <v>0</v>
      </c>
      <c r="AB57" s="442">
        <f t="shared" si="16"/>
        <v>0</v>
      </c>
      <c r="AC57" s="442">
        <f t="shared" si="16"/>
        <v>0</v>
      </c>
      <c r="AD57" s="619">
        <f t="shared" si="1"/>
        <v>585493.22</v>
      </c>
      <c r="AE57" s="354"/>
      <c r="AF57" s="354"/>
    </row>
    <row r="58" spans="1:32" s="354" customFormat="1" ht="18" customHeight="1" x14ac:dyDescent="0.2">
      <c r="A58" s="117">
        <v>54301</v>
      </c>
      <c r="B58" s="116" t="s">
        <v>314</v>
      </c>
      <c r="C58" s="163">
        <f>EgreUP01!C39</f>
        <v>0</v>
      </c>
      <c r="D58" s="163">
        <f>EgreUP01!C134</f>
        <v>0</v>
      </c>
      <c r="E58" s="163">
        <f>EgreUP02!C38</f>
        <v>0</v>
      </c>
      <c r="F58" s="441">
        <f>EgreUP02!C134</f>
        <v>5000</v>
      </c>
      <c r="G58" s="442">
        <f t="shared" si="15"/>
        <v>5000</v>
      </c>
      <c r="H58" s="163"/>
      <c r="I58" s="163"/>
      <c r="J58" s="163"/>
      <c r="K58" s="163"/>
      <c r="L58" s="441">
        <f t="shared" si="2"/>
        <v>0</v>
      </c>
      <c r="M58" s="442">
        <f>EgreUP01!D39</f>
        <v>4230</v>
      </c>
      <c r="N58" s="442">
        <f>EgreUP01!D134</f>
        <v>38500</v>
      </c>
      <c r="O58" s="442">
        <f>EgreUP02!D38</f>
        <v>5550</v>
      </c>
      <c r="P58" s="442">
        <f>EgreUP02!D134</f>
        <v>15000</v>
      </c>
      <c r="Q58" s="442">
        <f t="shared" si="14"/>
        <v>63280</v>
      </c>
      <c r="R58" s="446"/>
      <c r="S58" s="446"/>
      <c r="T58" s="446"/>
      <c r="U58" s="441">
        <f t="shared" si="3"/>
        <v>0</v>
      </c>
      <c r="V58" s="446"/>
      <c r="W58" s="446"/>
      <c r="X58" s="446"/>
      <c r="Y58" s="441">
        <f t="shared" si="4"/>
        <v>0</v>
      </c>
      <c r="Z58" s="446"/>
      <c r="AA58" s="446"/>
      <c r="AB58" s="446"/>
      <c r="AC58" s="441">
        <f t="shared" si="5"/>
        <v>0</v>
      </c>
      <c r="AD58" s="619">
        <f t="shared" si="1"/>
        <v>68280</v>
      </c>
    </row>
    <row r="59" spans="1:32" s="354" customFormat="1" ht="18" customHeight="1" x14ac:dyDescent="0.2">
      <c r="A59" s="117">
        <v>54302</v>
      </c>
      <c r="B59" s="116" t="s">
        <v>315</v>
      </c>
      <c r="C59" s="163">
        <f>EgreUP01!C40</f>
        <v>0</v>
      </c>
      <c r="D59" s="163">
        <f>EgreUP01!C135</f>
        <v>0</v>
      </c>
      <c r="E59" s="163">
        <f>EgreUP02!C39</f>
        <v>30000</v>
      </c>
      <c r="F59" s="581">
        <f>EgreUP02!C135</f>
        <v>30000</v>
      </c>
      <c r="G59" s="585">
        <f t="shared" si="15"/>
        <v>60000</v>
      </c>
      <c r="H59" s="163"/>
      <c r="I59" s="163"/>
      <c r="J59" s="163"/>
      <c r="K59" s="163"/>
      <c r="L59" s="441">
        <f t="shared" si="2"/>
        <v>0</v>
      </c>
      <c r="M59" s="442">
        <f>EgreUP01!D40</f>
        <v>0</v>
      </c>
      <c r="N59" s="442">
        <f>EgreUP01!D135</f>
        <v>0</v>
      </c>
      <c r="O59" s="442">
        <f>EgreUP02!D39</f>
        <v>0</v>
      </c>
      <c r="P59" s="442">
        <f>EgreUP02!D135</f>
        <v>0</v>
      </c>
      <c r="Q59" s="442">
        <f t="shared" si="14"/>
        <v>0</v>
      </c>
      <c r="R59" s="446"/>
      <c r="S59" s="446"/>
      <c r="T59" s="446"/>
      <c r="U59" s="441">
        <f t="shared" si="3"/>
        <v>0</v>
      </c>
      <c r="V59" s="446"/>
      <c r="W59" s="446"/>
      <c r="X59" s="446"/>
      <c r="Y59" s="441">
        <f t="shared" si="4"/>
        <v>0</v>
      </c>
      <c r="Z59" s="446"/>
      <c r="AA59" s="446"/>
      <c r="AB59" s="446"/>
      <c r="AC59" s="441">
        <f t="shared" si="5"/>
        <v>0</v>
      </c>
      <c r="AD59" s="619">
        <f t="shared" si="1"/>
        <v>60000</v>
      </c>
    </row>
    <row r="60" spans="1:32" s="357" customFormat="1" ht="18" customHeight="1" x14ac:dyDescent="0.2">
      <c r="A60" s="117">
        <v>54303</v>
      </c>
      <c r="B60" s="116" t="s">
        <v>316</v>
      </c>
      <c r="C60" s="163">
        <f>EgreUP01!C41</f>
        <v>0</v>
      </c>
      <c r="D60" s="163">
        <f>EgreUP01!C136</f>
        <v>0</v>
      </c>
      <c r="E60" s="163">
        <f>EgreUP02!C40</f>
        <v>0</v>
      </c>
      <c r="F60" s="441">
        <f>EgreUP02!C136</f>
        <v>0</v>
      </c>
      <c r="G60" s="442">
        <f t="shared" si="15"/>
        <v>0</v>
      </c>
      <c r="H60" s="163"/>
      <c r="I60" s="163"/>
      <c r="J60" s="163"/>
      <c r="K60" s="163"/>
      <c r="L60" s="441">
        <f t="shared" si="2"/>
        <v>0</v>
      </c>
      <c r="M60" s="442">
        <f>EgreUP01!D41</f>
        <v>0</v>
      </c>
      <c r="N60" s="442">
        <f>EgreUP01!D136</f>
        <v>0</v>
      </c>
      <c r="O60" s="442">
        <f>EgreUP02!D40</f>
        <v>5000</v>
      </c>
      <c r="P60" s="442">
        <f>EgreUP02!D136</f>
        <v>0</v>
      </c>
      <c r="Q60" s="442">
        <f t="shared" si="14"/>
        <v>5000</v>
      </c>
      <c r="R60" s="446"/>
      <c r="S60" s="446"/>
      <c r="T60" s="446"/>
      <c r="U60" s="441">
        <f t="shared" si="3"/>
        <v>0</v>
      </c>
      <c r="V60" s="446"/>
      <c r="W60" s="446"/>
      <c r="X60" s="446"/>
      <c r="Y60" s="441">
        <f t="shared" si="4"/>
        <v>0</v>
      </c>
      <c r="Z60" s="446"/>
      <c r="AA60" s="446"/>
      <c r="AB60" s="446"/>
      <c r="AC60" s="441">
        <f t="shared" si="5"/>
        <v>0</v>
      </c>
      <c r="AD60" s="619">
        <f t="shared" si="1"/>
        <v>5000</v>
      </c>
      <c r="AE60" s="354"/>
      <c r="AF60" s="354"/>
    </row>
    <row r="61" spans="1:32" s="357" customFormat="1" ht="18" customHeight="1" x14ac:dyDescent="0.2">
      <c r="A61" s="117">
        <v>54304</v>
      </c>
      <c r="B61" s="116" t="s">
        <v>317</v>
      </c>
      <c r="C61" s="163">
        <f>EgreUP01!C42</f>
        <v>0</v>
      </c>
      <c r="D61" s="163">
        <f>EgreUP01!C137</f>
        <v>0</v>
      </c>
      <c r="E61" s="163">
        <f>EgreUP02!C41</f>
        <v>0</v>
      </c>
      <c r="F61" s="441">
        <f>EgreUP02!C137</f>
        <v>0</v>
      </c>
      <c r="G61" s="442">
        <f t="shared" si="15"/>
        <v>0</v>
      </c>
      <c r="H61" s="446"/>
      <c r="I61" s="446"/>
      <c r="J61" s="446"/>
      <c r="K61" s="446"/>
      <c r="L61" s="441">
        <f t="shared" si="2"/>
        <v>0</v>
      </c>
      <c r="M61" s="442">
        <f>EgreUP01!D42</f>
        <v>0</v>
      </c>
      <c r="N61" s="442">
        <f>EgreUP01!D137</f>
        <v>0</v>
      </c>
      <c r="O61" s="442">
        <f>EgreUP02!D41</f>
        <v>0</v>
      </c>
      <c r="P61" s="442">
        <f>EgreUP02!D137</f>
        <v>0</v>
      </c>
      <c r="Q61" s="442">
        <f t="shared" si="14"/>
        <v>0</v>
      </c>
      <c r="R61" s="446"/>
      <c r="S61" s="446"/>
      <c r="T61" s="446"/>
      <c r="U61" s="441">
        <f t="shared" si="3"/>
        <v>0</v>
      </c>
      <c r="V61" s="446"/>
      <c r="W61" s="446"/>
      <c r="X61" s="446"/>
      <c r="Y61" s="441">
        <f t="shared" si="4"/>
        <v>0</v>
      </c>
      <c r="Z61" s="446"/>
      <c r="AA61" s="446"/>
      <c r="AB61" s="446"/>
      <c r="AC61" s="441">
        <f t="shared" si="5"/>
        <v>0</v>
      </c>
      <c r="AD61" s="619">
        <f t="shared" si="1"/>
        <v>0</v>
      </c>
      <c r="AE61" s="354"/>
      <c r="AF61" s="354"/>
    </row>
    <row r="62" spans="1:32" s="357" customFormat="1" ht="18" customHeight="1" x14ac:dyDescent="0.2">
      <c r="A62" s="117">
        <v>54305</v>
      </c>
      <c r="B62" s="116" t="s">
        <v>318</v>
      </c>
      <c r="C62" s="163">
        <f>EgreUP01!C43</f>
        <v>0</v>
      </c>
      <c r="D62" s="163">
        <f>EgreUP01!C138</f>
        <v>0</v>
      </c>
      <c r="E62" s="163">
        <f>EgreUP02!C42</f>
        <v>0</v>
      </c>
      <c r="F62" s="441">
        <f>EgreUP02!C138</f>
        <v>0</v>
      </c>
      <c r="G62" s="442">
        <f t="shared" si="15"/>
        <v>0</v>
      </c>
      <c r="H62" s="446"/>
      <c r="I62" s="446"/>
      <c r="J62" s="446"/>
      <c r="K62" s="446"/>
      <c r="L62" s="441">
        <f t="shared" si="2"/>
        <v>0</v>
      </c>
      <c r="M62" s="442">
        <f>EgreUP01!D43</f>
        <v>11500</v>
      </c>
      <c r="N62" s="442">
        <f>EgreUP01!D138</f>
        <v>500</v>
      </c>
      <c r="O62" s="442">
        <f>EgreUP02!D42</f>
        <v>0</v>
      </c>
      <c r="P62" s="442">
        <f>EgreUP02!D138</f>
        <v>0</v>
      </c>
      <c r="Q62" s="442">
        <f t="shared" si="14"/>
        <v>12000</v>
      </c>
      <c r="R62" s="446"/>
      <c r="S62" s="446"/>
      <c r="T62" s="446"/>
      <c r="U62" s="441">
        <f t="shared" si="3"/>
        <v>0</v>
      </c>
      <c r="V62" s="446"/>
      <c r="W62" s="446"/>
      <c r="X62" s="446"/>
      <c r="Y62" s="441">
        <f t="shared" si="4"/>
        <v>0</v>
      </c>
      <c r="Z62" s="446"/>
      <c r="AA62" s="446"/>
      <c r="AB62" s="446"/>
      <c r="AC62" s="441">
        <f t="shared" si="5"/>
        <v>0</v>
      </c>
      <c r="AD62" s="619">
        <f t="shared" si="1"/>
        <v>12000</v>
      </c>
      <c r="AE62" s="354"/>
      <c r="AF62" s="354"/>
    </row>
    <row r="63" spans="1:32" s="357" customFormat="1" ht="18" customHeight="1" x14ac:dyDescent="0.2">
      <c r="A63" s="117">
        <v>54306</v>
      </c>
      <c r="B63" s="116" t="s">
        <v>319</v>
      </c>
      <c r="C63" s="163">
        <f>EgreUP01!C44</f>
        <v>0</v>
      </c>
      <c r="D63" s="163">
        <f>EgreUP01!C139</f>
        <v>0</v>
      </c>
      <c r="E63" s="163">
        <f>EgreUP02!C43</f>
        <v>0</v>
      </c>
      <c r="F63" s="441">
        <f>EgreUP02!C139</f>
        <v>0</v>
      </c>
      <c r="G63" s="442">
        <f t="shared" si="15"/>
        <v>0</v>
      </c>
      <c r="H63" s="446"/>
      <c r="I63" s="446"/>
      <c r="J63" s="446"/>
      <c r="K63" s="446"/>
      <c r="L63" s="441">
        <f t="shared" si="2"/>
        <v>0</v>
      </c>
      <c r="M63" s="442">
        <f>EgreUP01!D44</f>
        <v>0</v>
      </c>
      <c r="N63" s="442">
        <f>EgreUP01!D139</f>
        <v>0</v>
      </c>
      <c r="O63" s="442">
        <f>EgreUP02!D43</f>
        <v>0</v>
      </c>
      <c r="P63" s="442">
        <f>EgreUP02!D139</f>
        <v>0</v>
      </c>
      <c r="Q63" s="442">
        <f t="shared" si="14"/>
        <v>0</v>
      </c>
      <c r="R63" s="446"/>
      <c r="S63" s="446"/>
      <c r="T63" s="446"/>
      <c r="U63" s="441">
        <f t="shared" si="3"/>
        <v>0</v>
      </c>
      <c r="V63" s="446"/>
      <c r="W63" s="446"/>
      <c r="X63" s="446"/>
      <c r="Y63" s="441">
        <f t="shared" si="4"/>
        <v>0</v>
      </c>
      <c r="Z63" s="446"/>
      <c r="AA63" s="446"/>
      <c r="AB63" s="446"/>
      <c r="AC63" s="441">
        <f t="shared" si="5"/>
        <v>0</v>
      </c>
      <c r="AD63" s="619">
        <f t="shared" si="1"/>
        <v>0</v>
      </c>
      <c r="AE63" s="354"/>
      <c r="AF63" s="354"/>
    </row>
    <row r="64" spans="1:32" s="357" customFormat="1" ht="18" customHeight="1" x14ac:dyDescent="0.2">
      <c r="A64" s="117">
        <v>54307</v>
      </c>
      <c r="B64" s="116" t="s">
        <v>320</v>
      </c>
      <c r="C64" s="163">
        <f>EgreUP01!C45</f>
        <v>0</v>
      </c>
      <c r="D64" s="163">
        <f>EgreUP01!C140</f>
        <v>0</v>
      </c>
      <c r="E64" s="163">
        <f>EgreUP02!C44</f>
        <v>0</v>
      </c>
      <c r="F64" s="441">
        <f>EgreUP02!C140</f>
        <v>0</v>
      </c>
      <c r="G64" s="442">
        <f t="shared" si="15"/>
        <v>0</v>
      </c>
      <c r="H64" s="446"/>
      <c r="I64" s="446"/>
      <c r="J64" s="446"/>
      <c r="K64" s="446"/>
      <c r="L64" s="441">
        <f t="shared" si="2"/>
        <v>0</v>
      </c>
      <c r="M64" s="442">
        <f>EgreUP01!D45</f>
        <v>1000</v>
      </c>
      <c r="N64" s="442">
        <f>EgreUP01!D140</f>
        <v>1250</v>
      </c>
      <c r="O64" s="442">
        <f>EgreUP02!D44</f>
        <v>1000</v>
      </c>
      <c r="P64" s="442">
        <f>EgreUP02!D140</f>
        <v>0</v>
      </c>
      <c r="Q64" s="442">
        <f t="shared" si="14"/>
        <v>3250</v>
      </c>
      <c r="R64" s="446"/>
      <c r="S64" s="446"/>
      <c r="T64" s="446"/>
      <c r="U64" s="441">
        <f t="shared" si="3"/>
        <v>0</v>
      </c>
      <c r="V64" s="446"/>
      <c r="W64" s="446"/>
      <c r="X64" s="446"/>
      <c r="Y64" s="441">
        <f t="shared" si="4"/>
        <v>0</v>
      </c>
      <c r="Z64" s="446"/>
      <c r="AA64" s="446"/>
      <c r="AB64" s="446"/>
      <c r="AC64" s="441">
        <f t="shared" si="5"/>
        <v>0</v>
      </c>
      <c r="AD64" s="619">
        <f t="shared" si="1"/>
        <v>3250</v>
      </c>
      <c r="AE64" s="354"/>
      <c r="AF64" s="354"/>
    </row>
    <row r="65" spans="1:32" s="357" customFormat="1" ht="18" customHeight="1" x14ac:dyDescent="0.2">
      <c r="A65" s="117">
        <v>54309</v>
      </c>
      <c r="B65" s="116" t="s">
        <v>321</v>
      </c>
      <c r="C65" s="163">
        <f>EgreUP01!C46</f>
        <v>0</v>
      </c>
      <c r="D65" s="163">
        <f>EgreUP01!C141</f>
        <v>0</v>
      </c>
      <c r="E65" s="163">
        <f>EgreUP02!C45</f>
        <v>0</v>
      </c>
      <c r="F65" s="441">
        <f>EgreUP02!C141</f>
        <v>0</v>
      </c>
      <c r="G65" s="442">
        <f t="shared" si="15"/>
        <v>0</v>
      </c>
      <c r="H65" s="446"/>
      <c r="I65" s="446"/>
      <c r="J65" s="446"/>
      <c r="K65" s="446"/>
      <c r="L65" s="441">
        <f t="shared" si="2"/>
        <v>0</v>
      </c>
      <c r="M65" s="442">
        <f>EgreUP01!D46</f>
        <v>0</v>
      </c>
      <c r="N65" s="442">
        <f>EgreUP01!D141</f>
        <v>3300</v>
      </c>
      <c r="O65" s="442">
        <f>EgreUP02!D45</f>
        <v>0</v>
      </c>
      <c r="P65" s="442">
        <f>EgreUP02!D141</f>
        <v>0</v>
      </c>
      <c r="Q65" s="442">
        <f t="shared" si="14"/>
        <v>3300</v>
      </c>
      <c r="R65" s="446"/>
      <c r="S65" s="446"/>
      <c r="T65" s="446"/>
      <c r="U65" s="441">
        <f t="shared" si="3"/>
        <v>0</v>
      </c>
      <c r="V65" s="446"/>
      <c r="W65" s="446"/>
      <c r="X65" s="446"/>
      <c r="Y65" s="441">
        <f t="shared" si="4"/>
        <v>0</v>
      </c>
      <c r="Z65" s="446"/>
      <c r="AA65" s="446"/>
      <c r="AB65" s="446"/>
      <c r="AC65" s="441">
        <f t="shared" si="5"/>
        <v>0</v>
      </c>
      <c r="AD65" s="619">
        <f t="shared" si="1"/>
        <v>3300</v>
      </c>
      <c r="AE65" s="354"/>
      <c r="AF65" s="354"/>
    </row>
    <row r="66" spans="1:32" s="357" customFormat="1" ht="18" customHeight="1" x14ac:dyDescent="0.2">
      <c r="A66" s="117">
        <v>54310</v>
      </c>
      <c r="B66" s="116" t="s">
        <v>322</v>
      </c>
      <c r="C66" s="163">
        <f>EgreUP01!C47</f>
        <v>0</v>
      </c>
      <c r="D66" s="163">
        <f>EgreUP01!C142</f>
        <v>0</v>
      </c>
      <c r="E66" s="163">
        <f>EgreUP02!C46</f>
        <v>0</v>
      </c>
      <c r="F66" s="441">
        <f>EgreUP02!C142</f>
        <v>0</v>
      </c>
      <c r="G66" s="442">
        <f t="shared" si="15"/>
        <v>0</v>
      </c>
      <c r="H66" s="446"/>
      <c r="I66" s="446"/>
      <c r="J66" s="446"/>
      <c r="K66" s="446"/>
      <c r="L66" s="441">
        <f t="shared" si="2"/>
        <v>0</v>
      </c>
      <c r="M66" s="442">
        <f>EgreUP01!D47</f>
        <v>0</v>
      </c>
      <c r="N66" s="442">
        <f>EgreUP01!D142</f>
        <v>0</v>
      </c>
      <c r="O66" s="442">
        <f>EgreUP02!D46</f>
        <v>0</v>
      </c>
      <c r="P66" s="442">
        <f>EgreUP02!D142</f>
        <v>0</v>
      </c>
      <c r="Q66" s="442">
        <f t="shared" si="14"/>
        <v>0</v>
      </c>
      <c r="R66" s="446"/>
      <c r="S66" s="446"/>
      <c r="T66" s="446"/>
      <c r="U66" s="441">
        <f t="shared" si="3"/>
        <v>0</v>
      </c>
      <c r="V66" s="446"/>
      <c r="W66" s="446"/>
      <c r="X66" s="446"/>
      <c r="Y66" s="441">
        <f t="shared" si="4"/>
        <v>0</v>
      </c>
      <c r="Z66" s="446"/>
      <c r="AA66" s="446"/>
      <c r="AB66" s="446"/>
      <c r="AC66" s="441">
        <f t="shared" si="5"/>
        <v>0</v>
      </c>
      <c r="AD66" s="619">
        <f t="shared" si="1"/>
        <v>0</v>
      </c>
      <c r="AE66" s="354"/>
      <c r="AF66" s="354"/>
    </row>
    <row r="67" spans="1:32" s="357" customFormat="1" ht="18" customHeight="1" x14ac:dyDescent="0.2">
      <c r="A67" s="117">
        <v>54311</v>
      </c>
      <c r="B67" s="116" t="s">
        <v>323</v>
      </c>
      <c r="C67" s="163">
        <f>EgreUP01!C48</f>
        <v>0</v>
      </c>
      <c r="D67" s="163">
        <f>EgreUP01!C143</f>
        <v>0</v>
      </c>
      <c r="E67" s="163">
        <f>EgreUP02!C47</f>
        <v>0</v>
      </c>
      <c r="F67" s="441">
        <f>EgreUP02!C143</f>
        <v>0</v>
      </c>
      <c r="G67" s="442">
        <f t="shared" si="15"/>
        <v>0</v>
      </c>
      <c r="H67" s="446"/>
      <c r="I67" s="446"/>
      <c r="J67" s="446"/>
      <c r="K67" s="446"/>
      <c r="L67" s="441">
        <f t="shared" si="2"/>
        <v>0</v>
      </c>
      <c r="M67" s="442">
        <f>EgreUP01!D48</f>
        <v>0</v>
      </c>
      <c r="N67" s="442">
        <f>EgreUP01!D143</f>
        <v>0</v>
      </c>
      <c r="O67" s="442">
        <f>EgreUP02!D47</f>
        <v>0</v>
      </c>
      <c r="P67" s="442">
        <f>EgreUP02!D143</f>
        <v>0</v>
      </c>
      <c r="Q67" s="442">
        <f t="shared" si="14"/>
        <v>0</v>
      </c>
      <c r="R67" s="446"/>
      <c r="S67" s="446"/>
      <c r="T67" s="446"/>
      <c r="U67" s="441">
        <f t="shared" si="3"/>
        <v>0</v>
      </c>
      <c r="V67" s="446"/>
      <c r="W67" s="446"/>
      <c r="X67" s="446"/>
      <c r="Y67" s="441">
        <f t="shared" si="4"/>
        <v>0</v>
      </c>
      <c r="Z67" s="446"/>
      <c r="AA67" s="446"/>
      <c r="AB67" s="446"/>
      <c r="AC67" s="441">
        <f t="shared" si="5"/>
        <v>0</v>
      </c>
      <c r="AD67" s="619">
        <f t="shared" si="1"/>
        <v>0</v>
      </c>
      <c r="AE67" s="354"/>
      <c r="AF67" s="354"/>
    </row>
    <row r="68" spans="1:32" s="357" customFormat="1" ht="18" customHeight="1" x14ac:dyDescent="0.2">
      <c r="A68" s="117">
        <v>54313</v>
      </c>
      <c r="B68" s="116" t="s">
        <v>324</v>
      </c>
      <c r="C68" s="163">
        <f>EgreUP01!C49</f>
        <v>0</v>
      </c>
      <c r="D68" s="163">
        <f>EgreUP01!C144</f>
        <v>0</v>
      </c>
      <c r="E68" s="163">
        <f>EgreUP02!C48</f>
        <v>0</v>
      </c>
      <c r="F68" s="441">
        <f>EgreUP02!C144</f>
        <v>0</v>
      </c>
      <c r="G68" s="442">
        <f t="shared" si="15"/>
        <v>0</v>
      </c>
      <c r="H68" s="446"/>
      <c r="I68" s="446"/>
      <c r="J68" s="446"/>
      <c r="K68" s="446"/>
      <c r="L68" s="441">
        <f t="shared" si="2"/>
        <v>0</v>
      </c>
      <c r="M68" s="442">
        <f>EgreUP01!D49</f>
        <v>400</v>
      </c>
      <c r="N68" s="442">
        <f>EgreUP01!D144</f>
        <v>3460</v>
      </c>
      <c r="O68" s="442">
        <f>EgreUP02!D48</f>
        <v>120</v>
      </c>
      <c r="P68" s="442">
        <f>EgreUP02!D144</f>
        <v>0</v>
      </c>
      <c r="Q68" s="442">
        <f t="shared" si="14"/>
        <v>3980</v>
      </c>
      <c r="R68" s="446"/>
      <c r="S68" s="446"/>
      <c r="T68" s="446"/>
      <c r="U68" s="441">
        <f t="shared" si="3"/>
        <v>0</v>
      </c>
      <c r="V68" s="446"/>
      <c r="W68" s="446"/>
      <c r="X68" s="446"/>
      <c r="Y68" s="441">
        <f t="shared" si="4"/>
        <v>0</v>
      </c>
      <c r="Z68" s="446"/>
      <c r="AA68" s="446"/>
      <c r="AB68" s="446"/>
      <c r="AC68" s="441">
        <f t="shared" si="5"/>
        <v>0</v>
      </c>
      <c r="AD68" s="619">
        <f t="shared" si="1"/>
        <v>3980</v>
      </c>
      <c r="AE68" s="354"/>
      <c r="AF68" s="354"/>
    </row>
    <row r="69" spans="1:32" s="357" customFormat="1" ht="18" customHeight="1" x14ac:dyDescent="0.2">
      <c r="A69" s="117">
        <v>54314</v>
      </c>
      <c r="B69" s="116" t="s">
        <v>325</v>
      </c>
      <c r="C69" s="163">
        <f>EgreUP01!C50</f>
        <v>0</v>
      </c>
      <c r="D69" s="163">
        <f>EgreUP01!C145</f>
        <v>0</v>
      </c>
      <c r="E69" s="163">
        <f>EgreUP02!C49</f>
        <v>0</v>
      </c>
      <c r="F69" s="441">
        <f>EgreUP02!C145</f>
        <v>0</v>
      </c>
      <c r="G69" s="442">
        <f t="shared" si="15"/>
        <v>0</v>
      </c>
      <c r="H69" s="446"/>
      <c r="I69" s="446"/>
      <c r="J69" s="446"/>
      <c r="K69" s="446"/>
      <c r="L69" s="441">
        <f t="shared" si="2"/>
        <v>0</v>
      </c>
      <c r="M69" s="442">
        <f>EgreUP01!D50</f>
        <v>0</v>
      </c>
      <c r="N69" s="442">
        <f>EgreUP01!D145</f>
        <v>0</v>
      </c>
      <c r="O69" s="442">
        <f>EgreUP02!D49</f>
        <v>0</v>
      </c>
      <c r="P69" s="442">
        <f>EgreUP02!D145</f>
        <v>0</v>
      </c>
      <c r="Q69" s="442">
        <f t="shared" si="14"/>
        <v>0</v>
      </c>
      <c r="R69" s="446"/>
      <c r="S69" s="446"/>
      <c r="T69" s="446"/>
      <c r="U69" s="441">
        <f t="shared" si="3"/>
        <v>0</v>
      </c>
      <c r="V69" s="446"/>
      <c r="W69" s="446"/>
      <c r="X69" s="446"/>
      <c r="Y69" s="441">
        <f t="shared" si="4"/>
        <v>0</v>
      </c>
      <c r="Z69" s="446"/>
      <c r="AA69" s="446"/>
      <c r="AB69" s="446"/>
      <c r="AC69" s="441">
        <f t="shared" si="5"/>
        <v>0</v>
      </c>
      <c r="AD69" s="619">
        <f t="shared" si="1"/>
        <v>0</v>
      </c>
      <c r="AE69" s="354"/>
      <c r="AF69" s="354"/>
    </row>
    <row r="70" spans="1:32" s="357" customFormat="1" ht="18" customHeight="1" x14ac:dyDescent="0.2">
      <c r="A70" s="117">
        <v>54316</v>
      </c>
      <c r="B70" s="116" t="s">
        <v>585</v>
      </c>
      <c r="C70" s="163">
        <f>EgreUP01!C50</f>
        <v>0</v>
      </c>
      <c r="D70" s="163">
        <f>EgreUP01!C146</f>
        <v>0</v>
      </c>
      <c r="E70" s="163">
        <f>EgreUP02!C49</f>
        <v>0</v>
      </c>
      <c r="F70" s="441">
        <f>EgreUP02!C145</f>
        <v>0</v>
      </c>
      <c r="G70" s="442">
        <f>SUM(C70:F70)</f>
        <v>0</v>
      </c>
      <c r="H70" s="446"/>
      <c r="I70" s="446"/>
      <c r="J70" s="446"/>
      <c r="K70" s="446"/>
      <c r="L70" s="441">
        <f>SUM(H70:K70)</f>
        <v>0</v>
      </c>
      <c r="M70" s="983">
        <f>EgreUP01!D51</f>
        <v>0</v>
      </c>
      <c r="N70" s="442">
        <f>EgreUP01!D146</f>
        <v>0</v>
      </c>
      <c r="O70" s="442">
        <f>EgreUP02!D49</f>
        <v>0</v>
      </c>
      <c r="P70" s="442">
        <f>EgreUP02!D145</f>
        <v>0</v>
      </c>
      <c r="Q70" s="442">
        <f>SUM(M70:P70)</f>
        <v>0</v>
      </c>
      <c r="R70" s="446"/>
      <c r="S70" s="446"/>
      <c r="T70" s="446"/>
      <c r="U70" s="441">
        <f>SUM(R70:T70)</f>
        <v>0</v>
      </c>
      <c r="V70" s="446"/>
      <c r="W70" s="446"/>
      <c r="X70" s="446"/>
      <c r="Y70" s="441">
        <f>SUM(V70:X70)</f>
        <v>0</v>
      </c>
      <c r="Z70" s="446"/>
      <c r="AA70" s="446"/>
      <c r="AB70" s="446"/>
      <c r="AC70" s="441">
        <f>SUM(Z70:AB70)</f>
        <v>0</v>
      </c>
      <c r="AD70" s="619">
        <f t="shared" si="1"/>
        <v>0</v>
      </c>
      <c r="AE70" s="354"/>
      <c r="AF70" s="354"/>
    </row>
    <row r="71" spans="1:32" s="357" customFormat="1" ht="18" customHeight="1" x14ac:dyDescent="0.2">
      <c r="A71" s="117">
        <v>54399</v>
      </c>
      <c r="B71" s="116" t="s">
        <v>326</v>
      </c>
      <c r="C71" s="163">
        <f>EgreUP01!C52</f>
        <v>0</v>
      </c>
      <c r="D71" s="163">
        <f>EgreUP01!C147</f>
        <v>0</v>
      </c>
      <c r="E71" s="163">
        <f>EgreUP02!C50</f>
        <v>0</v>
      </c>
      <c r="F71" s="441">
        <f>EgreUP02!C146</f>
        <v>312000</v>
      </c>
      <c r="G71" s="442">
        <f t="shared" si="15"/>
        <v>312000</v>
      </c>
      <c r="H71" s="446"/>
      <c r="I71" s="446"/>
      <c r="J71" s="446"/>
      <c r="K71" s="446"/>
      <c r="L71" s="441">
        <f t="shared" si="2"/>
        <v>0</v>
      </c>
      <c r="M71" s="442">
        <f>EgreUP01!D52</f>
        <v>8183.22</v>
      </c>
      <c r="N71" s="442">
        <f>EgreUP01!D147</f>
        <v>109500</v>
      </c>
      <c r="O71" s="442">
        <f>EgreUP02!D50</f>
        <v>0</v>
      </c>
      <c r="P71" s="442">
        <f>EgreUP02!D146</f>
        <v>0</v>
      </c>
      <c r="Q71" s="442">
        <f t="shared" si="14"/>
        <v>117683.22</v>
      </c>
      <c r="R71" s="446"/>
      <c r="S71" s="446"/>
      <c r="T71" s="446"/>
      <c r="U71" s="441">
        <f t="shared" si="3"/>
        <v>0</v>
      </c>
      <c r="V71" s="446"/>
      <c r="W71" s="446"/>
      <c r="X71" s="446"/>
      <c r="Y71" s="441">
        <f t="shared" si="4"/>
        <v>0</v>
      </c>
      <c r="Z71" s="446"/>
      <c r="AA71" s="446"/>
      <c r="AB71" s="446"/>
      <c r="AC71" s="441">
        <f t="shared" si="5"/>
        <v>0</v>
      </c>
      <c r="AD71" s="619">
        <f t="shared" si="1"/>
        <v>429683.22</v>
      </c>
      <c r="AE71" s="354"/>
      <c r="AF71" s="354"/>
    </row>
    <row r="72" spans="1:32" s="357" customFormat="1" ht="18" customHeight="1" x14ac:dyDescent="0.2">
      <c r="A72" s="443">
        <v>544</v>
      </c>
      <c r="B72" s="121" t="s">
        <v>111</v>
      </c>
      <c r="C72" s="441">
        <f>SUM(C73:C76)</f>
        <v>0</v>
      </c>
      <c r="D72" s="441">
        <f>SUM(D73:D76)</f>
        <v>0</v>
      </c>
      <c r="E72" s="441">
        <f>SUM(E73:E76)</f>
        <v>0</v>
      </c>
      <c r="F72" s="441">
        <f>SUM(F73:F76)</f>
        <v>0</v>
      </c>
      <c r="G72" s="442">
        <f t="shared" si="15"/>
        <v>0</v>
      </c>
      <c r="H72" s="446"/>
      <c r="I72" s="446"/>
      <c r="J72" s="446"/>
      <c r="K72" s="446"/>
      <c r="L72" s="441"/>
      <c r="M72" s="978">
        <f>SUM(M73:M76)</f>
        <v>3500</v>
      </c>
      <c r="N72" s="442">
        <f>SUM(N73:N76)</f>
        <v>180</v>
      </c>
      <c r="O72" s="442">
        <f>SUM(O73:O76)</f>
        <v>0</v>
      </c>
      <c r="P72" s="442">
        <f>SUM(P73:P76)</f>
        <v>0</v>
      </c>
      <c r="Q72" s="442">
        <f>SUM(Q73:Q76)</f>
        <v>3680</v>
      </c>
      <c r="R72" s="446"/>
      <c r="S72" s="446"/>
      <c r="T72" s="446"/>
      <c r="U72" s="441"/>
      <c r="V72" s="446"/>
      <c r="W72" s="446"/>
      <c r="X72" s="446"/>
      <c r="Y72" s="441"/>
      <c r="Z72" s="446"/>
      <c r="AA72" s="446"/>
      <c r="AB72" s="446"/>
      <c r="AC72" s="441"/>
      <c r="AD72" s="619">
        <f t="shared" ref="AD72:AD127" si="17">+G72+L72+Q72+U72+Y72+AC72</f>
        <v>3680</v>
      </c>
      <c r="AE72" s="354"/>
      <c r="AF72" s="354"/>
    </row>
    <row r="73" spans="1:32" s="357" customFormat="1" ht="18" customHeight="1" x14ac:dyDescent="0.2">
      <c r="A73" s="117">
        <v>54401</v>
      </c>
      <c r="B73" s="116" t="s">
        <v>327</v>
      </c>
      <c r="C73" s="163">
        <f>EgreUP01!C54</f>
        <v>0</v>
      </c>
      <c r="D73" s="163">
        <f>EgreUP01!C149</f>
        <v>0</v>
      </c>
      <c r="E73" s="163">
        <f>EgreUP02!C52</f>
        <v>0</v>
      </c>
      <c r="F73" s="441">
        <f>EgreUP02!C148</f>
        <v>0</v>
      </c>
      <c r="G73" s="442">
        <f t="shared" si="15"/>
        <v>0</v>
      </c>
      <c r="H73" s="446"/>
      <c r="I73" s="446"/>
      <c r="J73" s="446"/>
      <c r="K73" s="446"/>
      <c r="L73" s="441">
        <f t="shared" si="2"/>
        <v>0</v>
      </c>
      <c r="M73" s="442">
        <f>EgreUP01!D54</f>
        <v>0</v>
      </c>
      <c r="N73" s="442">
        <f>EgreUP01!D149</f>
        <v>0</v>
      </c>
      <c r="O73" s="442">
        <f>EgreUP02!D52</f>
        <v>0</v>
      </c>
      <c r="P73" s="442">
        <f>EgreUP02!D148</f>
        <v>0</v>
      </c>
      <c r="Q73" s="442">
        <f t="shared" si="14"/>
        <v>0</v>
      </c>
      <c r="R73" s="446"/>
      <c r="S73" s="446"/>
      <c r="T73" s="446"/>
      <c r="U73" s="441">
        <f t="shared" si="3"/>
        <v>0</v>
      </c>
      <c r="V73" s="446"/>
      <c r="W73" s="446"/>
      <c r="X73" s="446"/>
      <c r="Y73" s="441">
        <f t="shared" si="4"/>
        <v>0</v>
      </c>
      <c r="Z73" s="446"/>
      <c r="AA73" s="446"/>
      <c r="AB73" s="446"/>
      <c r="AC73" s="441">
        <f t="shared" si="5"/>
        <v>0</v>
      </c>
      <c r="AD73" s="619">
        <f t="shared" si="17"/>
        <v>0</v>
      </c>
      <c r="AE73" s="354"/>
      <c r="AF73" s="354"/>
    </row>
    <row r="74" spans="1:32" s="357" customFormat="1" ht="18" customHeight="1" x14ac:dyDescent="0.2">
      <c r="A74" s="117">
        <v>54402</v>
      </c>
      <c r="B74" s="116" t="s">
        <v>328</v>
      </c>
      <c r="C74" s="163">
        <f>EgreUP01!C55</f>
        <v>0</v>
      </c>
      <c r="D74" s="163">
        <f>EgreUP01!C150</f>
        <v>0</v>
      </c>
      <c r="E74" s="163">
        <f>EgreUP02!C53</f>
        <v>0</v>
      </c>
      <c r="F74" s="441">
        <f>EgreUP02!C149</f>
        <v>0</v>
      </c>
      <c r="G74" s="442">
        <f t="shared" si="15"/>
        <v>0</v>
      </c>
      <c r="H74" s="446"/>
      <c r="I74" s="446"/>
      <c r="J74" s="446"/>
      <c r="K74" s="446"/>
      <c r="L74" s="441">
        <f t="shared" si="2"/>
        <v>0</v>
      </c>
      <c r="M74" s="442">
        <f>EgreUP01!D55</f>
        <v>0</v>
      </c>
      <c r="N74" s="442">
        <f>EgreUP01!D150</f>
        <v>0</v>
      </c>
      <c r="O74" s="442">
        <f>EgreUP02!D53</f>
        <v>0</v>
      </c>
      <c r="P74" s="442">
        <f>EgreUP02!D149</f>
        <v>0</v>
      </c>
      <c r="Q74" s="442">
        <f t="shared" si="14"/>
        <v>0</v>
      </c>
      <c r="R74" s="446"/>
      <c r="S74" s="446"/>
      <c r="T74" s="446"/>
      <c r="U74" s="441">
        <f t="shared" si="3"/>
        <v>0</v>
      </c>
      <c r="V74" s="446"/>
      <c r="W74" s="446"/>
      <c r="X74" s="446"/>
      <c r="Y74" s="441">
        <f t="shared" si="4"/>
        <v>0</v>
      </c>
      <c r="Z74" s="446"/>
      <c r="AA74" s="446"/>
      <c r="AB74" s="446"/>
      <c r="AC74" s="441">
        <f t="shared" si="5"/>
        <v>0</v>
      </c>
      <c r="AD74" s="619">
        <f t="shared" si="17"/>
        <v>0</v>
      </c>
      <c r="AE74" s="354"/>
      <c r="AF74" s="354"/>
    </row>
    <row r="75" spans="1:32" s="357" customFormat="1" ht="18" customHeight="1" x14ac:dyDescent="0.2">
      <c r="A75" s="117">
        <v>54403</v>
      </c>
      <c r="B75" s="116" t="s">
        <v>330</v>
      </c>
      <c r="C75" s="163">
        <f>EgreUP01!C56</f>
        <v>0</v>
      </c>
      <c r="D75" s="163">
        <f>EgreUP01!C151</f>
        <v>0</v>
      </c>
      <c r="E75" s="163">
        <f>EgreUP02!C54</f>
        <v>0</v>
      </c>
      <c r="F75" s="441">
        <f>EgreUP02!C150</f>
        <v>0</v>
      </c>
      <c r="G75" s="442">
        <f t="shared" si="15"/>
        <v>0</v>
      </c>
      <c r="H75" s="446"/>
      <c r="I75" s="446"/>
      <c r="J75" s="446"/>
      <c r="K75" s="446"/>
      <c r="L75" s="441"/>
      <c r="M75" s="442">
        <f>EgreUP01!D56</f>
        <v>0</v>
      </c>
      <c r="N75" s="442">
        <f>EgreUP01!D151</f>
        <v>180</v>
      </c>
      <c r="O75" s="442">
        <f>EgreUP02!D54</f>
        <v>0</v>
      </c>
      <c r="P75" s="442">
        <f>EgreUP02!D150</f>
        <v>0</v>
      </c>
      <c r="Q75" s="442">
        <f t="shared" si="14"/>
        <v>180</v>
      </c>
      <c r="R75" s="446"/>
      <c r="S75" s="446"/>
      <c r="T75" s="446"/>
      <c r="U75" s="441"/>
      <c r="V75" s="446"/>
      <c r="W75" s="446"/>
      <c r="X75" s="446"/>
      <c r="Y75" s="441"/>
      <c r="Z75" s="446"/>
      <c r="AA75" s="446"/>
      <c r="AB75" s="446"/>
      <c r="AC75" s="441"/>
      <c r="AD75" s="619">
        <f t="shared" si="17"/>
        <v>180</v>
      </c>
      <c r="AE75" s="354"/>
      <c r="AF75" s="354"/>
    </row>
    <row r="76" spans="1:32" s="357" customFormat="1" ht="18" customHeight="1" x14ac:dyDescent="0.2">
      <c r="A76" s="117">
        <v>54404</v>
      </c>
      <c r="B76" s="116" t="s">
        <v>329</v>
      </c>
      <c r="C76" s="163">
        <f>EgreUP01!C57</f>
        <v>0</v>
      </c>
      <c r="D76" s="163">
        <f>EgreUP01!C152</f>
        <v>0</v>
      </c>
      <c r="E76" s="163">
        <f>EgreUP02!C55</f>
        <v>0</v>
      </c>
      <c r="F76" s="441">
        <f>EgreUP02!C151</f>
        <v>0</v>
      </c>
      <c r="G76" s="442">
        <f t="shared" si="15"/>
        <v>0</v>
      </c>
      <c r="H76" s="446"/>
      <c r="I76" s="446"/>
      <c r="J76" s="446"/>
      <c r="K76" s="446"/>
      <c r="L76" s="441"/>
      <c r="M76" s="442">
        <f>EgreUP01!D57</f>
        <v>3500</v>
      </c>
      <c r="N76" s="442">
        <f>EgreUP01!D152</f>
        <v>0</v>
      </c>
      <c r="O76" s="442">
        <f>EgreUP02!D55</f>
        <v>0</v>
      </c>
      <c r="P76" s="442">
        <f>EgreUP02!D151</f>
        <v>0</v>
      </c>
      <c r="Q76" s="442">
        <f t="shared" si="14"/>
        <v>3500</v>
      </c>
      <c r="R76" s="446"/>
      <c r="S76" s="446"/>
      <c r="T76" s="446"/>
      <c r="U76" s="441"/>
      <c r="V76" s="446"/>
      <c r="W76" s="446"/>
      <c r="X76" s="446"/>
      <c r="Y76" s="441"/>
      <c r="Z76" s="446"/>
      <c r="AA76" s="446"/>
      <c r="AB76" s="446"/>
      <c r="AC76" s="441"/>
      <c r="AD76" s="619">
        <f t="shared" si="17"/>
        <v>3500</v>
      </c>
      <c r="AE76" s="354"/>
      <c r="AF76" s="354"/>
    </row>
    <row r="77" spans="1:32" s="357" customFormat="1" ht="18" customHeight="1" x14ac:dyDescent="0.2">
      <c r="A77" s="443">
        <v>545</v>
      </c>
      <c r="B77" s="121" t="s">
        <v>331</v>
      </c>
      <c r="C77" s="441">
        <f>SUM(C78:C81)</f>
        <v>0</v>
      </c>
      <c r="D77" s="441">
        <f>SUM(D78:D81)</f>
        <v>0</v>
      </c>
      <c r="E77" s="441">
        <f>SUM(E78:E81)</f>
        <v>0</v>
      </c>
      <c r="F77" s="441">
        <f>SUM(F78:F81)</f>
        <v>0</v>
      </c>
      <c r="G77" s="442">
        <f>SUM(C77:F77)</f>
        <v>0</v>
      </c>
      <c r="H77" s="446"/>
      <c r="I77" s="446"/>
      <c r="J77" s="446"/>
      <c r="K77" s="446"/>
      <c r="L77" s="441"/>
      <c r="M77" s="978">
        <f>SUM(M78:M81)</f>
        <v>6200</v>
      </c>
      <c r="N77" s="442">
        <f>SUM(N78:N81)</f>
        <v>2465</v>
      </c>
      <c r="O77" s="442">
        <f>SUM(O78:O81)</f>
        <v>0</v>
      </c>
      <c r="P77" s="442">
        <f>SUM(P78:P81)</f>
        <v>0</v>
      </c>
      <c r="Q77" s="442">
        <f>SUM(Q78:Q81)</f>
        <v>8665</v>
      </c>
      <c r="R77" s="446"/>
      <c r="S77" s="446"/>
      <c r="T77" s="446"/>
      <c r="U77" s="441"/>
      <c r="V77" s="446"/>
      <c r="W77" s="446"/>
      <c r="X77" s="446"/>
      <c r="Y77" s="441"/>
      <c r="Z77" s="446"/>
      <c r="AA77" s="446"/>
      <c r="AB77" s="446"/>
      <c r="AC77" s="441"/>
      <c r="AD77" s="619">
        <f t="shared" si="17"/>
        <v>8665</v>
      </c>
      <c r="AE77" s="354"/>
      <c r="AF77" s="354"/>
    </row>
    <row r="78" spans="1:32" s="357" customFormat="1" ht="18" customHeight="1" x14ac:dyDescent="0.2">
      <c r="A78" s="117">
        <v>54503</v>
      </c>
      <c r="B78" s="116" t="s">
        <v>462</v>
      </c>
      <c r="C78" s="163">
        <f>EgreUP01!C59</f>
        <v>0</v>
      </c>
      <c r="D78" s="163">
        <f>EgreUP01!C154</f>
        <v>0</v>
      </c>
      <c r="E78" s="163">
        <f>EgreUP02!C57</f>
        <v>0</v>
      </c>
      <c r="F78" s="441">
        <f>EgreUP02!C153</f>
        <v>0</v>
      </c>
      <c r="G78" s="442">
        <f>SUM(C78:F78)</f>
        <v>0</v>
      </c>
      <c r="H78" s="446"/>
      <c r="I78" s="446"/>
      <c r="J78" s="446"/>
      <c r="K78" s="446"/>
      <c r="L78" s="441"/>
      <c r="M78" s="442">
        <f>EgreUP01!D59</f>
        <v>6200</v>
      </c>
      <c r="N78" s="442">
        <f>EgreUP01!D154</f>
        <v>0</v>
      </c>
      <c r="O78" s="442">
        <f>EgreUP02!D57</f>
        <v>0</v>
      </c>
      <c r="P78" s="442">
        <f>EgreUP02!D153</f>
        <v>0</v>
      </c>
      <c r="Q78" s="442">
        <f t="shared" si="14"/>
        <v>6200</v>
      </c>
      <c r="R78" s="446"/>
      <c r="S78" s="446"/>
      <c r="T78" s="446"/>
      <c r="U78" s="441"/>
      <c r="V78" s="446"/>
      <c r="W78" s="446"/>
      <c r="X78" s="446"/>
      <c r="Y78" s="441"/>
      <c r="Z78" s="446"/>
      <c r="AA78" s="446"/>
      <c r="AB78" s="446"/>
      <c r="AC78" s="441"/>
      <c r="AD78" s="619">
        <f t="shared" si="17"/>
        <v>6200</v>
      </c>
      <c r="AE78" s="354"/>
      <c r="AF78" s="354"/>
    </row>
    <row r="79" spans="1:32" s="357" customFormat="1" ht="18" customHeight="1" x14ac:dyDescent="0.2">
      <c r="A79" s="117">
        <v>54505</v>
      </c>
      <c r="B79" s="116" t="s">
        <v>333</v>
      </c>
      <c r="C79" s="163">
        <f>EgreUP01!C60</f>
        <v>0</v>
      </c>
      <c r="D79" s="163">
        <f>EgreUP01!C155</f>
        <v>0</v>
      </c>
      <c r="E79" s="163">
        <f>EgreUP02!C58</f>
        <v>0</v>
      </c>
      <c r="F79" s="441">
        <f>EgreUP02!C154</f>
        <v>0</v>
      </c>
      <c r="G79" s="442">
        <f t="shared" si="15"/>
        <v>0</v>
      </c>
      <c r="H79" s="446"/>
      <c r="I79" s="446"/>
      <c r="J79" s="446"/>
      <c r="K79" s="446"/>
      <c r="L79" s="441"/>
      <c r="M79" s="442">
        <f>EgreUP01!D60</f>
        <v>0</v>
      </c>
      <c r="N79" s="442">
        <f>EgreUP01!D155</f>
        <v>1965</v>
      </c>
      <c r="O79" s="442">
        <f>EgreUP02!D58</f>
        <v>0</v>
      </c>
      <c r="P79" s="442">
        <f>EgreUP02!D154</f>
        <v>0</v>
      </c>
      <c r="Q79" s="442">
        <f t="shared" si="14"/>
        <v>1965</v>
      </c>
      <c r="R79" s="446"/>
      <c r="S79" s="446"/>
      <c r="T79" s="446"/>
      <c r="U79" s="441"/>
      <c r="V79" s="446"/>
      <c r="W79" s="446"/>
      <c r="X79" s="446"/>
      <c r="Y79" s="441"/>
      <c r="Z79" s="446"/>
      <c r="AA79" s="446"/>
      <c r="AB79" s="446"/>
      <c r="AC79" s="441"/>
      <c r="AD79" s="619">
        <f t="shared" si="17"/>
        <v>1965</v>
      </c>
      <c r="AE79" s="354"/>
      <c r="AF79" s="354"/>
    </row>
    <row r="80" spans="1:32" s="357" customFormat="1" ht="18" customHeight="1" x14ac:dyDescent="0.2">
      <c r="A80" s="117">
        <v>54507</v>
      </c>
      <c r="B80" s="116" t="s">
        <v>334</v>
      </c>
      <c r="C80" s="163">
        <f>EgreUP01!C61</f>
        <v>0</v>
      </c>
      <c r="D80" s="163">
        <f>EgreUP01!C156</f>
        <v>0</v>
      </c>
      <c r="E80" s="163">
        <f>EgreUP02!C59</f>
        <v>0</v>
      </c>
      <c r="F80" s="441">
        <f>EgreUP02!C155</f>
        <v>0</v>
      </c>
      <c r="G80" s="442">
        <f t="shared" si="15"/>
        <v>0</v>
      </c>
      <c r="H80" s="446"/>
      <c r="I80" s="446"/>
      <c r="J80" s="446"/>
      <c r="K80" s="446"/>
      <c r="L80" s="441"/>
      <c r="M80" s="442">
        <f>EgreUP01!D61</f>
        <v>0</v>
      </c>
      <c r="N80" s="442">
        <f>EgreUP01!D156</f>
        <v>500</v>
      </c>
      <c r="O80" s="442">
        <f>EgreUP02!D59</f>
        <v>0</v>
      </c>
      <c r="P80" s="442">
        <f>EgreUP02!D155</f>
        <v>0</v>
      </c>
      <c r="Q80" s="442">
        <f t="shared" si="14"/>
        <v>500</v>
      </c>
      <c r="R80" s="446"/>
      <c r="S80" s="446"/>
      <c r="T80" s="446"/>
      <c r="U80" s="441"/>
      <c r="V80" s="446"/>
      <c r="W80" s="446"/>
      <c r="X80" s="446"/>
      <c r="Y80" s="441"/>
      <c r="Z80" s="446"/>
      <c r="AA80" s="446"/>
      <c r="AB80" s="446"/>
      <c r="AC80" s="441"/>
      <c r="AD80" s="619">
        <f t="shared" si="17"/>
        <v>500</v>
      </c>
      <c r="AE80" s="354"/>
      <c r="AF80" s="354"/>
    </row>
    <row r="81" spans="1:32" s="357" customFormat="1" ht="18" customHeight="1" x14ac:dyDescent="0.2">
      <c r="A81" s="117">
        <v>54599</v>
      </c>
      <c r="B81" s="116" t="s">
        <v>616</v>
      </c>
      <c r="C81" s="163">
        <f>EgreUP01!C62</f>
        <v>0</v>
      </c>
      <c r="D81" s="163">
        <f>EgreUP01!C157</f>
        <v>0</v>
      </c>
      <c r="E81" s="163">
        <f>EgreUP02!C60</f>
        <v>0</v>
      </c>
      <c r="F81" s="441">
        <f>EgreUP02!C156</f>
        <v>0</v>
      </c>
      <c r="G81" s="442">
        <f t="shared" si="15"/>
        <v>0</v>
      </c>
      <c r="H81" s="446"/>
      <c r="I81" s="446"/>
      <c r="J81" s="446"/>
      <c r="K81" s="446"/>
      <c r="L81" s="441"/>
      <c r="M81" s="442">
        <f>EgreUP01!D62</f>
        <v>0</v>
      </c>
      <c r="N81" s="442">
        <f>EgreUP01!D157</f>
        <v>0</v>
      </c>
      <c r="O81" s="442">
        <f>EgreUP02!D60</f>
        <v>0</v>
      </c>
      <c r="P81" s="442">
        <f>EgreUP02!D156</f>
        <v>0</v>
      </c>
      <c r="Q81" s="442">
        <f t="shared" si="14"/>
        <v>0</v>
      </c>
      <c r="R81" s="446"/>
      <c r="S81" s="446"/>
      <c r="T81" s="446"/>
      <c r="U81" s="441"/>
      <c r="V81" s="446"/>
      <c r="W81" s="446"/>
      <c r="X81" s="446"/>
      <c r="Y81" s="441"/>
      <c r="Z81" s="446"/>
      <c r="AA81" s="446"/>
      <c r="AB81" s="446"/>
      <c r="AC81" s="441"/>
      <c r="AD81" s="619">
        <f t="shared" si="17"/>
        <v>0</v>
      </c>
      <c r="AE81" s="354"/>
      <c r="AF81" s="354"/>
    </row>
    <row r="82" spans="1:32" s="357" customFormat="1" ht="18" customHeight="1" x14ac:dyDescent="0.2">
      <c r="A82" s="443">
        <v>55</v>
      </c>
      <c r="B82" s="121" t="s">
        <v>112</v>
      </c>
      <c r="C82" s="446">
        <f t="shared" ref="C82:J82" si="18">C83+C88+C92</f>
        <v>0</v>
      </c>
      <c r="D82" s="446">
        <f t="shared" si="18"/>
        <v>0</v>
      </c>
      <c r="E82" s="446">
        <f t="shared" si="18"/>
        <v>0</v>
      </c>
      <c r="F82" s="446">
        <f t="shared" si="18"/>
        <v>0</v>
      </c>
      <c r="G82" s="446">
        <f t="shared" si="18"/>
        <v>0</v>
      </c>
      <c r="H82" s="446">
        <f t="shared" si="18"/>
        <v>0</v>
      </c>
      <c r="I82" s="446">
        <f t="shared" si="18"/>
        <v>0</v>
      </c>
      <c r="J82" s="446">
        <f t="shared" si="18"/>
        <v>0</v>
      </c>
      <c r="K82" s="446">
        <f>K83+K88+K92</f>
        <v>487102</v>
      </c>
      <c r="L82" s="446">
        <f>L83+L88+L92</f>
        <v>487102</v>
      </c>
      <c r="M82" s="977">
        <f t="shared" ref="M82:Y82" si="19">M83+M88+M92</f>
        <v>2000</v>
      </c>
      <c r="N82" s="446">
        <f t="shared" si="19"/>
        <v>10216</v>
      </c>
      <c r="O82" s="446">
        <f t="shared" si="19"/>
        <v>13000</v>
      </c>
      <c r="P82" s="446">
        <f t="shared" si="19"/>
        <v>0</v>
      </c>
      <c r="Q82" s="446">
        <f>Q83+Q88+Q92</f>
        <v>25216</v>
      </c>
      <c r="R82" s="446">
        <f t="shared" si="19"/>
        <v>0</v>
      </c>
      <c r="S82" s="446">
        <f t="shared" si="19"/>
        <v>0</v>
      </c>
      <c r="T82" s="446">
        <f t="shared" si="19"/>
        <v>0</v>
      </c>
      <c r="U82" s="446">
        <f t="shared" si="19"/>
        <v>0</v>
      </c>
      <c r="V82" s="446">
        <f t="shared" si="19"/>
        <v>0</v>
      </c>
      <c r="W82" s="446">
        <f t="shared" si="19"/>
        <v>0</v>
      </c>
      <c r="X82" s="446">
        <f t="shared" si="19"/>
        <v>0</v>
      </c>
      <c r="Y82" s="446">
        <f t="shared" si="19"/>
        <v>0</v>
      </c>
      <c r="Z82" s="446"/>
      <c r="AA82" s="446"/>
      <c r="AB82" s="446"/>
      <c r="AC82" s="441"/>
      <c r="AD82" s="619">
        <f t="shared" si="17"/>
        <v>512318</v>
      </c>
      <c r="AE82" s="354"/>
      <c r="AF82" s="354"/>
    </row>
    <row r="83" spans="1:32" s="357" customFormat="1" ht="18" customHeight="1" x14ac:dyDescent="0.2">
      <c r="A83" s="443">
        <v>553</v>
      </c>
      <c r="B83" s="121" t="s">
        <v>399</v>
      </c>
      <c r="C83" s="163">
        <f>C84+C85</f>
        <v>0</v>
      </c>
      <c r="D83" s="163">
        <f t="shared" ref="D83:AC83" si="20">D84+D85</f>
        <v>0</v>
      </c>
      <c r="E83" s="163">
        <f t="shared" si="20"/>
        <v>0</v>
      </c>
      <c r="F83" s="163">
        <f t="shared" si="20"/>
        <v>0</v>
      </c>
      <c r="G83" s="442">
        <f t="shared" si="15"/>
        <v>0</v>
      </c>
      <c r="H83" s="163">
        <f t="shared" si="20"/>
        <v>0</v>
      </c>
      <c r="I83" s="163">
        <f t="shared" si="20"/>
        <v>0</v>
      </c>
      <c r="J83" s="163">
        <f t="shared" si="20"/>
        <v>0</v>
      </c>
      <c r="K83" s="163">
        <f t="shared" si="20"/>
        <v>487102</v>
      </c>
      <c r="L83" s="163">
        <f>L84+L85</f>
        <v>487102</v>
      </c>
      <c r="M83" s="163">
        <f>M84+M85</f>
        <v>0</v>
      </c>
      <c r="N83" s="163">
        <f>N84+N85</f>
        <v>0</v>
      </c>
      <c r="O83" s="163">
        <f>O84+O85</f>
        <v>0</v>
      </c>
      <c r="P83" s="163">
        <f>P84+P85</f>
        <v>0</v>
      </c>
      <c r="Q83" s="163">
        <f t="shared" si="20"/>
        <v>0</v>
      </c>
      <c r="R83" s="163">
        <f t="shared" si="20"/>
        <v>0</v>
      </c>
      <c r="S83" s="163">
        <f t="shared" si="20"/>
        <v>0</v>
      </c>
      <c r="T83" s="163">
        <f t="shared" si="20"/>
        <v>0</v>
      </c>
      <c r="U83" s="163">
        <f t="shared" si="20"/>
        <v>0</v>
      </c>
      <c r="V83" s="163">
        <f t="shared" si="20"/>
        <v>0</v>
      </c>
      <c r="W83" s="163">
        <f t="shared" si="20"/>
        <v>0</v>
      </c>
      <c r="X83" s="163">
        <f t="shared" si="20"/>
        <v>0</v>
      </c>
      <c r="Y83" s="163">
        <f t="shared" si="20"/>
        <v>0</v>
      </c>
      <c r="Z83" s="163">
        <f t="shared" si="20"/>
        <v>0</v>
      </c>
      <c r="AA83" s="163">
        <f t="shared" si="20"/>
        <v>0</v>
      </c>
      <c r="AB83" s="163">
        <f t="shared" si="20"/>
        <v>0</v>
      </c>
      <c r="AC83" s="163">
        <f t="shared" si="20"/>
        <v>0</v>
      </c>
      <c r="AD83" s="619">
        <f t="shared" si="17"/>
        <v>487102</v>
      </c>
      <c r="AE83" s="354"/>
      <c r="AF83" s="354"/>
    </row>
    <row r="84" spans="1:32" s="357" customFormat="1" ht="18" customHeight="1" x14ac:dyDescent="0.2">
      <c r="A84" s="449">
        <v>55301</v>
      </c>
      <c r="B84" s="116" t="s">
        <v>398</v>
      </c>
      <c r="C84" s="163"/>
      <c r="D84" s="163"/>
      <c r="E84" s="163">
        <f>EgreUP02!C63</f>
        <v>0</v>
      </c>
      <c r="F84" s="441">
        <f>EgreUP02!C161</f>
        <v>0</v>
      </c>
      <c r="G84" s="442">
        <f t="shared" si="15"/>
        <v>0</v>
      </c>
      <c r="H84" s="446"/>
      <c r="I84" s="446"/>
      <c r="J84" s="446"/>
      <c r="K84" s="446">
        <f>Egre0304!C104</f>
        <v>0</v>
      </c>
      <c r="L84" s="441">
        <f t="shared" ref="L84:L91" si="21">SUM(H84:K84)</f>
        <v>0</v>
      </c>
      <c r="M84" s="442"/>
      <c r="N84" s="442"/>
      <c r="O84" s="442"/>
      <c r="P84" s="442"/>
      <c r="Q84" s="442">
        <f t="shared" ref="Q84:Q93" si="22">SUM(M84:P84)</f>
        <v>0</v>
      </c>
      <c r="R84" s="446"/>
      <c r="S84" s="446"/>
      <c r="T84" s="446"/>
      <c r="U84" s="441">
        <f t="shared" ref="U84:U91" si="23">SUM(R84:T84)</f>
        <v>0</v>
      </c>
      <c r="V84" s="446"/>
      <c r="W84" s="446"/>
      <c r="X84" s="446">
        <f>Egre0304!F104</f>
        <v>0</v>
      </c>
      <c r="Y84" s="441">
        <f t="shared" ref="Y84:Y91" si="24">SUM(V84:X84)</f>
        <v>0</v>
      </c>
      <c r="Z84" s="446"/>
      <c r="AA84" s="446"/>
      <c r="AB84" s="446"/>
      <c r="AC84" s="441">
        <f t="shared" ref="AC84:AC91" si="25">SUM(Z84:AB84)</f>
        <v>0</v>
      </c>
      <c r="AD84" s="619">
        <f t="shared" si="17"/>
        <v>0</v>
      </c>
      <c r="AE84" s="354"/>
      <c r="AF84" s="354"/>
    </row>
    <row r="85" spans="1:32" s="357" customFormat="1" ht="18" customHeight="1" x14ac:dyDescent="0.2">
      <c r="A85" s="449">
        <v>55308</v>
      </c>
      <c r="B85" s="116" t="s">
        <v>367</v>
      </c>
      <c r="C85" s="163"/>
      <c r="D85" s="163"/>
      <c r="E85" s="163">
        <f>EgreUP02!C64</f>
        <v>0</v>
      </c>
      <c r="F85" s="441">
        <f>EgreUP02!C162</f>
        <v>0</v>
      </c>
      <c r="G85" s="442">
        <f t="shared" si="15"/>
        <v>0</v>
      </c>
      <c r="H85" s="446"/>
      <c r="I85" s="446"/>
      <c r="J85" s="446"/>
      <c r="K85" s="446">
        <f>Egre0304!C105</f>
        <v>487102</v>
      </c>
      <c r="L85" s="441">
        <f t="shared" si="21"/>
        <v>487102</v>
      </c>
      <c r="M85" s="442"/>
      <c r="N85" s="442"/>
      <c r="O85" s="442"/>
      <c r="P85" s="442"/>
      <c r="Q85" s="442">
        <f t="shared" si="22"/>
        <v>0</v>
      </c>
      <c r="R85" s="446"/>
      <c r="S85" s="446"/>
      <c r="T85" s="446"/>
      <c r="U85" s="441">
        <f t="shared" si="23"/>
        <v>0</v>
      </c>
      <c r="V85" s="446"/>
      <c r="W85" s="446"/>
      <c r="X85" s="446">
        <f>Egre0304!F105</f>
        <v>0</v>
      </c>
      <c r="Y85" s="441">
        <f t="shared" si="24"/>
        <v>0</v>
      </c>
      <c r="Z85" s="446"/>
      <c r="AA85" s="446"/>
      <c r="AB85" s="446"/>
      <c r="AC85" s="441">
        <f t="shared" si="25"/>
        <v>0</v>
      </c>
      <c r="AD85" s="619">
        <f t="shared" si="17"/>
        <v>487102</v>
      </c>
      <c r="AE85" s="354"/>
      <c r="AF85" s="354"/>
    </row>
    <row r="86" spans="1:32" s="354" customFormat="1" ht="18" customHeight="1" x14ac:dyDescent="0.2">
      <c r="A86" s="287">
        <v>555</v>
      </c>
      <c r="B86" s="533" t="str">
        <f>EgreUP02!B158</f>
        <v>Impuestos tasas y derechos</v>
      </c>
      <c r="C86" s="167"/>
      <c r="D86" s="167"/>
      <c r="E86" s="167"/>
      <c r="F86" s="1091"/>
      <c r="G86" s="978"/>
      <c r="H86" s="977"/>
      <c r="I86" s="977"/>
      <c r="J86" s="977"/>
      <c r="K86" s="977"/>
      <c r="L86" s="1091">
        <f>SUM(L87)</f>
        <v>0</v>
      </c>
      <c r="M86" s="1091">
        <f t="shared" ref="M86:Q86" si="26">SUM(M87)</f>
        <v>0</v>
      </c>
      <c r="N86" s="1091">
        <f t="shared" si="26"/>
        <v>0</v>
      </c>
      <c r="O86" s="1091">
        <f t="shared" si="26"/>
        <v>0</v>
      </c>
      <c r="P86" s="1091">
        <f t="shared" si="26"/>
        <v>12565.56</v>
      </c>
      <c r="Q86" s="1091">
        <f t="shared" si="26"/>
        <v>12565.56</v>
      </c>
      <c r="R86" s="977"/>
      <c r="S86" s="977"/>
      <c r="T86" s="977"/>
      <c r="U86" s="1091"/>
      <c r="V86" s="977"/>
      <c r="W86" s="977"/>
      <c r="X86" s="977"/>
      <c r="Y86" s="1091"/>
      <c r="Z86" s="977"/>
      <c r="AA86" s="977"/>
      <c r="AB86" s="977"/>
      <c r="AC86" s="1091"/>
      <c r="AD86" s="1092">
        <f t="shared" si="17"/>
        <v>12565.56</v>
      </c>
    </row>
    <row r="87" spans="1:32" s="357" customFormat="1" ht="18" customHeight="1" x14ac:dyDescent="0.2">
      <c r="A87" s="61">
        <v>55508</v>
      </c>
      <c r="B87" s="535" t="str">
        <f>EgreUP02!B159</f>
        <v>Derechos</v>
      </c>
      <c r="C87" s="163"/>
      <c r="D87" s="163"/>
      <c r="E87" s="163"/>
      <c r="F87" s="441"/>
      <c r="G87" s="442"/>
      <c r="H87" s="446"/>
      <c r="I87" s="446"/>
      <c r="J87" s="446"/>
      <c r="K87" s="446"/>
      <c r="L87" s="441"/>
      <c r="M87" s="442"/>
      <c r="N87" s="442"/>
      <c r="O87" s="442"/>
      <c r="P87" s="442">
        <f>EgreUP02!D159</f>
        <v>12565.56</v>
      </c>
      <c r="Q87" s="442">
        <f>SUM(M87:P87)</f>
        <v>12565.56</v>
      </c>
      <c r="R87" s="446"/>
      <c r="S87" s="446"/>
      <c r="T87" s="446"/>
      <c r="U87" s="441"/>
      <c r="V87" s="446"/>
      <c r="W87" s="446"/>
      <c r="X87" s="446"/>
      <c r="Y87" s="441"/>
      <c r="Z87" s="446"/>
      <c r="AA87" s="446"/>
      <c r="AB87" s="446"/>
      <c r="AC87" s="441"/>
      <c r="AD87" s="619">
        <f t="shared" si="17"/>
        <v>12565.56</v>
      </c>
      <c r="AE87" s="354"/>
      <c r="AF87" s="354"/>
    </row>
    <row r="88" spans="1:32" s="357" customFormat="1" ht="18" customHeight="1" x14ac:dyDescent="0.2">
      <c r="A88" s="443">
        <v>556</v>
      </c>
      <c r="B88" s="121" t="s">
        <v>377</v>
      </c>
      <c r="C88" s="441">
        <f>SUM(C89:C91)</f>
        <v>0</v>
      </c>
      <c r="D88" s="441">
        <f>SUM(D89:D91)</f>
        <v>0</v>
      </c>
      <c r="E88" s="441">
        <f>SUM(E89:E91)</f>
        <v>0</v>
      </c>
      <c r="F88" s="441">
        <f>SUM(F89:F91)</f>
        <v>0</v>
      </c>
      <c r="G88" s="442">
        <f t="shared" si="15"/>
        <v>0</v>
      </c>
      <c r="H88" s="446"/>
      <c r="I88" s="446"/>
      <c r="J88" s="446"/>
      <c r="K88" s="446"/>
      <c r="L88" s="441">
        <f t="shared" si="21"/>
        <v>0</v>
      </c>
      <c r="M88" s="978">
        <f>SUM(M89:M91)</f>
        <v>2000</v>
      </c>
      <c r="N88" s="442">
        <f>SUM(N89:N91)</f>
        <v>216</v>
      </c>
      <c r="O88" s="442">
        <f>SUM(O89:O91)</f>
        <v>13000</v>
      </c>
      <c r="P88" s="442">
        <f>SUM(P89:P91)</f>
        <v>0</v>
      </c>
      <c r="Q88" s="442">
        <f>SUM(Q89:Q91)</f>
        <v>15216</v>
      </c>
      <c r="R88" s="446"/>
      <c r="S88" s="446"/>
      <c r="T88" s="446"/>
      <c r="U88" s="441">
        <f t="shared" si="23"/>
        <v>0</v>
      </c>
      <c r="V88" s="446"/>
      <c r="W88" s="446"/>
      <c r="X88" s="446"/>
      <c r="Y88" s="441">
        <f t="shared" si="24"/>
        <v>0</v>
      </c>
      <c r="Z88" s="446"/>
      <c r="AA88" s="446"/>
      <c r="AB88" s="446"/>
      <c r="AC88" s="441">
        <f t="shared" si="25"/>
        <v>0</v>
      </c>
      <c r="AD88" s="619">
        <f t="shared" si="17"/>
        <v>15216</v>
      </c>
      <c r="AE88" s="354"/>
      <c r="AF88" s="354"/>
    </row>
    <row r="89" spans="1:32" s="357" customFormat="1" ht="18" customHeight="1" x14ac:dyDescent="0.2">
      <c r="A89" s="117">
        <v>55601</v>
      </c>
      <c r="B89" s="116" t="s">
        <v>336</v>
      </c>
      <c r="C89" s="163">
        <f>EgreUP01!C65</f>
        <v>0</v>
      </c>
      <c r="D89" s="163">
        <f>EgreUP01!C160</f>
        <v>0</v>
      </c>
      <c r="E89" s="163">
        <f>EgreUP02!C66</f>
        <v>0</v>
      </c>
      <c r="F89" s="441">
        <f>EgreUP02!C164</f>
        <v>0</v>
      </c>
      <c r="G89" s="442">
        <f t="shared" si="15"/>
        <v>0</v>
      </c>
      <c r="H89" s="446"/>
      <c r="I89" s="446"/>
      <c r="J89" s="446"/>
      <c r="K89" s="446"/>
      <c r="L89" s="441">
        <f t="shared" si="21"/>
        <v>0</v>
      </c>
      <c r="M89" s="442">
        <f>EgreUP01!D65</f>
        <v>2000</v>
      </c>
      <c r="N89" s="442">
        <f>EgreUP01!D160</f>
        <v>0</v>
      </c>
      <c r="O89" s="442">
        <f>EgreUP02!D63</f>
        <v>0</v>
      </c>
      <c r="P89" s="442">
        <f>EgreUP02!D161</f>
        <v>0</v>
      </c>
      <c r="Q89" s="442">
        <f>SUM(M89:P89)</f>
        <v>2000</v>
      </c>
      <c r="R89" s="446"/>
      <c r="S89" s="446"/>
      <c r="T89" s="446"/>
      <c r="U89" s="441">
        <f t="shared" si="23"/>
        <v>0</v>
      </c>
      <c r="V89" s="446"/>
      <c r="W89" s="446"/>
      <c r="X89" s="446"/>
      <c r="Y89" s="441">
        <f t="shared" si="24"/>
        <v>0</v>
      </c>
      <c r="Z89" s="446"/>
      <c r="AA89" s="446"/>
      <c r="AB89" s="446"/>
      <c r="AC89" s="441">
        <f t="shared" si="25"/>
        <v>0</v>
      </c>
      <c r="AD89" s="619">
        <f t="shared" si="17"/>
        <v>2000</v>
      </c>
      <c r="AE89" s="354"/>
      <c r="AF89" s="354"/>
    </row>
    <row r="90" spans="1:32" s="357" customFormat="1" ht="18" customHeight="1" x14ac:dyDescent="0.2">
      <c r="A90" s="117">
        <v>55602</v>
      </c>
      <c r="B90" s="116" t="s">
        <v>337</v>
      </c>
      <c r="C90" s="163">
        <f>EgreUP01!C66</f>
        <v>0</v>
      </c>
      <c r="D90" s="163">
        <f>EgreUP01!C161</f>
        <v>0</v>
      </c>
      <c r="E90" s="163">
        <f>EgreUP02!C67</f>
        <v>0</v>
      </c>
      <c r="F90" s="441">
        <f>EgreUP02!C165</f>
        <v>0</v>
      </c>
      <c r="G90" s="442">
        <f t="shared" si="15"/>
        <v>0</v>
      </c>
      <c r="H90" s="446"/>
      <c r="I90" s="446"/>
      <c r="J90" s="446"/>
      <c r="K90" s="446"/>
      <c r="L90" s="441">
        <f t="shared" si="21"/>
        <v>0</v>
      </c>
      <c r="M90" s="442">
        <f>EgreUP01!D66</f>
        <v>0</v>
      </c>
      <c r="N90" s="442">
        <f>EgreUP01!D161</f>
        <v>0</v>
      </c>
      <c r="O90" s="442">
        <f>EgreUP02!D64</f>
        <v>13000</v>
      </c>
      <c r="P90" s="442">
        <f>EgreUP02!D162</f>
        <v>0</v>
      </c>
      <c r="Q90" s="442">
        <f t="shared" si="22"/>
        <v>13000</v>
      </c>
      <c r="R90" s="446"/>
      <c r="S90" s="446"/>
      <c r="T90" s="446"/>
      <c r="U90" s="441">
        <f t="shared" si="23"/>
        <v>0</v>
      </c>
      <c r="V90" s="446"/>
      <c r="W90" s="446"/>
      <c r="X90" s="446"/>
      <c r="Y90" s="441">
        <f t="shared" si="24"/>
        <v>0</v>
      </c>
      <c r="Z90" s="446"/>
      <c r="AA90" s="446"/>
      <c r="AB90" s="446"/>
      <c r="AC90" s="441">
        <f t="shared" si="25"/>
        <v>0</v>
      </c>
      <c r="AD90" s="619">
        <f t="shared" si="17"/>
        <v>13000</v>
      </c>
      <c r="AE90" s="354"/>
      <c r="AF90" s="354"/>
    </row>
    <row r="91" spans="1:32" s="357" customFormat="1" ht="18" customHeight="1" x14ac:dyDescent="0.2">
      <c r="A91" s="117">
        <v>55603</v>
      </c>
      <c r="B91" s="116" t="s">
        <v>338</v>
      </c>
      <c r="C91" s="163">
        <f>EgreUP01!C67</f>
        <v>0</v>
      </c>
      <c r="D91" s="163">
        <f>EgreUP01!C162</f>
        <v>0</v>
      </c>
      <c r="E91" s="163">
        <f>EgreUP02!C68</f>
        <v>0</v>
      </c>
      <c r="F91" s="441">
        <f>EgreUP02!C166</f>
        <v>0</v>
      </c>
      <c r="G91" s="442">
        <f t="shared" si="15"/>
        <v>0</v>
      </c>
      <c r="H91" s="446"/>
      <c r="I91" s="446"/>
      <c r="J91" s="446"/>
      <c r="K91" s="446"/>
      <c r="L91" s="441">
        <f t="shared" si="21"/>
        <v>0</v>
      </c>
      <c r="M91" s="442">
        <f>EgreUP01!D67</f>
        <v>0</v>
      </c>
      <c r="N91" s="442">
        <f>EgreUP01!D162</f>
        <v>216</v>
      </c>
      <c r="O91" s="442">
        <f>EgreUP02!D65</f>
        <v>0</v>
      </c>
      <c r="P91" s="442">
        <f>EgreUP02!D163</f>
        <v>0</v>
      </c>
      <c r="Q91" s="442">
        <f t="shared" si="22"/>
        <v>216</v>
      </c>
      <c r="R91" s="446"/>
      <c r="S91" s="446"/>
      <c r="T91" s="446"/>
      <c r="U91" s="441">
        <f t="shared" si="23"/>
        <v>0</v>
      </c>
      <c r="V91" s="446"/>
      <c r="W91" s="446"/>
      <c r="X91" s="446"/>
      <c r="Y91" s="441">
        <f t="shared" si="24"/>
        <v>0</v>
      </c>
      <c r="Z91" s="446"/>
      <c r="AA91" s="446"/>
      <c r="AB91" s="446"/>
      <c r="AC91" s="441">
        <f t="shared" si="25"/>
        <v>0</v>
      </c>
      <c r="AD91" s="619">
        <f t="shared" si="17"/>
        <v>216</v>
      </c>
      <c r="AE91" s="354"/>
      <c r="AF91" s="354"/>
    </row>
    <row r="92" spans="1:32" s="357" customFormat="1" ht="18" customHeight="1" x14ac:dyDescent="0.2">
      <c r="A92" s="443">
        <v>557</v>
      </c>
      <c r="B92" s="121" t="s">
        <v>114</v>
      </c>
      <c r="C92" s="441">
        <f>C93</f>
        <v>0</v>
      </c>
      <c r="D92" s="441">
        <f>D93</f>
        <v>0</v>
      </c>
      <c r="E92" s="441">
        <f>E93</f>
        <v>0</v>
      </c>
      <c r="F92" s="441">
        <f>F93</f>
        <v>0</v>
      </c>
      <c r="G92" s="442">
        <f t="shared" si="15"/>
        <v>0</v>
      </c>
      <c r="H92" s="446"/>
      <c r="I92" s="446"/>
      <c r="J92" s="446"/>
      <c r="K92" s="446"/>
      <c r="L92" s="441">
        <f t="shared" si="2"/>
        <v>0</v>
      </c>
      <c r="M92" s="442">
        <f>SUM(M93)</f>
        <v>0</v>
      </c>
      <c r="N92" s="442">
        <f>SUM(N93)</f>
        <v>10000</v>
      </c>
      <c r="O92" s="442">
        <f>SUM(O93)</f>
        <v>0</v>
      </c>
      <c r="P92" s="442">
        <f>SUM(P93)</f>
        <v>0</v>
      </c>
      <c r="Q92" s="442">
        <f>SUM(Q93)</f>
        <v>10000</v>
      </c>
      <c r="R92" s="446"/>
      <c r="S92" s="446"/>
      <c r="T92" s="446"/>
      <c r="U92" s="441">
        <f t="shared" si="3"/>
        <v>0</v>
      </c>
      <c r="V92" s="446"/>
      <c r="W92" s="446"/>
      <c r="X92" s="446"/>
      <c r="Y92" s="441">
        <f t="shared" si="4"/>
        <v>0</v>
      </c>
      <c r="Z92" s="446"/>
      <c r="AA92" s="446"/>
      <c r="AB92" s="446"/>
      <c r="AC92" s="441">
        <f t="shared" si="5"/>
        <v>0</v>
      </c>
      <c r="AD92" s="619">
        <f t="shared" si="17"/>
        <v>10000</v>
      </c>
      <c r="AE92" s="354"/>
      <c r="AF92" s="354"/>
    </row>
    <row r="93" spans="1:32" s="357" customFormat="1" ht="18" customHeight="1" x14ac:dyDescent="0.2">
      <c r="A93" s="117">
        <v>55799</v>
      </c>
      <c r="B93" s="116" t="s">
        <v>339</v>
      </c>
      <c r="C93" s="163">
        <f>EgreUP01!C69</f>
        <v>0</v>
      </c>
      <c r="D93" s="163">
        <f>EgreUP01!C164</f>
        <v>0</v>
      </c>
      <c r="E93" s="163">
        <f>EgreUP02!C70</f>
        <v>0</v>
      </c>
      <c r="F93" s="441">
        <f>EgreUP02!C168</f>
        <v>0</v>
      </c>
      <c r="G93" s="442">
        <f t="shared" si="15"/>
        <v>0</v>
      </c>
      <c r="H93" s="446"/>
      <c r="I93" s="446"/>
      <c r="J93" s="446"/>
      <c r="K93" s="446"/>
      <c r="L93" s="441">
        <f t="shared" si="2"/>
        <v>0</v>
      </c>
      <c r="M93" s="442">
        <f>EgreUP01!D69</f>
        <v>0</v>
      </c>
      <c r="N93" s="442">
        <f>EgreUP01!D164</f>
        <v>10000</v>
      </c>
      <c r="O93" s="442">
        <f>EgreUP02!D67</f>
        <v>0</v>
      </c>
      <c r="P93" s="442">
        <f>EgreUP02!D165</f>
        <v>0</v>
      </c>
      <c r="Q93" s="442">
        <f t="shared" si="22"/>
        <v>10000</v>
      </c>
      <c r="R93" s="446"/>
      <c r="S93" s="446"/>
      <c r="T93" s="446"/>
      <c r="U93" s="441">
        <f t="shared" si="3"/>
        <v>0</v>
      </c>
      <c r="V93" s="446"/>
      <c r="W93" s="446"/>
      <c r="X93" s="446"/>
      <c r="Y93" s="441">
        <f t="shared" si="4"/>
        <v>0</v>
      </c>
      <c r="Z93" s="446"/>
      <c r="AA93" s="446"/>
      <c r="AB93" s="446"/>
      <c r="AC93" s="441">
        <f t="shared" si="5"/>
        <v>0</v>
      </c>
      <c r="AD93" s="619">
        <f t="shared" si="17"/>
        <v>10000</v>
      </c>
      <c r="AE93" s="354"/>
      <c r="AF93" s="354"/>
    </row>
    <row r="94" spans="1:32" s="357" customFormat="1" ht="18" customHeight="1" x14ac:dyDescent="0.2">
      <c r="A94" s="443">
        <v>56</v>
      </c>
      <c r="B94" s="121" t="s">
        <v>115</v>
      </c>
      <c r="C94" s="441">
        <f>EgreUP01!C70</f>
        <v>0</v>
      </c>
      <c r="D94" s="441">
        <f>D95+D97</f>
        <v>0</v>
      </c>
      <c r="E94" s="441">
        <f>E95+E97</f>
        <v>0</v>
      </c>
      <c r="F94" s="441">
        <f>F95+F97</f>
        <v>0</v>
      </c>
      <c r="G94" s="442">
        <f t="shared" si="15"/>
        <v>0</v>
      </c>
      <c r="H94" s="446">
        <f>H95+H97</f>
        <v>0</v>
      </c>
      <c r="I94" s="446">
        <f t="shared" ref="I94:K94" si="27">I95+I97</f>
        <v>32501</v>
      </c>
      <c r="J94" s="446">
        <f t="shared" si="27"/>
        <v>0</v>
      </c>
      <c r="K94" s="446">
        <f t="shared" si="27"/>
        <v>0</v>
      </c>
      <c r="L94" s="441">
        <f t="shared" si="2"/>
        <v>32501</v>
      </c>
      <c r="M94" s="978">
        <f>M95+M97</f>
        <v>10400</v>
      </c>
      <c r="N94" s="442">
        <f>N95+N97</f>
        <v>2500</v>
      </c>
      <c r="O94" s="442">
        <f>O95+O97</f>
        <v>0</v>
      </c>
      <c r="P94" s="442">
        <f>P95+P97</f>
        <v>0</v>
      </c>
      <c r="Q94" s="442">
        <f>Q95+Q97</f>
        <v>12900</v>
      </c>
      <c r="R94" s="446"/>
      <c r="S94" s="446"/>
      <c r="T94" s="446"/>
      <c r="U94" s="441">
        <f t="shared" si="3"/>
        <v>0</v>
      </c>
      <c r="V94" s="446"/>
      <c r="W94" s="446"/>
      <c r="X94" s="446"/>
      <c r="Y94" s="441">
        <f t="shared" si="4"/>
        <v>0</v>
      </c>
      <c r="Z94" s="446"/>
      <c r="AA94" s="446"/>
      <c r="AB94" s="446"/>
      <c r="AC94" s="441">
        <f t="shared" si="5"/>
        <v>0</v>
      </c>
      <c r="AD94" s="619">
        <f t="shared" si="17"/>
        <v>45401</v>
      </c>
      <c r="AE94" s="354"/>
      <c r="AF94" s="354"/>
    </row>
    <row r="95" spans="1:32" s="357" customFormat="1" ht="18" customHeight="1" x14ac:dyDescent="0.2">
      <c r="A95" s="443">
        <v>562</v>
      </c>
      <c r="B95" s="121" t="s">
        <v>378</v>
      </c>
      <c r="C95" s="441">
        <f>EgreUP01!C71</f>
        <v>0</v>
      </c>
      <c r="D95" s="441">
        <f>D96</f>
        <v>0</v>
      </c>
      <c r="E95" s="441">
        <f>E96</f>
        <v>0</v>
      </c>
      <c r="F95" s="441">
        <f>F96</f>
        <v>0</v>
      </c>
      <c r="G95" s="442">
        <f t="shared" si="15"/>
        <v>0</v>
      </c>
      <c r="H95" s="446">
        <f>SUM(H96)</f>
        <v>0</v>
      </c>
      <c r="I95" s="446">
        <f t="shared" ref="I95:K95" si="28">SUM(I96)</f>
        <v>0</v>
      </c>
      <c r="J95" s="446">
        <f t="shared" si="28"/>
        <v>0</v>
      </c>
      <c r="K95" s="446">
        <f t="shared" si="28"/>
        <v>0</v>
      </c>
      <c r="L95" s="441">
        <f t="shared" si="2"/>
        <v>0</v>
      </c>
      <c r="M95" s="442">
        <f>M96</f>
        <v>0</v>
      </c>
      <c r="N95" s="442">
        <f>N96</f>
        <v>0</v>
      </c>
      <c r="O95" s="442">
        <f>O96</f>
        <v>0</v>
      </c>
      <c r="P95" s="442">
        <f>P96</f>
        <v>0</v>
      </c>
      <c r="Q95" s="442">
        <f>Q96</f>
        <v>0</v>
      </c>
      <c r="R95" s="446"/>
      <c r="S95" s="446"/>
      <c r="T95" s="446"/>
      <c r="U95" s="441">
        <f>SUM(R95:T95)</f>
        <v>0</v>
      </c>
      <c r="V95" s="446"/>
      <c r="W95" s="446"/>
      <c r="X95" s="446"/>
      <c r="Y95" s="441">
        <f t="shared" ref="Y95:Y115" si="29">SUM(V95:X95)</f>
        <v>0</v>
      </c>
      <c r="Z95" s="446"/>
      <c r="AA95" s="446"/>
      <c r="AB95" s="446"/>
      <c r="AC95" s="441">
        <f>SUM(Z95:AB95)</f>
        <v>0</v>
      </c>
      <c r="AD95" s="619">
        <f t="shared" si="17"/>
        <v>0</v>
      </c>
      <c r="AE95" s="354"/>
      <c r="AF95" s="354"/>
    </row>
    <row r="96" spans="1:32" s="357" customFormat="1" ht="18" customHeight="1" x14ac:dyDescent="0.2">
      <c r="A96" s="117">
        <v>56201</v>
      </c>
      <c r="B96" s="116" t="s">
        <v>340</v>
      </c>
      <c r="C96" s="441">
        <f>EgreUP01!C72</f>
        <v>0</v>
      </c>
      <c r="D96" s="163">
        <f>EgreUP01!C167</f>
        <v>0</v>
      </c>
      <c r="E96" s="163">
        <f>EgreUP02!C73</f>
        <v>0</v>
      </c>
      <c r="F96" s="441">
        <f>EgreUP02!C171</f>
        <v>0</v>
      </c>
      <c r="G96" s="442">
        <f t="shared" si="15"/>
        <v>0</v>
      </c>
      <c r="H96" s="446"/>
      <c r="I96" s="446"/>
      <c r="J96" s="446"/>
      <c r="K96" s="446"/>
      <c r="L96" s="441">
        <f t="shared" ref="L96:L115" si="30">SUM(H96:K96)</f>
        <v>0</v>
      </c>
      <c r="M96" s="442">
        <f>EgreUP01!D72</f>
        <v>0</v>
      </c>
      <c r="N96" s="442">
        <f>EgreUP01!D167</f>
        <v>0</v>
      </c>
      <c r="O96" s="442">
        <f>EgreUP02!D70</f>
        <v>0</v>
      </c>
      <c r="P96" s="442">
        <f>EgreUP02!D168</f>
        <v>0</v>
      </c>
      <c r="Q96" s="442">
        <f>SUM(M96:P96)</f>
        <v>0</v>
      </c>
      <c r="R96" s="446"/>
      <c r="S96" s="446"/>
      <c r="T96" s="446"/>
      <c r="U96" s="441"/>
      <c r="V96" s="446"/>
      <c r="W96" s="446"/>
      <c r="X96" s="446"/>
      <c r="Y96" s="441"/>
      <c r="Z96" s="446"/>
      <c r="AA96" s="446"/>
      <c r="AB96" s="446"/>
      <c r="AC96" s="441"/>
      <c r="AD96" s="619">
        <f t="shared" si="17"/>
        <v>0</v>
      </c>
      <c r="AE96" s="354"/>
      <c r="AF96" s="354"/>
    </row>
    <row r="97" spans="1:32" s="357" customFormat="1" ht="18" customHeight="1" x14ac:dyDescent="0.2">
      <c r="A97" s="443">
        <v>563</v>
      </c>
      <c r="B97" s="121" t="s">
        <v>345</v>
      </c>
      <c r="C97" s="441">
        <f>C98+C99+C100</f>
        <v>0</v>
      </c>
      <c r="D97" s="441">
        <f>D98+D99+D100</f>
        <v>0</v>
      </c>
      <c r="E97" s="441">
        <f>E98+E99+E100</f>
        <v>0</v>
      </c>
      <c r="F97" s="441">
        <f>F98+F99+F100</f>
        <v>0</v>
      </c>
      <c r="G97" s="442">
        <f>SUM(C97:F97)</f>
        <v>0</v>
      </c>
      <c r="H97" s="446">
        <f>SUM(H98:H101)</f>
        <v>0</v>
      </c>
      <c r="I97" s="446">
        <f t="shared" ref="I97:K97" si="31">SUM(I98:I101)</f>
        <v>32501</v>
      </c>
      <c r="J97" s="446">
        <f t="shared" si="31"/>
        <v>0</v>
      </c>
      <c r="K97" s="446">
        <f t="shared" si="31"/>
        <v>0</v>
      </c>
      <c r="L97" s="441">
        <f t="shared" si="30"/>
        <v>32501</v>
      </c>
      <c r="M97" s="978">
        <f>SUM(M98:M100)</f>
        <v>10400</v>
      </c>
      <c r="N97" s="442">
        <f>SUM(N98:N100)</f>
        <v>2500</v>
      </c>
      <c r="O97" s="442">
        <f>SUM(O98:O100)</f>
        <v>0</v>
      </c>
      <c r="P97" s="442">
        <f>SUM(P98:P100)</f>
        <v>0</v>
      </c>
      <c r="Q97" s="442">
        <f>SUM(Q98:Q100)</f>
        <v>12900</v>
      </c>
      <c r="R97" s="446"/>
      <c r="S97" s="446"/>
      <c r="T97" s="446"/>
      <c r="U97" s="441"/>
      <c r="V97" s="446"/>
      <c r="W97" s="446"/>
      <c r="X97" s="446"/>
      <c r="Y97" s="441"/>
      <c r="Z97" s="446"/>
      <c r="AA97" s="446"/>
      <c r="AB97" s="446"/>
      <c r="AC97" s="441"/>
      <c r="AD97" s="619">
        <f t="shared" si="17"/>
        <v>45401</v>
      </c>
      <c r="AE97" s="354"/>
      <c r="AF97" s="354"/>
    </row>
    <row r="98" spans="1:32" s="357" customFormat="1" ht="18" customHeight="1" x14ac:dyDescent="0.2">
      <c r="A98" s="117">
        <v>56303</v>
      </c>
      <c r="B98" s="116" t="s">
        <v>341</v>
      </c>
      <c r="C98" s="163">
        <f>EgreUP01!C74</f>
        <v>0</v>
      </c>
      <c r="D98" s="163">
        <f>EgreUP01!C169</f>
        <v>0</v>
      </c>
      <c r="E98" s="163">
        <f>EgreUP02!C84</f>
        <v>0</v>
      </c>
      <c r="F98" s="441">
        <f>EgreUP02!C182</f>
        <v>0</v>
      </c>
      <c r="G98" s="442">
        <f t="shared" si="15"/>
        <v>0</v>
      </c>
      <c r="H98" s="446"/>
      <c r="I98" s="446"/>
      <c r="J98" s="446"/>
      <c r="K98" s="446">
        <f>K99</f>
        <v>0</v>
      </c>
      <c r="L98" s="441">
        <f t="shared" si="30"/>
        <v>0</v>
      </c>
      <c r="M98" s="442">
        <f>EgreUP01!D74</f>
        <v>10400</v>
      </c>
      <c r="N98" s="442">
        <f>EgreUP01!D169</f>
        <v>0</v>
      </c>
      <c r="O98" s="442">
        <f>EgreUP02!D72</f>
        <v>0</v>
      </c>
      <c r="P98" s="442">
        <f>EgreUP02!D170</f>
        <v>0</v>
      </c>
      <c r="Q98" s="442">
        <f>SUM(M98:P98)</f>
        <v>10400</v>
      </c>
      <c r="R98" s="446"/>
      <c r="S98" s="446"/>
      <c r="T98" s="446"/>
      <c r="U98" s="441"/>
      <c r="V98" s="446"/>
      <c r="W98" s="446"/>
      <c r="X98" s="446"/>
      <c r="Y98" s="441"/>
      <c r="Z98" s="446"/>
      <c r="AA98" s="446"/>
      <c r="AB98" s="446"/>
      <c r="AC98" s="441"/>
      <c r="AD98" s="619">
        <f t="shared" si="17"/>
        <v>10400</v>
      </c>
      <c r="AE98" s="354"/>
      <c r="AF98" s="354"/>
    </row>
    <row r="99" spans="1:32" s="357" customFormat="1" ht="18" customHeight="1" x14ac:dyDescent="0.2">
      <c r="A99" s="117">
        <v>56304</v>
      </c>
      <c r="B99" s="116" t="s">
        <v>342</v>
      </c>
      <c r="C99" s="163">
        <f>EgreUP01!C75</f>
        <v>0</v>
      </c>
      <c r="D99" s="163">
        <f>EgreUP01!C170</f>
        <v>0</v>
      </c>
      <c r="E99" s="163">
        <f>EgreUP02!C85</f>
        <v>0</v>
      </c>
      <c r="F99" s="441">
        <f>EgreUP02!C183</f>
        <v>0</v>
      </c>
      <c r="G99" s="442">
        <f t="shared" si="15"/>
        <v>0</v>
      </c>
      <c r="H99" s="446"/>
      <c r="I99" s="446">
        <f>Egre0304!H10</f>
        <v>32501</v>
      </c>
      <c r="J99" s="446"/>
      <c r="K99" s="446"/>
      <c r="L99" s="441">
        <f t="shared" si="30"/>
        <v>32501</v>
      </c>
      <c r="M99" s="442">
        <f>EgreUP01!D75</f>
        <v>0</v>
      </c>
      <c r="N99" s="442">
        <f>EgreUP01!D170</f>
        <v>2500</v>
      </c>
      <c r="O99" s="442">
        <f>EgreUP02!D73</f>
        <v>0</v>
      </c>
      <c r="P99" s="442">
        <f>EgreUP02!D171</f>
        <v>0</v>
      </c>
      <c r="Q99" s="442">
        <f>SUM(M99:P99)</f>
        <v>2500</v>
      </c>
      <c r="R99" s="446"/>
      <c r="S99" s="446"/>
      <c r="T99" s="446"/>
      <c r="U99" s="441">
        <f>SUM(R99:T99)</f>
        <v>0</v>
      </c>
      <c r="V99" s="446"/>
      <c r="W99" s="446"/>
      <c r="X99" s="446"/>
      <c r="Y99" s="441">
        <f t="shared" si="29"/>
        <v>0</v>
      </c>
      <c r="Z99" s="446"/>
      <c r="AA99" s="446"/>
      <c r="AB99" s="446"/>
      <c r="AC99" s="441">
        <f>SUM(Z99:AB99)</f>
        <v>0</v>
      </c>
      <c r="AD99" s="619">
        <f t="shared" si="17"/>
        <v>35001</v>
      </c>
      <c r="AE99" s="354"/>
      <c r="AF99" s="354"/>
    </row>
    <row r="100" spans="1:32" s="357" customFormat="1" ht="18" customHeight="1" x14ac:dyDescent="0.2">
      <c r="A100" s="117">
        <v>56305</v>
      </c>
      <c r="B100" s="116" t="s">
        <v>343</v>
      </c>
      <c r="C100" s="163">
        <f>EgreUP01!C76</f>
        <v>0</v>
      </c>
      <c r="D100" s="163">
        <f>EgreUP01!C171</f>
        <v>0</v>
      </c>
      <c r="E100" s="163">
        <f>EgreUP02!C86</f>
        <v>0</v>
      </c>
      <c r="F100" s="441">
        <f>EgreUP02!C184</f>
        <v>0</v>
      </c>
      <c r="G100" s="442">
        <f t="shared" si="15"/>
        <v>0</v>
      </c>
      <c r="H100" s="446"/>
      <c r="I100" s="446"/>
      <c r="J100" s="446"/>
      <c r="K100" s="446"/>
      <c r="L100" s="441">
        <f t="shared" si="30"/>
        <v>0</v>
      </c>
      <c r="M100" s="442">
        <f>EgreUP01!D76</f>
        <v>0</v>
      </c>
      <c r="N100" s="442">
        <f>EgreUP01!D171</f>
        <v>0</v>
      </c>
      <c r="O100" s="442">
        <f>EgreUP02!D74</f>
        <v>0</v>
      </c>
      <c r="P100" s="442">
        <f>EgreUP02!D172</f>
        <v>0</v>
      </c>
      <c r="Q100" s="442">
        <f>SUM(M100:P100)</f>
        <v>0</v>
      </c>
      <c r="R100" s="446"/>
      <c r="S100" s="446"/>
      <c r="T100" s="446"/>
      <c r="U100" s="441">
        <f>SUM(R100:T100)</f>
        <v>0</v>
      </c>
      <c r="V100" s="446"/>
      <c r="W100" s="446"/>
      <c r="X100" s="446"/>
      <c r="Y100" s="441">
        <f t="shared" si="29"/>
        <v>0</v>
      </c>
      <c r="Z100" s="446"/>
      <c r="AA100" s="446"/>
      <c r="AB100" s="446"/>
      <c r="AC100" s="441">
        <f>SUM(Z100:AB100)</f>
        <v>0</v>
      </c>
      <c r="AD100" s="619">
        <f t="shared" si="17"/>
        <v>0</v>
      </c>
      <c r="AE100" s="354"/>
      <c r="AF100" s="354"/>
    </row>
    <row r="101" spans="1:32" s="357" customFormat="1" ht="18" customHeight="1" x14ac:dyDescent="0.2">
      <c r="A101" s="117"/>
      <c r="B101" s="116"/>
      <c r="C101" s="163"/>
      <c r="D101" s="163"/>
      <c r="E101" s="163"/>
      <c r="F101" s="441"/>
      <c r="G101" s="442"/>
      <c r="H101" s="446"/>
      <c r="I101" s="446"/>
      <c r="J101" s="446"/>
      <c r="K101" s="446"/>
      <c r="L101" s="441"/>
      <c r="M101" s="442"/>
      <c r="N101" s="442"/>
      <c r="O101" s="442"/>
      <c r="P101" s="446"/>
      <c r="Q101" s="442"/>
      <c r="R101" s="446"/>
      <c r="S101" s="446"/>
      <c r="T101" s="446"/>
      <c r="U101" s="441"/>
      <c r="V101" s="446"/>
      <c r="W101" s="446"/>
      <c r="X101" s="446"/>
      <c r="Y101" s="441"/>
      <c r="Z101" s="446"/>
      <c r="AA101" s="446"/>
      <c r="AB101" s="446"/>
      <c r="AC101" s="441"/>
      <c r="AD101" s="619">
        <f t="shared" si="17"/>
        <v>0</v>
      </c>
      <c r="AE101" s="354"/>
      <c r="AF101" s="354"/>
    </row>
    <row r="102" spans="1:32" s="357" customFormat="1" ht="18" customHeight="1" x14ac:dyDescent="0.2">
      <c r="A102" s="450" t="s">
        <v>149</v>
      </c>
      <c r="B102" s="451" t="s">
        <v>150</v>
      </c>
      <c r="C102" s="446">
        <f>SUM(C103:C107)</f>
        <v>164393.74</v>
      </c>
      <c r="D102" s="446">
        <f t="shared" ref="D102:AC102" si="32">SUM(D103:D107)</f>
        <v>0</v>
      </c>
      <c r="E102" s="446">
        <f t="shared" si="32"/>
        <v>0</v>
      </c>
      <c r="F102" s="446">
        <f t="shared" si="32"/>
        <v>0</v>
      </c>
      <c r="G102" s="446">
        <f t="shared" si="32"/>
        <v>164393.74</v>
      </c>
      <c r="H102" s="446">
        <f t="shared" si="32"/>
        <v>0</v>
      </c>
      <c r="I102" s="446">
        <f t="shared" si="32"/>
        <v>201758.51</v>
      </c>
      <c r="J102" s="446">
        <f t="shared" si="32"/>
        <v>0</v>
      </c>
      <c r="K102" s="446">
        <f t="shared" si="32"/>
        <v>0</v>
      </c>
      <c r="L102" s="446">
        <f t="shared" si="32"/>
        <v>201758.51</v>
      </c>
      <c r="M102" s="446">
        <f>SUM(M103:M107)</f>
        <v>59625</v>
      </c>
      <c r="N102" s="446">
        <f t="shared" si="32"/>
        <v>17950</v>
      </c>
      <c r="O102" s="446">
        <f t="shared" si="32"/>
        <v>6985</v>
      </c>
      <c r="P102" s="446">
        <f t="shared" si="32"/>
        <v>2422.34</v>
      </c>
      <c r="Q102" s="446">
        <f>SUM(Q103:Q107)</f>
        <v>86982.34</v>
      </c>
      <c r="R102" s="446">
        <f t="shared" si="32"/>
        <v>0</v>
      </c>
      <c r="S102" s="446">
        <f t="shared" si="32"/>
        <v>0</v>
      </c>
      <c r="T102" s="446">
        <f t="shared" si="32"/>
        <v>0</v>
      </c>
      <c r="U102" s="446">
        <f t="shared" si="32"/>
        <v>0</v>
      </c>
      <c r="V102" s="446">
        <f t="shared" si="32"/>
        <v>0</v>
      </c>
      <c r="W102" s="446">
        <f t="shared" si="32"/>
        <v>0</v>
      </c>
      <c r="X102" s="446">
        <f t="shared" si="32"/>
        <v>0</v>
      </c>
      <c r="Y102" s="446">
        <f t="shared" si="32"/>
        <v>0</v>
      </c>
      <c r="Z102" s="446">
        <f t="shared" si="32"/>
        <v>0</v>
      </c>
      <c r="AA102" s="446">
        <f t="shared" si="32"/>
        <v>0</v>
      </c>
      <c r="AB102" s="446">
        <f t="shared" si="32"/>
        <v>0</v>
      </c>
      <c r="AC102" s="446">
        <f t="shared" si="32"/>
        <v>0</v>
      </c>
      <c r="AD102" s="619">
        <f t="shared" si="17"/>
        <v>453134.58999999997</v>
      </c>
      <c r="AE102" s="354"/>
      <c r="AF102" s="354"/>
    </row>
    <row r="103" spans="1:32" s="357" customFormat="1" ht="18" customHeight="1" x14ac:dyDescent="0.2">
      <c r="A103" s="28">
        <v>611</v>
      </c>
      <c r="B103" s="452" t="s">
        <v>403</v>
      </c>
      <c r="C103" s="446">
        <f>EgreUP01!C77</f>
        <v>0</v>
      </c>
      <c r="D103" s="446">
        <f>'BS_CR '!AJ257</f>
        <v>0</v>
      </c>
      <c r="E103" s="446">
        <f>EgreUP02!C76</f>
        <v>0</v>
      </c>
      <c r="F103" s="441">
        <f>EgreUP02!C174</f>
        <v>0</v>
      </c>
      <c r="G103" s="442">
        <f>SUM(C103:F103)</f>
        <v>0</v>
      </c>
      <c r="H103" s="453">
        <v>0</v>
      </c>
      <c r="I103" s="446">
        <f>Egre0304!C13</f>
        <v>0</v>
      </c>
      <c r="J103" s="446">
        <v>0</v>
      </c>
      <c r="K103" s="446"/>
      <c r="L103" s="441">
        <f>SUM(I103:K103)</f>
        <v>0</v>
      </c>
      <c r="M103" s="619">
        <f>EgreUP01!D77</f>
        <v>34625</v>
      </c>
      <c r="N103" s="441">
        <f>EgreUP01!D172</f>
        <v>17950</v>
      </c>
      <c r="O103" s="441">
        <f>EgreUP02!D76</f>
        <v>6985</v>
      </c>
      <c r="P103" s="446">
        <f>EgreUP02!D174</f>
        <v>2422.34</v>
      </c>
      <c r="Q103" s="442">
        <f t="shared" ref="Q103:Q125" si="33">SUM(M103:P103)</f>
        <v>61982.34</v>
      </c>
      <c r="R103" s="446"/>
      <c r="S103" s="446"/>
      <c r="T103" s="446"/>
      <c r="U103" s="441">
        <f>SUM(R103:T103)</f>
        <v>0</v>
      </c>
      <c r="V103" s="446">
        <f>Egre0304!F13</f>
        <v>0</v>
      </c>
      <c r="W103" s="446"/>
      <c r="X103" s="446"/>
      <c r="Y103" s="441">
        <f>SUM(V103:X103)</f>
        <v>0</v>
      </c>
      <c r="Z103" s="446"/>
      <c r="AA103" s="446"/>
      <c r="AB103" s="446"/>
      <c r="AC103" s="441">
        <f>SUM(Z103:AB103)</f>
        <v>0</v>
      </c>
      <c r="AD103" s="619">
        <f t="shared" si="17"/>
        <v>61982.34</v>
      </c>
      <c r="AE103" s="354"/>
      <c r="AF103" s="354"/>
    </row>
    <row r="104" spans="1:32" s="357" customFormat="1" ht="18" customHeight="1" x14ac:dyDescent="0.2">
      <c r="A104" s="28">
        <v>612</v>
      </c>
      <c r="B104" s="452" t="s">
        <v>423</v>
      </c>
      <c r="C104" s="446"/>
      <c r="D104" s="446"/>
      <c r="E104" s="446"/>
      <c r="F104" s="441"/>
      <c r="G104" s="442">
        <f t="shared" ref="G104:G118" si="34">SUM(C104:F104)</f>
        <v>0</v>
      </c>
      <c r="H104" s="446">
        <v>0</v>
      </c>
      <c r="I104" s="446">
        <f>Egre0304!C15</f>
        <v>0</v>
      </c>
      <c r="J104" s="446">
        <v>0</v>
      </c>
      <c r="K104" s="446">
        <v>0</v>
      </c>
      <c r="L104" s="441">
        <f t="shared" si="30"/>
        <v>0</v>
      </c>
      <c r="M104" s="441">
        <f>Egre0304!D15</f>
        <v>0</v>
      </c>
      <c r="N104" s="441"/>
      <c r="O104" s="441"/>
      <c r="P104" s="446"/>
      <c r="Q104" s="442">
        <f t="shared" si="33"/>
        <v>0</v>
      </c>
      <c r="R104" s="446"/>
      <c r="S104" s="446"/>
      <c r="T104" s="446"/>
      <c r="U104" s="441">
        <f>SUM(R104:T104)</f>
        <v>0</v>
      </c>
      <c r="V104" s="446">
        <f>Egre0304!F15</f>
        <v>0</v>
      </c>
      <c r="W104" s="446"/>
      <c r="X104" s="446"/>
      <c r="Y104" s="441">
        <f t="shared" si="29"/>
        <v>0</v>
      </c>
      <c r="Z104" s="446"/>
      <c r="AA104" s="446"/>
      <c r="AB104" s="446"/>
      <c r="AC104" s="441">
        <f>SUM(Z104:AB104)</f>
        <v>0</v>
      </c>
      <c r="AD104" s="619">
        <f t="shared" si="17"/>
        <v>0</v>
      </c>
      <c r="AE104" s="354"/>
      <c r="AF104" s="354"/>
    </row>
    <row r="105" spans="1:32" s="357" customFormat="1" ht="18" customHeight="1" x14ac:dyDescent="0.2">
      <c r="A105" s="28">
        <v>614</v>
      </c>
      <c r="B105" s="452" t="s">
        <v>424</v>
      </c>
      <c r="C105" s="446">
        <f>EgreUP01!C83</f>
        <v>0</v>
      </c>
      <c r="D105" s="446">
        <f>EgreUP01!C178</f>
        <v>0</v>
      </c>
      <c r="E105" s="446"/>
      <c r="F105" s="441"/>
      <c r="G105" s="442">
        <f t="shared" si="34"/>
        <v>0</v>
      </c>
      <c r="H105" s="453">
        <v>0</v>
      </c>
      <c r="I105" s="446">
        <f>Egre0304!C17</f>
        <v>0</v>
      </c>
      <c r="J105" s="446">
        <v>0</v>
      </c>
      <c r="K105" s="446"/>
      <c r="L105" s="441">
        <f>SUM(I105:K105)</f>
        <v>0</v>
      </c>
      <c r="M105" s="441">
        <f>EgreUP01!D83</f>
        <v>25000</v>
      </c>
      <c r="N105" s="441">
        <f>EgreUP01!D178</f>
        <v>0</v>
      </c>
      <c r="O105" s="441"/>
      <c r="P105" s="446"/>
      <c r="Q105" s="442">
        <f t="shared" si="33"/>
        <v>25000</v>
      </c>
      <c r="R105" s="446"/>
      <c r="S105" s="446"/>
      <c r="T105" s="446"/>
      <c r="U105" s="441">
        <f>SUM(R105:T105)</f>
        <v>0</v>
      </c>
      <c r="V105" s="446"/>
      <c r="W105" s="446"/>
      <c r="X105" s="446"/>
      <c r="Y105" s="441">
        <f>SUM(V105:X105)</f>
        <v>0</v>
      </c>
      <c r="Z105" s="446"/>
      <c r="AA105" s="446"/>
      <c r="AB105" s="446"/>
      <c r="AC105" s="441">
        <f>SUM(Z105:AB105)</f>
        <v>0</v>
      </c>
      <c r="AD105" s="619">
        <f t="shared" si="17"/>
        <v>25000</v>
      </c>
      <c r="AE105" s="354"/>
      <c r="AF105" s="354"/>
    </row>
    <row r="106" spans="1:32" s="357" customFormat="1" ht="18" customHeight="1" x14ac:dyDescent="0.2">
      <c r="A106" s="28">
        <v>615</v>
      </c>
      <c r="B106" s="452" t="s">
        <v>358</v>
      </c>
      <c r="C106" s="446">
        <f>Egre0304!C19</f>
        <v>3375</v>
      </c>
      <c r="D106" s="446"/>
      <c r="E106" s="446"/>
      <c r="F106" s="441"/>
      <c r="G106" s="442">
        <f t="shared" si="34"/>
        <v>3375</v>
      </c>
      <c r="H106" s="446"/>
      <c r="I106" s="446">
        <v>0</v>
      </c>
      <c r="J106" s="446">
        <v>0</v>
      </c>
      <c r="K106" s="446">
        <v>0</v>
      </c>
      <c r="L106" s="441">
        <f>SUM(H106:K106)</f>
        <v>0</v>
      </c>
      <c r="M106" s="441">
        <f>Egre0304!D19</f>
        <v>0</v>
      </c>
      <c r="N106" s="441"/>
      <c r="O106" s="441"/>
      <c r="P106" s="446"/>
      <c r="Q106" s="442">
        <f t="shared" si="33"/>
        <v>0</v>
      </c>
      <c r="R106" s="446"/>
      <c r="S106" s="446"/>
      <c r="T106" s="446"/>
      <c r="U106" s="441">
        <f>SUM(R106:T106)</f>
        <v>0</v>
      </c>
      <c r="V106" s="446">
        <f>Egre0304!F19</f>
        <v>0</v>
      </c>
      <c r="W106" s="446"/>
      <c r="X106" s="446"/>
      <c r="Y106" s="441">
        <f>SUM(V106:X106)</f>
        <v>0</v>
      </c>
      <c r="Z106" s="446"/>
      <c r="AA106" s="446"/>
      <c r="AB106" s="446"/>
      <c r="AC106" s="441">
        <f>SUM(Z106:AB106)</f>
        <v>0</v>
      </c>
      <c r="AD106" s="619">
        <f t="shared" si="17"/>
        <v>3375</v>
      </c>
      <c r="AE106" s="354"/>
      <c r="AF106" s="354"/>
    </row>
    <row r="107" spans="1:32" s="357" customFormat="1" ht="18" customHeight="1" x14ac:dyDescent="0.2">
      <c r="A107" s="28">
        <v>616</v>
      </c>
      <c r="B107" s="451" t="s">
        <v>124</v>
      </c>
      <c r="C107" s="446">
        <f>SUM(C108:C115)</f>
        <v>161018.74</v>
      </c>
      <c r="D107" s="446">
        <f t="shared" ref="D107:AC107" si="35">SUM(D108:D115)</f>
        <v>0</v>
      </c>
      <c r="E107" s="446">
        <f t="shared" si="35"/>
        <v>0</v>
      </c>
      <c r="F107" s="446">
        <f t="shared" si="35"/>
        <v>0</v>
      </c>
      <c r="G107" s="442">
        <f t="shared" si="34"/>
        <v>161018.74</v>
      </c>
      <c r="H107" s="446">
        <f t="shared" si="35"/>
        <v>0</v>
      </c>
      <c r="I107" s="446">
        <f t="shared" si="35"/>
        <v>201758.51</v>
      </c>
      <c r="J107" s="446">
        <f t="shared" si="35"/>
        <v>0</v>
      </c>
      <c r="K107" s="446">
        <f t="shared" si="35"/>
        <v>0</v>
      </c>
      <c r="L107" s="446">
        <f t="shared" si="35"/>
        <v>201758.51</v>
      </c>
      <c r="M107" s="446">
        <f t="shared" si="35"/>
        <v>0</v>
      </c>
      <c r="N107" s="446">
        <f t="shared" si="35"/>
        <v>0</v>
      </c>
      <c r="O107" s="446">
        <f t="shared" si="35"/>
        <v>0</v>
      </c>
      <c r="P107" s="446">
        <f t="shared" si="35"/>
        <v>0</v>
      </c>
      <c r="Q107" s="446">
        <f t="shared" si="35"/>
        <v>0</v>
      </c>
      <c r="R107" s="446">
        <f t="shared" si="35"/>
        <v>0</v>
      </c>
      <c r="S107" s="446">
        <f t="shared" si="35"/>
        <v>0</v>
      </c>
      <c r="T107" s="446">
        <f t="shared" si="35"/>
        <v>0</v>
      </c>
      <c r="U107" s="446">
        <f t="shared" si="35"/>
        <v>0</v>
      </c>
      <c r="V107" s="446">
        <f t="shared" si="35"/>
        <v>0</v>
      </c>
      <c r="W107" s="446">
        <f t="shared" si="35"/>
        <v>0</v>
      </c>
      <c r="X107" s="446">
        <f t="shared" si="35"/>
        <v>0</v>
      </c>
      <c r="Y107" s="446">
        <f t="shared" si="35"/>
        <v>0</v>
      </c>
      <c r="Z107" s="446">
        <f t="shared" si="35"/>
        <v>0</v>
      </c>
      <c r="AA107" s="446">
        <f t="shared" si="35"/>
        <v>0</v>
      </c>
      <c r="AB107" s="446">
        <f t="shared" si="35"/>
        <v>0</v>
      </c>
      <c r="AC107" s="446">
        <f t="shared" si="35"/>
        <v>0</v>
      </c>
      <c r="AD107" s="619">
        <f t="shared" si="17"/>
        <v>362777.25</v>
      </c>
      <c r="AE107" s="354"/>
      <c r="AF107" s="354"/>
    </row>
    <row r="108" spans="1:32" s="357" customFormat="1" ht="18" customHeight="1" x14ac:dyDescent="0.2">
      <c r="A108" s="28">
        <v>61601</v>
      </c>
      <c r="B108" s="452" t="s">
        <v>360</v>
      </c>
      <c r="C108" s="446">
        <f>Egre0304!C22</f>
        <v>161018.74</v>
      </c>
      <c r="D108" s="446"/>
      <c r="E108" s="446"/>
      <c r="F108" s="441"/>
      <c r="G108" s="442">
        <f>SUM(C108:F108)</f>
        <v>161018.74</v>
      </c>
      <c r="H108" s="446">
        <v>0</v>
      </c>
      <c r="I108" s="446">
        <v>0</v>
      </c>
      <c r="J108" s="529">
        <f>+Egre0304!C81</f>
        <v>0</v>
      </c>
      <c r="K108" s="446"/>
      <c r="L108" s="441">
        <f t="shared" si="30"/>
        <v>0</v>
      </c>
      <c r="M108" s="441">
        <f>Egre0304!D81</f>
        <v>0</v>
      </c>
      <c r="N108" s="441"/>
      <c r="O108" s="441"/>
      <c r="P108" s="446"/>
      <c r="Q108" s="442">
        <f t="shared" si="33"/>
        <v>0</v>
      </c>
      <c r="R108" s="446"/>
      <c r="S108" s="446"/>
      <c r="T108" s="446"/>
      <c r="U108" s="441">
        <f t="shared" ref="U108:U114" si="36">SUM(R108:T108)</f>
        <v>0</v>
      </c>
      <c r="V108" s="446">
        <f>Egre0304!F22</f>
        <v>0</v>
      </c>
      <c r="W108" s="446"/>
      <c r="X108" s="446"/>
      <c r="Y108" s="441">
        <f t="shared" si="29"/>
        <v>0</v>
      </c>
      <c r="Z108" s="446"/>
      <c r="AA108" s="446"/>
      <c r="AB108" s="446"/>
      <c r="AC108" s="441">
        <f t="shared" ref="AC108:AC114" si="37">SUM(Z108:AB108)</f>
        <v>0</v>
      </c>
      <c r="AD108" s="619">
        <f t="shared" si="17"/>
        <v>161018.74</v>
      </c>
      <c r="AE108" s="354"/>
      <c r="AF108" s="354"/>
    </row>
    <row r="109" spans="1:32" s="357" customFormat="1" ht="18" customHeight="1" x14ac:dyDescent="0.2">
      <c r="A109" s="28">
        <v>61602</v>
      </c>
      <c r="B109" s="452" t="s">
        <v>361</v>
      </c>
      <c r="C109" s="446"/>
      <c r="D109" s="446"/>
      <c r="E109" s="446"/>
      <c r="F109" s="441"/>
      <c r="G109" s="442">
        <f t="shared" si="34"/>
        <v>0</v>
      </c>
      <c r="H109" s="446">
        <v>0</v>
      </c>
      <c r="I109" s="446">
        <f>Egre0304!C34</f>
        <v>9000</v>
      </c>
      <c r="J109" s="446">
        <v>0</v>
      </c>
      <c r="K109" s="446"/>
      <c r="L109" s="441">
        <f t="shared" si="30"/>
        <v>9000</v>
      </c>
      <c r="M109" s="441">
        <f>Egre0304!D34</f>
        <v>0</v>
      </c>
      <c r="N109" s="441"/>
      <c r="O109" s="441"/>
      <c r="P109" s="446"/>
      <c r="Q109" s="442">
        <f t="shared" si="33"/>
        <v>0</v>
      </c>
      <c r="R109" s="446"/>
      <c r="S109" s="446"/>
      <c r="T109" s="446"/>
      <c r="U109" s="441">
        <f t="shared" si="36"/>
        <v>0</v>
      </c>
      <c r="V109" s="446">
        <f>Egre0304!F34</f>
        <v>0</v>
      </c>
      <c r="W109" s="446"/>
      <c r="X109" s="446"/>
      <c r="Y109" s="441">
        <f t="shared" si="29"/>
        <v>0</v>
      </c>
      <c r="Z109" s="446"/>
      <c r="AA109" s="446"/>
      <c r="AB109" s="446"/>
      <c r="AC109" s="441">
        <f t="shared" si="37"/>
        <v>0</v>
      </c>
      <c r="AD109" s="619">
        <f t="shared" si="17"/>
        <v>9000</v>
      </c>
      <c r="AE109" s="354"/>
      <c r="AF109" s="354"/>
    </row>
    <row r="110" spans="1:32" s="357" customFormat="1" ht="18" customHeight="1" x14ac:dyDescent="0.2">
      <c r="A110" s="28">
        <v>61603</v>
      </c>
      <c r="B110" s="452" t="s">
        <v>362</v>
      </c>
      <c r="C110" s="446"/>
      <c r="D110" s="446"/>
      <c r="E110" s="446"/>
      <c r="F110" s="441"/>
      <c r="G110" s="442">
        <f t="shared" si="34"/>
        <v>0</v>
      </c>
      <c r="H110" s="446">
        <v>0</v>
      </c>
      <c r="I110" s="446">
        <f>Egre0304!C38</f>
        <v>181912.51</v>
      </c>
      <c r="J110" s="446">
        <v>0</v>
      </c>
      <c r="K110" s="446"/>
      <c r="L110" s="441">
        <f t="shared" si="30"/>
        <v>181912.51</v>
      </c>
      <c r="M110" s="441">
        <f>Egre0304!D38</f>
        <v>0</v>
      </c>
      <c r="N110" s="441"/>
      <c r="O110" s="441"/>
      <c r="P110" s="446"/>
      <c r="Q110" s="442">
        <f t="shared" si="33"/>
        <v>0</v>
      </c>
      <c r="R110" s="446"/>
      <c r="S110" s="446"/>
      <c r="T110" s="446"/>
      <c r="U110" s="441">
        <f t="shared" si="36"/>
        <v>0</v>
      </c>
      <c r="V110" s="446">
        <f>Egre0304!F38</f>
        <v>0</v>
      </c>
      <c r="W110" s="446"/>
      <c r="X110" s="446"/>
      <c r="Y110" s="441">
        <f t="shared" si="29"/>
        <v>0</v>
      </c>
      <c r="Z110" s="446"/>
      <c r="AA110" s="446"/>
      <c r="AB110" s="446"/>
      <c r="AC110" s="441">
        <f t="shared" si="37"/>
        <v>0</v>
      </c>
      <c r="AD110" s="619">
        <f t="shared" si="17"/>
        <v>181912.51</v>
      </c>
      <c r="AE110" s="354"/>
      <c r="AF110" s="354"/>
    </row>
    <row r="111" spans="1:32" s="357" customFormat="1" ht="18" customHeight="1" x14ac:dyDescent="0.2">
      <c r="A111" s="28">
        <v>61604</v>
      </c>
      <c r="B111" s="452" t="s">
        <v>363</v>
      </c>
      <c r="C111" s="446"/>
      <c r="D111" s="446"/>
      <c r="E111" s="446"/>
      <c r="F111" s="441"/>
      <c r="G111" s="442">
        <f t="shared" si="34"/>
        <v>0</v>
      </c>
      <c r="H111" s="446">
        <v>0</v>
      </c>
      <c r="I111" s="446">
        <f>Egre0304!C46</f>
        <v>0</v>
      </c>
      <c r="J111" s="446">
        <v>0</v>
      </c>
      <c r="K111" s="446"/>
      <c r="L111" s="441">
        <f t="shared" si="30"/>
        <v>0</v>
      </c>
      <c r="M111" s="441"/>
      <c r="N111" s="441"/>
      <c r="O111" s="441"/>
      <c r="P111" s="446"/>
      <c r="Q111" s="442">
        <f t="shared" si="33"/>
        <v>0</v>
      </c>
      <c r="R111" s="446"/>
      <c r="S111" s="446"/>
      <c r="T111" s="446"/>
      <c r="U111" s="441">
        <f t="shared" si="36"/>
        <v>0</v>
      </c>
      <c r="V111" s="446"/>
      <c r="W111" s="446"/>
      <c r="X111" s="446"/>
      <c r="Y111" s="441">
        <f t="shared" si="29"/>
        <v>0</v>
      </c>
      <c r="Z111" s="446"/>
      <c r="AA111" s="446"/>
      <c r="AB111" s="446"/>
      <c r="AC111" s="441">
        <f t="shared" si="37"/>
        <v>0</v>
      </c>
      <c r="AD111" s="619">
        <f t="shared" si="17"/>
        <v>0</v>
      </c>
      <c r="AE111" s="354"/>
      <c r="AF111" s="354"/>
    </row>
    <row r="112" spans="1:32" s="357" customFormat="1" ht="18" customHeight="1" x14ac:dyDescent="0.2">
      <c r="A112" s="28">
        <v>61606</v>
      </c>
      <c r="B112" s="452" t="s">
        <v>364</v>
      </c>
      <c r="C112" s="446"/>
      <c r="D112" s="446"/>
      <c r="E112" s="446"/>
      <c r="F112" s="441"/>
      <c r="G112" s="442">
        <f t="shared" si="34"/>
        <v>0</v>
      </c>
      <c r="H112" s="446">
        <v>0</v>
      </c>
      <c r="I112" s="446">
        <f>Egre0304!C48</f>
        <v>0</v>
      </c>
      <c r="J112" s="446">
        <v>0</v>
      </c>
      <c r="K112" s="446"/>
      <c r="L112" s="441">
        <f t="shared" si="30"/>
        <v>0</v>
      </c>
      <c r="M112" s="441">
        <f>Egre0304!D48</f>
        <v>0</v>
      </c>
      <c r="N112" s="441"/>
      <c r="O112" s="441"/>
      <c r="P112" s="446"/>
      <c r="Q112" s="442">
        <f t="shared" si="33"/>
        <v>0</v>
      </c>
      <c r="R112" s="446"/>
      <c r="S112" s="446"/>
      <c r="T112" s="446"/>
      <c r="U112" s="441">
        <f t="shared" si="36"/>
        <v>0</v>
      </c>
      <c r="V112" s="446">
        <f>Egre0304!F48</f>
        <v>0</v>
      </c>
      <c r="W112" s="446"/>
      <c r="X112" s="446"/>
      <c r="Y112" s="441">
        <f t="shared" si="29"/>
        <v>0</v>
      </c>
      <c r="Z112" s="446"/>
      <c r="AA112" s="446"/>
      <c r="AB112" s="446"/>
      <c r="AC112" s="441">
        <f t="shared" si="37"/>
        <v>0</v>
      </c>
      <c r="AD112" s="619">
        <f t="shared" si="17"/>
        <v>0</v>
      </c>
      <c r="AE112" s="354"/>
      <c r="AF112" s="354"/>
    </row>
    <row r="113" spans="1:32" s="357" customFormat="1" ht="18" customHeight="1" x14ac:dyDescent="0.2">
      <c r="A113" s="28">
        <v>61607</v>
      </c>
      <c r="B113" s="116" t="s">
        <v>365</v>
      </c>
      <c r="C113" s="163"/>
      <c r="D113" s="163"/>
      <c r="E113" s="163"/>
      <c r="F113" s="441"/>
      <c r="G113" s="442">
        <f t="shared" si="34"/>
        <v>0</v>
      </c>
      <c r="H113" s="446">
        <v>0</v>
      </c>
      <c r="I113" s="446">
        <f>Egre0304!C51</f>
        <v>0</v>
      </c>
      <c r="J113" s="446">
        <v>0</v>
      </c>
      <c r="K113" s="446"/>
      <c r="L113" s="441">
        <f t="shared" si="30"/>
        <v>0</v>
      </c>
      <c r="M113" s="441"/>
      <c r="N113" s="441"/>
      <c r="O113" s="441"/>
      <c r="P113" s="446"/>
      <c r="Q113" s="442">
        <f t="shared" si="33"/>
        <v>0</v>
      </c>
      <c r="R113" s="446"/>
      <c r="S113" s="446"/>
      <c r="T113" s="446"/>
      <c r="U113" s="441">
        <f t="shared" si="36"/>
        <v>0</v>
      </c>
      <c r="V113" s="446"/>
      <c r="W113" s="446"/>
      <c r="X113" s="446"/>
      <c r="Y113" s="441">
        <f t="shared" si="29"/>
        <v>0</v>
      </c>
      <c r="Z113" s="446"/>
      <c r="AA113" s="446"/>
      <c r="AB113" s="446"/>
      <c r="AC113" s="441">
        <f t="shared" si="37"/>
        <v>0</v>
      </c>
      <c r="AD113" s="619">
        <f t="shared" si="17"/>
        <v>0</v>
      </c>
      <c r="AE113" s="354"/>
      <c r="AF113" s="354"/>
    </row>
    <row r="114" spans="1:32" s="357" customFormat="1" ht="18" customHeight="1" x14ac:dyDescent="0.2">
      <c r="A114" s="28">
        <v>61608</v>
      </c>
      <c r="B114" s="116" t="s">
        <v>402</v>
      </c>
      <c r="C114" s="163"/>
      <c r="D114" s="163"/>
      <c r="E114" s="163"/>
      <c r="F114" s="441"/>
      <c r="G114" s="442">
        <f t="shared" si="34"/>
        <v>0</v>
      </c>
      <c r="H114" s="446">
        <v>0</v>
      </c>
      <c r="I114" s="446">
        <f>Egre0304!C54</f>
        <v>0</v>
      </c>
      <c r="J114" s="446">
        <f>+Egre0304!D54</f>
        <v>0</v>
      </c>
      <c r="K114" s="446"/>
      <c r="L114" s="441">
        <f t="shared" si="30"/>
        <v>0</v>
      </c>
      <c r="M114" s="441"/>
      <c r="N114" s="441"/>
      <c r="O114" s="441"/>
      <c r="P114" s="446"/>
      <c r="Q114" s="442">
        <f t="shared" si="33"/>
        <v>0</v>
      </c>
      <c r="R114" s="446"/>
      <c r="S114" s="446"/>
      <c r="T114" s="446"/>
      <c r="U114" s="441">
        <f t="shared" si="36"/>
        <v>0</v>
      </c>
      <c r="V114" s="446"/>
      <c r="W114" s="446"/>
      <c r="X114" s="446"/>
      <c r="Y114" s="441">
        <f t="shared" si="29"/>
        <v>0</v>
      </c>
      <c r="Z114" s="446"/>
      <c r="AA114" s="446"/>
      <c r="AB114" s="446"/>
      <c r="AC114" s="441">
        <f t="shared" si="37"/>
        <v>0</v>
      </c>
      <c r="AD114" s="619">
        <f t="shared" si="17"/>
        <v>0</v>
      </c>
      <c r="AE114" s="354"/>
      <c r="AF114" s="354"/>
    </row>
    <row r="115" spans="1:32" s="357" customFormat="1" ht="18" customHeight="1" x14ac:dyDescent="0.2">
      <c r="A115" s="28">
        <v>61699</v>
      </c>
      <c r="B115" s="116" t="s">
        <v>366</v>
      </c>
      <c r="C115" s="163"/>
      <c r="D115" s="163"/>
      <c r="E115" s="163"/>
      <c r="F115" s="441"/>
      <c r="G115" s="442">
        <f t="shared" si="34"/>
        <v>0</v>
      </c>
      <c r="H115" s="446">
        <v>0</v>
      </c>
      <c r="I115" s="529">
        <f>Egre0304!C57</f>
        <v>10846</v>
      </c>
      <c r="J115" s="446">
        <f>Egre0304!C85</f>
        <v>0</v>
      </c>
      <c r="K115" s="446"/>
      <c r="L115" s="441">
        <f t="shared" si="30"/>
        <v>10846</v>
      </c>
      <c r="M115" s="441">
        <f>Egre0304!D57</f>
        <v>0</v>
      </c>
      <c r="N115" s="441"/>
      <c r="O115" s="441"/>
      <c r="P115" s="446"/>
      <c r="Q115" s="442">
        <f t="shared" si="33"/>
        <v>0</v>
      </c>
      <c r="R115" s="446"/>
      <c r="S115" s="446"/>
      <c r="T115" s="446"/>
      <c r="U115" s="441"/>
      <c r="V115" s="529">
        <f>Egre0304!F57</f>
        <v>0</v>
      </c>
      <c r="W115" s="446"/>
      <c r="X115" s="446"/>
      <c r="Y115" s="441">
        <f t="shared" si="29"/>
        <v>0</v>
      </c>
      <c r="Z115" s="446"/>
      <c r="AA115" s="446"/>
      <c r="AB115" s="446"/>
      <c r="AC115" s="441"/>
      <c r="AD115" s="619">
        <f t="shared" si="17"/>
        <v>10846</v>
      </c>
      <c r="AE115" s="354"/>
      <c r="AF115" s="354"/>
    </row>
    <row r="116" spans="1:32" s="357" customFormat="1" ht="18" customHeight="1" x14ac:dyDescent="0.2">
      <c r="A116" s="443">
        <v>71</v>
      </c>
      <c r="B116" s="121" t="s">
        <v>379</v>
      </c>
      <c r="C116" s="163"/>
      <c r="D116" s="163"/>
      <c r="E116" s="163"/>
      <c r="F116" s="441"/>
      <c r="G116" s="442">
        <f t="shared" si="34"/>
        <v>0</v>
      </c>
      <c r="H116" s="446"/>
      <c r="I116" s="446"/>
      <c r="J116" s="446"/>
      <c r="K116" s="446">
        <f>K117</f>
        <v>262286</v>
      </c>
      <c r="L116" s="441">
        <f>SUM(H116:K116)</f>
        <v>262286</v>
      </c>
      <c r="M116" s="442"/>
      <c r="N116" s="442"/>
      <c r="O116" s="442"/>
      <c r="P116" s="446"/>
      <c r="Q116" s="442">
        <f t="shared" si="33"/>
        <v>0</v>
      </c>
      <c r="R116" s="446"/>
      <c r="S116" s="446"/>
      <c r="T116" s="446"/>
      <c r="U116" s="441">
        <f>SUM(R116:T116)</f>
        <v>0</v>
      </c>
      <c r="V116" s="446"/>
      <c r="W116" s="446"/>
      <c r="X116" s="446">
        <f>X117</f>
        <v>0</v>
      </c>
      <c r="Y116" s="441">
        <f>SUM(V116:X116)</f>
        <v>0</v>
      </c>
      <c r="Z116" s="446"/>
      <c r="AA116" s="446"/>
      <c r="AB116" s="446"/>
      <c r="AC116" s="441">
        <f>SUM(Z116:AB116)</f>
        <v>0</v>
      </c>
      <c r="AD116" s="619">
        <f t="shared" si="17"/>
        <v>262286</v>
      </c>
      <c r="AE116" s="354"/>
      <c r="AF116" s="354"/>
    </row>
    <row r="117" spans="1:32" s="357" customFormat="1" ht="18" customHeight="1" x14ac:dyDescent="0.2">
      <c r="A117" s="443">
        <v>713</v>
      </c>
      <c r="B117" s="121" t="s">
        <v>380</v>
      </c>
      <c r="C117" s="163"/>
      <c r="D117" s="163"/>
      <c r="E117" s="163"/>
      <c r="F117" s="441"/>
      <c r="G117" s="442">
        <f t="shared" si="34"/>
        <v>0</v>
      </c>
      <c r="H117" s="446"/>
      <c r="I117" s="446"/>
      <c r="J117" s="446"/>
      <c r="K117" s="446">
        <f>K118</f>
        <v>262286</v>
      </c>
      <c r="L117" s="441">
        <f>SUM(H117:K117)</f>
        <v>262286</v>
      </c>
      <c r="M117" s="442"/>
      <c r="N117" s="442"/>
      <c r="O117" s="442"/>
      <c r="P117" s="446"/>
      <c r="Q117" s="442">
        <f t="shared" si="33"/>
        <v>0</v>
      </c>
      <c r="R117" s="446"/>
      <c r="S117" s="446"/>
      <c r="T117" s="446"/>
      <c r="U117" s="441">
        <f>SUM(R117:T117)</f>
        <v>0</v>
      </c>
      <c r="V117" s="446"/>
      <c r="W117" s="446"/>
      <c r="X117" s="446">
        <f>X118</f>
        <v>0</v>
      </c>
      <c r="Y117" s="441">
        <f>SUM(V117:X117)</f>
        <v>0</v>
      </c>
      <c r="Z117" s="446"/>
      <c r="AA117" s="446"/>
      <c r="AB117" s="446"/>
      <c r="AC117" s="441">
        <f>SUM(Z117:AB117)</f>
        <v>0</v>
      </c>
      <c r="AD117" s="619">
        <f t="shared" si="17"/>
        <v>262286</v>
      </c>
      <c r="AE117" s="354"/>
      <c r="AF117" s="354"/>
    </row>
    <row r="118" spans="1:32" s="357" customFormat="1" ht="18" customHeight="1" x14ac:dyDescent="0.2">
      <c r="A118" s="443">
        <v>71308</v>
      </c>
      <c r="B118" s="116" t="s">
        <v>367</v>
      </c>
      <c r="C118" s="163"/>
      <c r="D118" s="163"/>
      <c r="E118" s="163"/>
      <c r="F118" s="441"/>
      <c r="G118" s="442">
        <f t="shared" si="34"/>
        <v>0</v>
      </c>
      <c r="H118" s="446"/>
      <c r="I118" s="446"/>
      <c r="J118" s="446"/>
      <c r="K118" s="446">
        <f>Egre0304!C110</f>
        <v>262286</v>
      </c>
      <c r="L118" s="441">
        <f>SUM(H118:K118)</f>
        <v>262286</v>
      </c>
      <c r="M118" s="442"/>
      <c r="N118" s="442"/>
      <c r="O118" s="442"/>
      <c r="P118" s="446"/>
      <c r="Q118" s="442">
        <f t="shared" si="33"/>
        <v>0</v>
      </c>
      <c r="R118" s="446"/>
      <c r="S118" s="446"/>
      <c r="T118" s="446"/>
      <c r="U118" s="441">
        <f>SUM(R118:T118)</f>
        <v>0</v>
      </c>
      <c r="V118" s="446"/>
      <c r="W118" s="446"/>
      <c r="X118" s="446">
        <f>Egre0304!F110</f>
        <v>0</v>
      </c>
      <c r="Y118" s="441">
        <f>SUM(V118:X118)</f>
        <v>0</v>
      </c>
      <c r="Z118" s="446"/>
      <c r="AA118" s="446"/>
      <c r="AB118" s="446"/>
      <c r="AC118" s="441">
        <f>SUM(Z118:AB118)</f>
        <v>0</v>
      </c>
      <c r="AD118" s="619">
        <f t="shared" si="17"/>
        <v>262286</v>
      </c>
      <c r="AE118" s="354"/>
      <c r="AF118" s="354"/>
    </row>
    <row r="119" spans="1:32" s="357" customFormat="1" ht="11.25" x14ac:dyDescent="0.2">
      <c r="A119" s="443">
        <v>721</v>
      </c>
      <c r="B119" s="960" t="s">
        <v>807</v>
      </c>
      <c r="C119" s="163">
        <f>SUM(C120)</f>
        <v>52777.4</v>
      </c>
      <c r="D119" s="163">
        <f>SUM(D120)</f>
        <v>0</v>
      </c>
      <c r="E119" s="163">
        <f>SUM(E120)</f>
        <v>0</v>
      </c>
      <c r="F119" s="163">
        <f>SUM(F120)</f>
        <v>0</v>
      </c>
      <c r="G119" s="441">
        <f t="shared" ref="G119:G127" si="38">SUM(C119:F119)</f>
        <v>52777.4</v>
      </c>
      <c r="H119" s="446"/>
      <c r="I119" s="446"/>
      <c r="J119" s="446"/>
      <c r="K119" s="446"/>
      <c r="L119" s="441"/>
      <c r="M119" s="442">
        <f>SUM(M120)</f>
        <v>6196</v>
      </c>
      <c r="N119" s="442"/>
      <c r="O119" s="442"/>
      <c r="P119" s="446"/>
      <c r="Q119" s="442">
        <f t="shared" si="33"/>
        <v>6196</v>
      </c>
      <c r="R119" s="446"/>
      <c r="S119" s="446"/>
      <c r="T119" s="446"/>
      <c r="U119" s="441"/>
      <c r="V119" s="446"/>
      <c r="W119" s="446"/>
      <c r="X119" s="446">
        <f>Egre0304!F111</f>
        <v>0</v>
      </c>
      <c r="Y119" s="441">
        <f t="shared" ref="Y119:Y127" si="39">SUM(V119:X119)</f>
        <v>0</v>
      </c>
      <c r="Z119" s="446"/>
      <c r="AA119" s="446"/>
      <c r="AB119" s="446"/>
      <c r="AC119" s="441"/>
      <c r="AD119" s="619">
        <f t="shared" si="17"/>
        <v>58973.4</v>
      </c>
      <c r="AE119" s="354"/>
      <c r="AF119" s="354"/>
    </row>
    <row r="120" spans="1:32" s="357" customFormat="1" ht="11.25" x14ac:dyDescent="0.2">
      <c r="A120" s="117">
        <v>72101</v>
      </c>
      <c r="B120" s="959" t="s">
        <v>809</v>
      </c>
      <c r="C120" s="163">
        <f>EgreUP01!C88</f>
        <v>52777.4</v>
      </c>
      <c r="D120" s="163"/>
      <c r="E120" s="163"/>
      <c r="F120" s="441"/>
      <c r="G120" s="441">
        <f t="shared" si="38"/>
        <v>52777.4</v>
      </c>
      <c r="H120" s="446"/>
      <c r="I120" s="446"/>
      <c r="J120" s="446"/>
      <c r="K120" s="446"/>
      <c r="L120" s="441"/>
      <c r="M120" s="442">
        <f>EgreUP01!D88</f>
        <v>6196</v>
      </c>
      <c r="N120" s="442"/>
      <c r="O120" s="442"/>
      <c r="P120" s="446"/>
      <c r="Q120" s="442">
        <f t="shared" si="33"/>
        <v>6196</v>
      </c>
      <c r="R120" s="446"/>
      <c r="S120" s="446"/>
      <c r="T120" s="446"/>
      <c r="U120" s="441"/>
      <c r="V120" s="446"/>
      <c r="W120" s="446"/>
      <c r="X120" s="446">
        <f>Egre0304!F112</f>
        <v>0</v>
      </c>
      <c r="Y120" s="441">
        <f t="shared" si="39"/>
        <v>0</v>
      </c>
      <c r="Z120" s="446"/>
      <c r="AA120" s="446"/>
      <c r="AB120" s="446"/>
      <c r="AC120" s="441"/>
      <c r="AD120" s="619">
        <f t="shared" si="17"/>
        <v>58973.4</v>
      </c>
      <c r="AE120" s="354"/>
      <c r="AF120" s="354"/>
    </row>
    <row r="121" spans="1:32" s="357" customFormat="1" ht="11.25" x14ac:dyDescent="0.2">
      <c r="A121" s="443">
        <v>722</v>
      </c>
      <c r="B121" s="960" t="s">
        <v>808</v>
      </c>
      <c r="C121" s="163">
        <f>SUM(C122)</f>
        <v>13583.52</v>
      </c>
      <c r="D121" s="163"/>
      <c r="E121" s="163"/>
      <c r="F121" s="441"/>
      <c r="G121" s="441">
        <f t="shared" si="38"/>
        <v>13583.52</v>
      </c>
      <c r="H121" s="446"/>
      <c r="I121" s="446"/>
      <c r="J121" s="446"/>
      <c r="K121" s="446"/>
      <c r="L121" s="441"/>
      <c r="M121" s="442"/>
      <c r="N121" s="442"/>
      <c r="O121" s="442"/>
      <c r="P121" s="446"/>
      <c r="Q121" s="442">
        <f t="shared" si="33"/>
        <v>0</v>
      </c>
      <c r="R121" s="446"/>
      <c r="S121" s="446"/>
      <c r="T121" s="446"/>
      <c r="U121" s="441"/>
      <c r="V121" s="446">
        <f>V122</f>
        <v>112184.43</v>
      </c>
      <c r="W121" s="446"/>
      <c r="X121" s="446">
        <f>Egre0304!F113</f>
        <v>0</v>
      </c>
      <c r="Y121" s="441">
        <f t="shared" si="39"/>
        <v>112184.43</v>
      </c>
      <c r="Z121" s="446"/>
      <c r="AA121" s="446"/>
      <c r="AB121" s="446"/>
      <c r="AC121" s="441"/>
      <c r="AD121" s="619">
        <f t="shared" si="17"/>
        <v>125767.95</v>
      </c>
      <c r="AE121" s="354"/>
      <c r="AF121" s="354"/>
    </row>
    <row r="122" spans="1:32" s="357" customFormat="1" ht="11.25" x14ac:dyDescent="0.2">
      <c r="A122" s="28">
        <v>72201</v>
      </c>
      <c r="B122" s="959" t="s">
        <v>810</v>
      </c>
      <c r="C122" s="163">
        <f>Egre0304!C62</f>
        <v>13583.52</v>
      </c>
      <c r="D122" s="163"/>
      <c r="E122" s="163"/>
      <c r="F122" s="441"/>
      <c r="G122" s="441">
        <f t="shared" si="38"/>
        <v>13583.52</v>
      </c>
      <c r="H122" s="446"/>
      <c r="I122" s="446"/>
      <c r="J122" s="446"/>
      <c r="K122" s="446"/>
      <c r="L122" s="441"/>
      <c r="M122" s="441"/>
      <c r="N122" s="441"/>
      <c r="O122" s="441"/>
      <c r="P122" s="446"/>
      <c r="Q122" s="442">
        <f t="shared" si="33"/>
        <v>0</v>
      </c>
      <c r="R122" s="446"/>
      <c r="S122" s="446"/>
      <c r="T122" s="446"/>
      <c r="U122" s="441"/>
      <c r="V122" s="446">
        <f>Egre0304!F62</f>
        <v>112184.43</v>
      </c>
      <c r="W122" s="446"/>
      <c r="X122" s="446">
        <f>Egre0304!F114</f>
        <v>0</v>
      </c>
      <c r="Y122" s="441">
        <f t="shared" si="39"/>
        <v>112184.43</v>
      </c>
      <c r="Z122" s="446"/>
      <c r="AA122" s="446"/>
      <c r="AB122" s="446"/>
      <c r="AC122" s="441"/>
      <c r="AD122" s="619">
        <f t="shared" si="17"/>
        <v>125767.95</v>
      </c>
      <c r="AE122" s="354"/>
      <c r="AF122" s="354"/>
    </row>
    <row r="123" spans="1:32" s="357" customFormat="1" ht="18" customHeight="1" x14ac:dyDescent="0.2">
      <c r="A123" s="444">
        <v>99</v>
      </c>
      <c r="B123" s="121" t="s">
        <v>117</v>
      </c>
      <c r="C123" s="163">
        <f>C124+C126</f>
        <v>0</v>
      </c>
      <c r="D123" s="163">
        <f>D124</f>
        <v>0</v>
      </c>
      <c r="E123" s="163">
        <f>E124</f>
        <v>0</v>
      </c>
      <c r="F123" s="163">
        <f>F124</f>
        <v>0</v>
      </c>
      <c r="G123" s="441">
        <f t="shared" si="38"/>
        <v>0</v>
      </c>
      <c r="H123" s="446">
        <f>H124+H126</f>
        <v>0</v>
      </c>
      <c r="I123" s="446">
        <f>I124+I126</f>
        <v>0</v>
      </c>
      <c r="J123" s="446">
        <f>J124+J126</f>
        <v>0</v>
      </c>
      <c r="K123" s="446">
        <f>K124+K126</f>
        <v>0</v>
      </c>
      <c r="L123" s="441">
        <f>SUM(H123:K123)</f>
        <v>0</v>
      </c>
      <c r="M123" s="441"/>
      <c r="N123" s="441"/>
      <c r="O123" s="441"/>
      <c r="P123" s="446"/>
      <c r="Q123" s="442">
        <f t="shared" si="33"/>
        <v>0</v>
      </c>
      <c r="R123" s="446"/>
      <c r="S123" s="446"/>
      <c r="T123" s="446"/>
      <c r="U123" s="441">
        <f>SUM(R123:T123)</f>
        <v>0</v>
      </c>
      <c r="V123" s="446"/>
      <c r="W123" s="446"/>
      <c r="X123" s="446">
        <f>Egre0304!F115</f>
        <v>0</v>
      </c>
      <c r="Y123" s="441">
        <f t="shared" si="39"/>
        <v>0</v>
      </c>
      <c r="Z123" s="446"/>
      <c r="AA123" s="446"/>
      <c r="AB123" s="446"/>
      <c r="AC123" s="441">
        <f>SUM(Z123:AB123)</f>
        <v>0</v>
      </c>
      <c r="AD123" s="619">
        <f t="shared" si="17"/>
        <v>0</v>
      </c>
      <c r="AE123" s="354"/>
      <c r="AF123" s="354"/>
    </row>
    <row r="124" spans="1:32" s="357" customFormat="1" ht="18" customHeight="1" x14ac:dyDescent="0.2">
      <c r="A124" s="78">
        <v>991</v>
      </c>
      <c r="B124" s="82" t="s">
        <v>381</v>
      </c>
      <c r="C124" s="163">
        <f>C125</f>
        <v>0</v>
      </c>
      <c r="D124" s="163"/>
      <c r="E124" s="163"/>
      <c r="F124" s="441"/>
      <c r="G124" s="441">
        <f t="shared" si="38"/>
        <v>0</v>
      </c>
      <c r="H124" s="455">
        <f>SUM(H125)</f>
        <v>0</v>
      </c>
      <c r="I124" s="455">
        <f>SUM(I125)</f>
        <v>0</v>
      </c>
      <c r="J124" s="455">
        <f>SUM(J125)</f>
        <v>0</v>
      </c>
      <c r="K124" s="455">
        <f>SUM(K125)</f>
        <v>0</v>
      </c>
      <c r="L124" s="454">
        <f>SUM(H124:K124)</f>
        <v>0</v>
      </c>
      <c r="M124" s="454"/>
      <c r="N124" s="454"/>
      <c r="O124" s="454"/>
      <c r="P124" s="455"/>
      <c r="Q124" s="442">
        <f t="shared" si="33"/>
        <v>0</v>
      </c>
      <c r="R124" s="455"/>
      <c r="S124" s="455"/>
      <c r="T124" s="455"/>
      <c r="U124" s="454">
        <f>SUM(R124:T124)</f>
        <v>0</v>
      </c>
      <c r="V124" s="455"/>
      <c r="W124" s="455"/>
      <c r="X124" s="446">
        <f>Egre0304!F116</f>
        <v>0</v>
      </c>
      <c r="Y124" s="441">
        <f t="shared" si="39"/>
        <v>0</v>
      </c>
      <c r="Z124" s="455"/>
      <c r="AA124" s="455"/>
      <c r="AB124" s="455"/>
      <c r="AC124" s="454">
        <f>SUM(Z124:AB124)</f>
        <v>0</v>
      </c>
      <c r="AD124" s="619">
        <f t="shared" si="17"/>
        <v>0</v>
      </c>
      <c r="AE124" s="354"/>
      <c r="AF124" s="354"/>
    </row>
    <row r="125" spans="1:32" s="357" customFormat="1" ht="18" customHeight="1" x14ac:dyDescent="0.2">
      <c r="A125" s="28">
        <v>99101</v>
      </c>
      <c r="B125" s="116" t="s">
        <v>758</v>
      </c>
      <c r="C125" s="163"/>
      <c r="D125" s="163"/>
      <c r="E125" s="163"/>
      <c r="F125" s="441"/>
      <c r="G125" s="441">
        <f t="shared" si="38"/>
        <v>0</v>
      </c>
      <c r="H125" s="999"/>
      <c r="I125" s="446"/>
      <c r="J125" s="446"/>
      <c r="K125" s="446"/>
      <c r="L125" s="441">
        <f>SUM(H125:K125)</f>
        <v>0</v>
      </c>
      <c r="M125" s="441"/>
      <c r="N125" s="441"/>
      <c r="O125" s="441"/>
      <c r="P125" s="446"/>
      <c r="Q125" s="441">
        <f t="shared" si="33"/>
        <v>0</v>
      </c>
      <c r="R125" s="446"/>
      <c r="S125" s="446"/>
      <c r="T125" s="446"/>
      <c r="U125" s="441">
        <f>SUM(R125:T125)</f>
        <v>0</v>
      </c>
      <c r="V125" s="446"/>
      <c r="W125" s="446"/>
      <c r="X125" s="446">
        <f>Egre0304!F117</f>
        <v>0</v>
      </c>
      <c r="Y125" s="441">
        <f t="shared" si="39"/>
        <v>0</v>
      </c>
      <c r="Z125" s="446"/>
      <c r="AA125" s="446"/>
      <c r="AB125" s="446"/>
      <c r="AC125" s="441">
        <f>SUM(Z125:AB125)</f>
        <v>0</v>
      </c>
      <c r="AD125" s="619">
        <f t="shared" si="17"/>
        <v>0</v>
      </c>
      <c r="AE125" s="354"/>
      <c r="AF125" s="354"/>
    </row>
    <row r="126" spans="1:32" s="357" customFormat="1" ht="18" customHeight="1" x14ac:dyDescent="0.2">
      <c r="A126" s="28">
        <v>992</v>
      </c>
      <c r="B126" s="116" t="s">
        <v>759</v>
      </c>
      <c r="C126" s="163"/>
      <c r="D126" s="163"/>
      <c r="E126" s="163"/>
      <c r="F126" s="441"/>
      <c r="G126" s="441">
        <f t="shared" si="38"/>
        <v>0</v>
      </c>
      <c r="H126" s="999">
        <f>SUM(H127)</f>
        <v>0</v>
      </c>
      <c r="I126" s="446">
        <f>SUM(I127)</f>
        <v>0</v>
      </c>
      <c r="J126" s="446">
        <f>SUM(J127)</f>
        <v>0</v>
      </c>
      <c r="K126" s="446">
        <f>SUM(K127)</f>
        <v>0</v>
      </c>
      <c r="L126" s="441">
        <f>SUM(H126:K126)</f>
        <v>0</v>
      </c>
      <c r="M126" s="441"/>
      <c r="N126" s="441"/>
      <c r="O126" s="441"/>
      <c r="P126" s="446"/>
      <c r="Q126" s="441"/>
      <c r="R126" s="446"/>
      <c r="S126" s="446"/>
      <c r="T126" s="446"/>
      <c r="U126" s="441"/>
      <c r="V126" s="446"/>
      <c r="W126" s="446"/>
      <c r="X126" s="446">
        <f>Egre0304!F118</f>
        <v>0</v>
      </c>
      <c r="Y126" s="441">
        <f t="shared" si="39"/>
        <v>0</v>
      </c>
      <c r="Z126" s="446"/>
      <c r="AA126" s="446"/>
      <c r="AB126" s="446"/>
      <c r="AC126" s="441"/>
      <c r="AD126" s="619">
        <f t="shared" si="17"/>
        <v>0</v>
      </c>
      <c r="AE126" s="354"/>
      <c r="AF126" s="354"/>
    </row>
    <row r="127" spans="1:32" s="357" customFormat="1" ht="18" customHeight="1" thickBot="1" x14ac:dyDescent="0.25">
      <c r="A127" s="901">
        <v>99201</v>
      </c>
      <c r="B127" s="902" t="s">
        <v>760</v>
      </c>
      <c r="C127" s="903"/>
      <c r="D127" s="903"/>
      <c r="E127" s="903"/>
      <c r="F127" s="904"/>
      <c r="G127" s="441">
        <f t="shared" si="38"/>
        <v>0</v>
      </c>
      <c r="H127" s="1000"/>
      <c r="I127" s="905"/>
      <c r="J127" s="905"/>
      <c r="K127" s="905"/>
      <c r="L127" s="441">
        <f>SUM(H127:K127)</f>
        <v>0</v>
      </c>
      <c r="M127" s="904"/>
      <c r="N127" s="904"/>
      <c r="O127" s="904"/>
      <c r="P127" s="905"/>
      <c r="Q127" s="904"/>
      <c r="R127" s="905"/>
      <c r="S127" s="905"/>
      <c r="T127" s="905"/>
      <c r="U127" s="904"/>
      <c r="V127" s="905"/>
      <c r="W127" s="905"/>
      <c r="X127" s="446">
        <f>Egre0304!F119</f>
        <v>0</v>
      </c>
      <c r="Y127" s="441">
        <f t="shared" si="39"/>
        <v>0</v>
      </c>
      <c r="Z127" s="905"/>
      <c r="AA127" s="905"/>
      <c r="AB127" s="905"/>
      <c r="AC127" s="904"/>
      <c r="AD127" s="619">
        <f t="shared" si="17"/>
        <v>0</v>
      </c>
      <c r="AE127" s="354"/>
      <c r="AF127" s="354"/>
    </row>
    <row r="128" spans="1:32" s="357" customFormat="1" ht="18" customHeight="1" thickTop="1" thickBot="1" x14ac:dyDescent="0.25">
      <c r="A128" s="981"/>
      <c r="B128" s="980" t="s">
        <v>130</v>
      </c>
      <c r="C128" s="900">
        <f>C7+C29+C102+C116+C123+C94+C82+C121+C119</f>
        <v>429299.71</v>
      </c>
      <c r="D128" s="900">
        <f t="shared" ref="D128:AC128" si="40">D7+D29+D102+D116+D123+D94+D82+D121+D119</f>
        <v>0</v>
      </c>
      <c r="E128" s="900">
        <f t="shared" si="40"/>
        <v>87000</v>
      </c>
      <c r="F128" s="900">
        <f t="shared" si="40"/>
        <v>440999.53</v>
      </c>
      <c r="G128" s="900">
        <f t="shared" si="40"/>
        <v>957299.24</v>
      </c>
      <c r="H128" s="900">
        <f t="shared" si="40"/>
        <v>0</v>
      </c>
      <c r="I128" s="900">
        <f t="shared" si="40"/>
        <v>234259.51</v>
      </c>
      <c r="J128" s="900">
        <f t="shared" si="40"/>
        <v>0</v>
      </c>
      <c r="K128" s="900">
        <f t="shared" si="40"/>
        <v>749388</v>
      </c>
      <c r="L128" s="900">
        <f t="shared" si="40"/>
        <v>983647.51</v>
      </c>
      <c r="M128" s="900">
        <f t="shared" si="40"/>
        <v>696917.94000000006</v>
      </c>
      <c r="N128" s="900">
        <f t="shared" si="40"/>
        <v>942263.26</v>
      </c>
      <c r="O128" s="900">
        <f t="shared" si="40"/>
        <v>201141.82</v>
      </c>
      <c r="P128" s="900">
        <f t="shared" si="40"/>
        <v>762276.12</v>
      </c>
      <c r="Q128" s="900">
        <f>Q7+Q29+Q102+Q116+Q123+Q94+Q82+Q121+Q119+Q86</f>
        <v>2615164.6999999997</v>
      </c>
      <c r="R128" s="900">
        <f t="shared" si="40"/>
        <v>0</v>
      </c>
      <c r="S128" s="900">
        <f t="shared" si="40"/>
        <v>0</v>
      </c>
      <c r="T128" s="900">
        <f t="shared" si="40"/>
        <v>0</v>
      </c>
      <c r="U128" s="900">
        <f t="shared" si="40"/>
        <v>0</v>
      </c>
      <c r="V128" s="900">
        <f t="shared" si="40"/>
        <v>112184.43</v>
      </c>
      <c r="W128" s="900">
        <f t="shared" si="40"/>
        <v>0</v>
      </c>
      <c r="X128" s="900">
        <f t="shared" si="40"/>
        <v>0</v>
      </c>
      <c r="Y128" s="900">
        <f>Y7+Y29+Y102+Y116+Y123+Y94+Y82+Y121+Y119</f>
        <v>112184.43</v>
      </c>
      <c r="Z128" s="900">
        <f t="shared" si="40"/>
        <v>0</v>
      </c>
      <c r="AA128" s="900">
        <f t="shared" si="40"/>
        <v>0</v>
      </c>
      <c r="AB128" s="900">
        <f t="shared" si="40"/>
        <v>0</v>
      </c>
      <c r="AC128" s="900">
        <f t="shared" si="40"/>
        <v>0</v>
      </c>
      <c r="AD128" s="900">
        <f>AD7+AD29+AD102+AD116+AD123+AD94+AD82+AD121+AD119+AD86</f>
        <v>4668295.88</v>
      </c>
      <c r="AE128" s="354">
        <f>G128+L128+Q128+U128+Y128+AC128</f>
        <v>4668295.879999999</v>
      </c>
      <c r="AF128" s="354"/>
    </row>
    <row r="129" spans="1:31" ht="18" customHeight="1" x14ac:dyDescent="0.2">
      <c r="A129" s="61"/>
      <c r="B129" s="52"/>
      <c r="C129" s="351">
        <f>C128-'BS_CR '!AU90-'BS_CR '!AU91</f>
        <v>429299.71</v>
      </c>
      <c r="D129" s="351">
        <f>D128-'BS_CR '!AV90-'BS_CR '!AV91</f>
        <v>0</v>
      </c>
      <c r="E129" s="351">
        <f>E128-'BS_CR '!AW90-'BS_CR '!AW91</f>
        <v>87000</v>
      </c>
      <c r="F129" s="351">
        <f>F128-'BS_CR '!AX90-'BS_CR '!AX91</f>
        <v>440999.53</v>
      </c>
      <c r="G129" s="351">
        <f>G128-'BS_CR '!AY90-'BS_CR '!AY91</f>
        <v>957299.24</v>
      </c>
      <c r="H129" s="351">
        <f>H128-'BS_CR '!AZ90-'BS_CR '!AZ91</f>
        <v>0</v>
      </c>
      <c r="I129" s="351">
        <f>I128-'BS_CR '!BA90-'BS_CR '!BA91</f>
        <v>234259.51</v>
      </c>
      <c r="Q129" s="351">
        <f>Q128-'BS_CR '!BI90-'BS_CR '!BI91</f>
        <v>0</v>
      </c>
      <c r="R129" s="351">
        <f>R128-'BS_CR '!BJ90-'BS_CR '!BJ91</f>
        <v>0</v>
      </c>
      <c r="S129" s="351">
        <f>S128-'BS_CR '!BK90-'BS_CR '!BK91</f>
        <v>0</v>
      </c>
      <c r="T129" s="351">
        <f>T128-'BS_CR '!BL90-'BS_CR '!BL91</f>
        <v>0</v>
      </c>
      <c r="U129" s="351">
        <f>U128-'BS_CR '!BM90-'BS_CR '!BM91</f>
        <v>0</v>
      </c>
      <c r="V129" s="351">
        <f>V128-'BS_CR '!BN90-'BS_CR '!BN91</f>
        <v>112184.43</v>
      </c>
      <c r="W129" s="351">
        <f>W128-'BS_CR '!BO90-'BS_CR '!BO91</f>
        <v>0</v>
      </c>
      <c r="X129" s="351">
        <f>X128-'BS_CR '!BP90-'BS_CR '!BP91</f>
        <v>0</v>
      </c>
      <c r="Y129" s="351">
        <f>Y128-'BS_CR '!BQ90-'BS_CR '!BQ91</f>
        <v>112184.43</v>
      </c>
      <c r="Z129" s="351">
        <f>Z128-'BS_CR '!BR90-'BS_CR '!BR91</f>
        <v>0</v>
      </c>
      <c r="AA129" s="351">
        <f>AA128-'BS_CR '!BS90-'BS_CR '!BS91</f>
        <v>0</v>
      </c>
      <c r="AB129" s="351">
        <f>AB128-'BS_CR '!BT90-'BS_CR '!BT91</f>
        <v>0</v>
      </c>
      <c r="AC129" s="351">
        <f>AC128-'BS_CR '!BU90-'BS_CR '!BU91</f>
        <v>0</v>
      </c>
      <c r="AD129" s="351">
        <f>AD128-'BS_CR '!BV90-'BS_CR '!BV91</f>
        <v>4668295.88</v>
      </c>
      <c r="AE129" s="351">
        <f>AE128-AD128</f>
        <v>0</v>
      </c>
    </row>
    <row r="130" spans="1:31" ht="18" customHeight="1" x14ac:dyDescent="0.2">
      <c r="A130" s="456"/>
      <c r="B130" s="457"/>
      <c r="C130" s="457"/>
      <c r="D130" s="457"/>
      <c r="E130" s="457"/>
      <c r="G130" s="357"/>
      <c r="Q130" s="357"/>
    </row>
    <row r="131" spans="1:31" ht="18" customHeight="1" x14ac:dyDescent="0.3">
      <c r="A131" s="361"/>
      <c r="B131" s="301"/>
      <c r="C131" s="301"/>
      <c r="D131" s="301"/>
      <c r="E131" s="301"/>
      <c r="Q131" s="458"/>
    </row>
    <row r="132" spans="1:31" ht="18" customHeight="1" x14ac:dyDescent="0.2">
      <c r="A132" s="361"/>
      <c r="B132" s="301"/>
      <c r="C132" s="301"/>
      <c r="D132" s="301"/>
      <c r="E132" s="301"/>
    </row>
    <row r="133" spans="1:31" ht="18" customHeight="1" x14ac:dyDescent="0.2">
      <c r="A133" s="361"/>
      <c r="B133" s="301"/>
      <c r="C133" s="301"/>
      <c r="D133" s="301"/>
      <c r="E133" s="301"/>
      <c r="P133" s="351">
        <f>G128+L128+Q128+U128+Y128+AC128</f>
        <v>4668295.879999999</v>
      </c>
    </row>
    <row r="134" spans="1:31" ht="18" customHeight="1" x14ac:dyDescent="0.2">
      <c r="A134" s="361"/>
      <c r="B134" s="301"/>
      <c r="C134" s="301"/>
      <c r="D134" s="301"/>
      <c r="E134" s="301"/>
    </row>
    <row r="135" spans="1:31" ht="18" customHeight="1" x14ac:dyDescent="0.2">
      <c r="A135" s="361"/>
      <c r="B135" s="301"/>
      <c r="C135" s="301"/>
      <c r="D135" s="301"/>
      <c r="E135" s="301"/>
    </row>
    <row r="136" spans="1:31" ht="18" customHeight="1" x14ac:dyDescent="0.2">
      <c r="A136" s="361"/>
      <c r="B136" s="301"/>
      <c r="C136" s="301"/>
      <c r="D136" s="301"/>
      <c r="E136" s="301"/>
    </row>
    <row r="137" spans="1:31" ht="18" customHeight="1" x14ac:dyDescent="0.2">
      <c r="A137" s="361"/>
      <c r="B137" s="301"/>
      <c r="C137" s="301"/>
      <c r="D137" s="301"/>
      <c r="E137" s="301"/>
    </row>
    <row r="138" spans="1:31" ht="18" customHeight="1" x14ac:dyDescent="0.2">
      <c r="A138" s="361"/>
      <c r="B138" s="301"/>
      <c r="C138" s="301"/>
      <c r="D138" s="301"/>
      <c r="E138" s="301"/>
    </row>
    <row r="139" spans="1:31" ht="18" customHeight="1" x14ac:dyDescent="0.2">
      <c r="A139" s="361"/>
      <c r="B139" s="301"/>
      <c r="C139" s="301"/>
      <c r="D139" s="301"/>
      <c r="E139" s="301"/>
    </row>
    <row r="140" spans="1:31" ht="18" customHeight="1" x14ac:dyDescent="0.2">
      <c r="A140" s="361"/>
      <c r="B140" s="301"/>
      <c r="C140" s="301"/>
      <c r="D140" s="301"/>
      <c r="E140" s="301"/>
    </row>
    <row r="141" spans="1:31" ht="18" customHeight="1" x14ac:dyDescent="0.2">
      <c r="A141" s="361"/>
      <c r="B141" s="301"/>
      <c r="C141" s="301"/>
      <c r="D141" s="301"/>
      <c r="E141" s="301"/>
    </row>
    <row r="142" spans="1:31" ht="18" customHeight="1" x14ac:dyDescent="0.2">
      <c r="A142" s="361"/>
      <c r="B142" s="301"/>
      <c r="C142" s="301"/>
      <c r="D142" s="301"/>
      <c r="E142" s="301"/>
    </row>
  </sheetData>
  <mergeCells count="25">
    <mergeCell ref="AC3:AC6"/>
    <mergeCell ref="Q5:Q6"/>
    <mergeCell ref="M3:Q3"/>
    <mergeCell ref="M4:Q4"/>
    <mergeCell ref="A2:A6"/>
    <mergeCell ref="U3:U6"/>
    <mergeCell ref="L3:L6"/>
    <mergeCell ref="G5:G6"/>
    <mergeCell ref="B2:B6"/>
    <mergeCell ref="H2:L2"/>
    <mergeCell ref="H5:H6"/>
    <mergeCell ref="I5:I6"/>
    <mergeCell ref="C5:D5"/>
    <mergeCell ref="C2:G2"/>
    <mergeCell ref="M5:N5"/>
    <mergeCell ref="M2:Q2"/>
    <mergeCell ref="Z2:AB2"/>
    <mergeCell ref="Y3:Y6"/>
    <mergeCell ref="R2:T2"/>
    <mergeCell ref="C4:G4"/>
    <mergeCell ref="K5:K6"/>
    <mergeCell ref="O5:P5"/>
    <mergeCell ref="C3:G3"/>
    <mergeCell ref="E5:F5"/>
    <mergeCell ref="J5:J6"/>
  </mergeCells>
  <phoneticPr fontId="0" type="noConversion"/>
  <pageMargins left="0.78740157480314965" right="0.59055118110236227" top="0.82677165354330717" bottom="0.86614173228346458" header="0" footer="0"/>
  <pageSetup scale="50" orientation="landscape" horizontalDpi="4294967294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6"/>
  <dimension ref="A1:F137"/>
  <sheetViews>
    <sheetView showGridLines="0" topLeftCell="A109" zoomScaleNormal="100" workbookViewId="0">
      <selection activeCell="E120" sqref="E120"/>
    </sheetView>
  </sheetViews>
  <sheetFormatPr baseColWidth="10" defaultColWidth="11.42578125" defaultRowHeight="18" customHeight="1" x14ac:dyDescent="0.2"/>
  <cols>
    <col min="1" max="1" width="7.42578125" style="362" customWidth="1"/>
    <col min="2" max="2" width="44" style="351" customWidth="1"/>
    <col min="3" max="3" width="16.42578125" style="351" customWidth="1"/>
    <col min="4" max="4" width="15.85546875" style="351" customWidth="1"/>
    <col min="5" max="5" width="15.7109375" style="351" customWidth="1"/>
    <col min="6" max="16384" width="11.42578125" style="351"/>
  </cols>
  <sheetData>
    <row r="1" spans="1:5" ht="12.75" customHeight="1" x14ac:dyDescent="0.2">
      <c r="A1" s="1222" t="s">
        <v>214</v>
      </c>
      <c r="B1" s="1222"/>
      <c r="C1" s="1222"/>
      <c r="D1" s="1222"/>
      <c r="E1" s="1222"/>
    </row>
    <row r="2" spans="1:5" ht="13.5" customHeight="1" x14ac:dyDescent="0.2">
      <c r="A2" s="1222" t="s">
        <v>27</v>
      </c>
      <c r="B2" s="1222"/>
      <c r="C2" s="1222"/>
      <c r="D2" s="1222"/>
      <c r="E2" s="1222"/>
    </row>
    <row r="3" spans="1:5" ht="18" customHeight="1" x14ac:dyDescent="0.2">
      <c r="A3" s="1265" t="str">
        <f>Egre0304!A3</f>
        <v>INSTITUCION: ALCALDIA MUNICIPAL DE CHALATENANGO</v>
      </c>
      <c r="B3" s="1265"/>
      <c r="C3" s="1265"/>
      <c r="D3" s="1265"/>
      <c r="E3" s="1265"/>
    </row>
    <row r="4" spans="1:5" ht="18" customHeight="1" x14ac:dyDescent="0.2">
      <c r="A4" s="49" t="str">
        <f>Egre0304!A72</f>
        <v>EJERCICIO FINANCIERO FISCAL: DEL 01 DE ENERO AL 31 DE DICIEMBRE DE 2024</v>
      </c>
      <c r="B4" s="49"/>
      <c r="C4" s="49"/>
      <c r="D4" s="49"/>
      <c r="E4" s="49"/>
    </row>
    <row r="5" spans="1:5" ht="18" customHeight="1" thickBot="1" x14ac:dyDescent="0.25">
      <c r="A5" s="1222" t="s">
        <v>151</v>
      </c>
      <c r="B5" s="1222"/>
      <c r="C5" s="1222"/>
      <c r="D5" s="1222"/>
      <c r="E5" s="1222"/>
    </row>
    <row r="6" spans="1:5" ht="18" customHeight="1" thickTop="1" thickBot="1" x14ac:dyDescent="0.25">
      <c r="A6" s="420" t="s">
        <v>58</v>
      </c>
      <c r="B6" s="421" t="s">
        <v>29</v>
      </c>
      <c r="C6" s="422" t="s">
        <v>59</v>
      </c>
      <c r="D6" s="422" t="s">
        <v>59</v>
      </c>
      <c r="E6" s="423" t="s">
        <v>31</v>
      </c>
    </row>
    <row r="7" spans="1:5" s="354" customFormat="1" ht="11.25" customHeight="1" x14ac:dyDescent="0.2">
      <c r="A7" s="424">
        <v>51</v>
      </c>
      <c r="B7" s="352" t="s">
        <v>99</v>
      </c>
      <c r="C7" s="353"/>
      <c r="D7" s="425"/>
      <c r="E7" s="588">
        <f>SUM(D8:D27)</f>
        <v>1895512.13</v>
      </c>
    </row>
    <row r="8" spans="1:5" s="354" customFormat="1" ht="11.25" customHeight="1" x14ac:dyDescent="0.2">
      <c r="A8" s="426">
        <v>511</v>
      </c>
      <c r="B8" s="355" t="s">
        <v>100</v>
      </c>
      <c r="C8" s="586"/>
      <c r="D8" s="587">
        <f>SUM(C9:C12)</f>
        <v>1435221.95</v>
      </c>
      <c r="E8" s="588"/>
    </row>
    <row r="9" spans="1:5" s="357" customFormat="1" ht="11.25" customHeight="1" x14ac:dyDescent="0.2">
      <c r="A9" s="427" t="s">
        <v>2</v>
      </c>
      <c r="B9" s="356" t="s">
        <v>350</v>
      </c>
      <c r="C9" s="589">
        <f>Consolidado!AD9</f>
        <v>1395576</v>
      </c>
      <c r="D9" s="590"/>
      <c r="E9" s="591"/>
    </row>
    <row r="10" spans="1:5" s="354" customFormat="1" ht="11.25" customHeight="1" x14ac:dyDescent="0.2">
      <c r="A10" s="427" t="s">
        <v>8</v>
      </c>
      <c r="B10" s="356" t="s">
        <v>287</v>
      </c>
      <c r="C10" s="589">
        <f>Consolidado!AD10</f>
        <v>0</v>
      </c>
      <c r="D10" s="587"/>
      <c r="E10" s="588"/>
    </row>
    <row r="11" spans="1:5" s="354" customFormat="1" ht="11.25" customHeight="1" x14ac:dyDescent="0.2">
      <c r="A11" s="427" t="s">
        <v>518</v>
      </c>
      <c r="B11" s="356" t="s">
        <v>517</v>
      </c>
      <c r="C11" s="589">
        <f>Consolidado!AD11</f>
        <v>6295.95</v>
      </c>
      <c r="D11" s="587"/>
      <c r="E11" s="588"/>
    </row>
    <row r="12" spans="1:5" s="354" customFormat="1" ht="11.25" customHeight="1" x14ac:dyDescent="0.2">
      <c r="A12" s="427" t="s">
        <v>612</v>
      </c>
      <c r="B12" s="356" t="s">
        <v>613</v>
      </c>
      <c r="C12" s="589">
        <f>Consolidado!AD12</f>
        <v>33350</v>
      </c>
      <c r="D12" s="587"/>
      <c r="E12" s="588"/>
    </row>
    <row r="13" spans="1:5" s="357" customFormat="1" ht="11.25" customHeight="1" x14ac:dyDescent="0.2">
      <c r="A13" s="428" t="s">
        <v>101</v>
      </c>
      <c r="B13" s="358" t="s">
        <v>102</v>
      </c>
      <c r="C13" s="586"/>
      <c r="D13" s="587">
        <f>SUM(C14:C16)</f>
        <v>231418.96</v>
      </c>
      <c r="E13" s="591"/>
    </row>
    <row r="14" spans="1:5" s="354" customFormat="1" ht="11.25" customHeight="1" x14ac:dyDescent="0.2">
      <c r="A14" s="429">
        <v>51201</v>
      </c>
      <c r="B14" s="81" t="s">
        <v>425</v>
      </c>
      <c r="C14" s="589">
        <f>Consolidado!AD14</f>
        <v>160353.96</v>
      </c>
      <c r="D14" s="587"/>
      <c r="E14" s="588"/>
    </row>
    <row r="15" spans="1:5" s="357" customFormat="1" ht="11.25" customHeight="1" x14ac:dyDescent="0.2">
      <c r="A15" s="427" t="s">
        <v>476</v>
      </c>
      <c r="B15" s="356" t="s">
        <v>351</v>
      </c>
      <c r="C15" s="589">
        <f>Consolidado!AD15</f>
        <v>0</v>
      </c>
      <c r="D15" s="590"/>
      <c r="E15" s="591"/>
    </row>
    <row r="16" spans="1:5" s="357" customFormat="1" ht="11.25" customHeight="1" x14ac:dyDescent="0.2">
      <c r="A16" s="427" t="s">
        <v>7</v>
      </c>
      <c r="B16" s="356" t="s">
        <v>352</v>
      </c>
      <c r="C16" s="589">
        <f>Consolidado!AD16</f>
        <v>71065</v>
      </c>
      <c r="D16" s="590"/>
      <c r="E16" s="591"/>
    </row>
    <row r="17" spans="1:5" s="354" customFormat="1" ht="11.25" customHeight="1" x14ac:dyDescent="0.2">
      <c r="A17" s="428" t="s">
        <v>103</v>
      </c>
      <c r="B17" s="358" t="s">
        <v>104</v>
      </c>
      <c r="C17" s="586"/>
      <c r="D17" s="587">
        <f>SUM(C18:C18)</f>
        <v>0</v>
      </c>
      <c r="E17" s="588"/>
    </row>
    <row r="18" spans="1:5" s="357" customFormat="1" ht="11.25" customHeight="1" x14ac:dyDescent="0.2">
      <c r="A18" s="429">
        <v>51301</v>
      </c>
      <c r="B18" s="81" t="s">
        <v>353</v>
      </c>
      <c r="C18" s="589">
        <f>Consolidado!AD18</f>
        <v>0</v>
      </c>
      <c r="D18" s="590"/>
      <c r="E18" s="591"/>
    </row>
    <row r="19" spans="1:5" s="357" customFormat="1" ht="11.25" customHeight="1" x14ac:dyDescent="0.2">
      <c r="A19" s="426">
        <v>514</v>
      </c>
      <c r="B19" s="73" t="s">
        <v>369</v>
      </c>
      <c r="C19" s="586"/>
      <c r="D19" s="587">
        <f>SUM(C20)</f>
        <v>109355.22</v>
      </c>
      <c r="E19" s="591"/>
    </row>
    <row r="20" spans="1:5" s="354" customFormat="1" ht="11.25" customHeight="1" x14ac:dyDescent="0.2">
      <c r="A20" s="427" t="s">
        <v>6</v>
      </c>
      <c r="B20" s="356" t="s">
        <v>354</v>
      </c>
      <c r="C20" s="589">
        <f>Consolidado!AD20</f>
        <v>109355.22</v>
      </c>
      <c r="D20" s="587"/>
      <c r="E20" s="588"/>
    </row>
    <row r="21" spans="1:5" s="354" customFormat="1" ht="11.25" customHeight="1" x14ac:dyDescent="0.2">
      <c r="A21" s="426">
        <v>515</v>
      </c>
      <c r="B21" s="73" t="s">
        <v>370</v>
      </c>
      <c r="C21" s="586"/>
      <c r="D21" s="587">
        <f>+C22</f>
        <v>119516</v>
      </c>
      <c r="E21" s="588"/>
    </row>
    <row r="22" spans="1:5" s="357" customFormat="1" ht="11.25" customHeight="1" x14ac:dyDescent="0.2">
      <c r="A22" s="427" t="s">
        <v>5</v>
      </c>
      <c r="B22" s="356" t="s">
        <v>355</v>
      </c>
      <c r="C22" s="589">
        <f>Consolidado!AD22</f>
        <v>119516</v>
      </c>
      <c r="D22" s="590"/>
      <c r="E22" s="591"/>
    </row>
    <row r="23" spans="1:5" s="357" customFormat="1" ht="11.25" customHeight="1" x14ac:dyDescent="0.2">
      <c r="A23" s="428" t="s">
        <v>105</v>
      </c>
      <c r="B23" s="358" t="s">
        <v>106</v>
      </c>
      <c r="C23" s="586"/>
      <c r="D23" s="587">
        <f>SUM(C24:C25)</f>
        <v>0</v>
      </c>
      <c r="E23" s="591"/>
    </row>
    <row r="24" spans="1:5" s="354" customFormat="1" ht="11.25" customHeight="1" x14ac:dyDescent="0.2">
      <c r="A24" s="429">
        <v>51601</v>
      </c>
      <c r="B24" s="81" t="s">
        <v>356</v>
      </c>
      <c r="C24" s="589">
        <f>Consolidado!AD24</f>
        <v>0</v>
      </c>
      <c r="D24" s="587"/>
      <c r="E24" s="588"/>
    </row>
    <row r="25" spans="1:5" s="357" customFormat="1" ht="11.25" customHeight="1" x14ac:dyDescent="0.2">
      <c r="A25" s="429">
        <v>51602</v>
      </c>
      <c r="B25" s="81" t="s">
        <v>357</v>
      </c>
      <c r="C25" s="589">
        <f>Consolidado!AD25</f>
        <v>0</v>
      </c>
      <c r="D25" s="590"/>
      <c r="E25" s="591"/>
    </row>
    <row r="26" spans="1:5" s="357" customFormat="1" ht="11.25" customHeight="1" x14ac:dyDescent="0.2">
      <c r="A26" s="426">
        <v>517</v>
      </c>
      <c r="B26" s="73" t="s">
        <v>396</v>
      </c>
      <c r="C26" s="586"/>
      <c r="D26" s="587">
        <f>+C27</f>
        <v>0</v>
      </c>
      <c r="E26" s="591"/>
    </row>
    <row r="27" spans="1:5" s="357" customFormat="1" ht="11.25" customHeight="1" x14ac:dyDescent="0.2">
      <c r="A27" s="429">
        <v>51999</v>
      </c>
      <c r="B27" s="81" t="s">
        <v>404</v>
      </c>
      <c r="C27" s="589">
        <f>Consolidado!AD27</f>
        <v>0</v>
      </c>
      <c r="D27" s="590"/>
      <c r="E27" s="591"/>
    </row>
    <row r="28" spans="1:5" s="354" customFormat="1" ht="11.25" customHeight="1" x14ac:dyDescent="0.2">
      <c r="A28" s="426">
        <v>54</v>
      </c>
      <c r="B28" s="73" t="s">
        <v>107</v>
      </c>
      <c r="C28" s="586"/>
      <c r="D28" s="587"/>
      <c r="E28" s="588">
        <f>SUM(D29:D77)</f>
        <v>1302337.25</v>
      </c>
    </row>
    <row r="29" spans="1:5" s="357" customFormat="1" ht="11.25" customHeight="1" x14ac:dyDescent="0.2">
      <c r="A29" s="426">
        <v>541</v>
      </c>
      <c r="B29" s="73" t="s">
        <v>108</v>
      </c>
      <c r="C29" s="586"/>
      <c r="D29" s="587">
        <f>SUM(C30:C50)</f>
        <v>418353.98000000004</v>
      </c>
      <c r="E29" s="591"/>
    </row>
    <row r="30" spans="1:5" s="354" customFormat="1" ht="11.25" customHeight="1" x14ac:dyDescent="0.2">
      <c r="A30" s="429">
        <v>54101</v>
      </c>
      <c r="B30" s="81" t="s">
        <v>291</v>
      </c>
      <c r="C30" s="589">
        <f>Consolidado!AD31</f>
        <v>28450</v>
      </c>
      <c r="D30" s="587"/>
      <c r="E30" s="588"/>
    </row>
    <row r="31" spans="1:5" s="354" customFormat="1" ht="11.25" customHeight="1" x14ac:dyDescent="0.2">
      <c r="A31" s="429">
        <v>54102</v>
      </c>
      <c r="B31" s="81" t="s">
        <v>841</v>
      </c>
      <c r="C31" s="589">
        <f>Consolidado!N32</f>
        <v>2100</v>
      </c>
      <c r="D31" s="587"/>
      <c r="E31" s="588"/>
    </row>
    <row r="32" spans="1:5" s="354" customFormat="1" ht="11.25" customHeight="1" x14ac:dyDescent="0.2">
      <c r="A32" s="429">
        <v>54103</v>
      </c>
      <c r="B32" s="81" t="s">
        <v>292</v>
      </c>
      <c r="C32" s="589">
        <f>Consolidado!AD33</f>
        <v>16100</v>
      </c>
      <c r="D32" s="587"/>
      <c r="E32" s="588"/>
    </row>
    <row r="33" spans="1:5" s="357" customFormat="1" ht="11.25" customHeight="1" x14ac:dyDescent="0.2">
      <c r="A33" s="429">
        <v>54104</v>
      </c>
      <c r="B33" s="81" t="s">
        <v>293</v>
      </c>
      <c r="C33" s="589">
        <f>Consolidado!AD34</f>
        <v>20500</v>
      </c>
      <c r="D33" s="590"/>
      <c r="E33" s="591"/>
    </row>
    <row r="34" spans="1:5" s="357" customFormat="1" ht="11.25" customHeight="1" x14ac:dyDescent="0.2">
      <c r="A34" s="429">
        <v>54105</v>
      </c>
      <c r="B34" s="81" t="s">
        <v>294</v>
      </c>
      <c r="C34" s="589">
        <f>Consolidado!AD35</f>
        <v>6125</v>
      </c>
      <c r="D34" s="590"/>
      <c r="E34" s="591"/>
    </row>
    <row r="35" spans="1:5" s="354" customFormat="1" ht="11.25" customHeight="1" x14ac:dyDescent="0.2">
      <c r="A35" s="429">
        <v>54106</v>
      </c>
      <c r="B35" s="81" t="s">
        <v>295</v>
      </c>
      <c r="C35" s="589">
        <f>Consolidado!AD36</f>
        <v>11125</v>
      </c>
      <c r="D35" s="587"/>
      <c r="E35" s="588"/>
    </row>
    <row r="36" spans="1:5" s="354" customFormat="1" ht="11.25" customHeight="1" x14ac:dyDescent="0.2">
      <c r="A36" s="429">
        <v>54107</v>
      </c>
      <c r="B36" s="81" t="s">
        <v>296</v>
      </c>
      <c r="C36" s="589">
        <f>Consolidado!AD37</f>
        <v>39918.65</v>
      </c>
      <c r="D36" s="587"/>
      <c r="E36" s="588"/>
    </row>
    <row r="37" spans="1:5" s="357" customFormat="1" ht="11.25" customHeight="1" x14ac:dyDescent="0.2">
      <c r="A37" s="429">
        <v>54108</v>
      </c>
      <c r="B37" s="81" t="s">
        <v>297</v>
      </c>
      <c r="C37" s="589">
        <f>Consolidado!AD38</f>
        <v>3100</v>
      </c>
      <c r="D37" s="590"/>
      <c r="E37" s="591"/>
    </row>
    <row r="38" spans="1:5" s="357" customFormat="1" ht="11.25" customHeight="1" x14ac:dyDescent="0.2">
      <c r="A38" s="429">
        <v>54109</v>
      </c>
      <c r="B38" s="81" t="s">
        <v>298</v>
      </c>
      <c r="C38" s="589">
        <f>Consolidado!AD39</f>
        <v>58871.5</v>
      </c>
      <c r="D38" s="590"/>
      <c r="E38" s="591"/>
    </row>
    <row r="39" spans="1:5" s="354" customFormat="1" ht="11.25" customHeight="1" x14ac:dyDescent="0.2">
      <c r="A39" s="429">
        <v>54110</v>
      </c>
      <c r="B39" s="81" t="s">
        <v>309</v>
      </c>
      <c r="C39" s="589">
        <f>Consolidado!AD40</f>
        <v>85163</v>
      </c>
      <c r="D39" s="587"/>
      <c r="E39" s="588"/>
    </row>
    <row r="40" spans="1:5" s="354" customFormat="1" ht="11.25" customHeight="1" x14ac:dyDescent="0.2">
      <c r="A40" s="429">
        <v>54111</v>
      </c>
      <c r="B40" s="81" t="s">
        <v>299</v>
      </c>
      <c r="C40" s="589">
        <f>Consolidado!AD41</f>
        <v>5716</v>
      </c>
      <c r="D40" s="587"/>
      <c r="E40" s="588"/>
    </row>
    <row r="41" spans="1:5" s="357" customFormat="1" ht="11.25" customHeight="1" x14ac:dyDescent="0.2">
      <c r="A41" s="429">
        <v>54112</v>
      </c>
      <c r="B41" s="81" t="s">
        <v>300</v>
      </c>
      <c r="C41" s="589">
        <f>Consolidado!AD42</f>
        <v>14170.029999999999</v>
      </c>
      <c r="D41" s="590"/>
      <c r="E41" s="591"/>
    </row>
    <row r="42" spans="1:5" s="357" customFormat="1" ht="11.25" customHeight="1" x14ac:dyDescent="0.2">
      <c r="A42" s="429">
        <v>54113</v>
      </c>
      <c r="B42" s="81" t="s">
        <v>923</v>
      </c>
      <c r="C42" s="589">
        <f>Consolidado!AD43</f>
        <v>0</v>
      </c>
      <c r="D42" s="590"/>
      <c r="E42" s="591"/>
    </row>
    <row r="43" spans="1:5" s="354" customFormat="1" ht="11.25" customHeight="1" x14ac:dyDescent="0.2">
      <c r="A43" s="429">
        <v>54114</v>
      </c>
      <c r="B43" s="81" t="s">
        <v>301</v>
      </c>
      <c r="C43" s="589">
        <f>Consolidado!AD44</f>
        <v>3905</v>
      </c>
      <c r="D43" s="592"/>
      <c r="E43" s="588"/>
    </row>
    <row r="44" spans="1:5" s="357" customFormat="1" ht="11.25" customHeight="1" x14ac:dyDescent="0.2">
      <c r="A44" s="429">
        <v>54115</v>
      </c>
      <c r="B44" s="81" t="s">
        <v>302</v>
      </c>
      <c r="C44" s="589">
        <f>Consolidado!AD45</f>
        <v>12000.8</v>
      </c>
      <c r="D44" s="590"/>
      <c r="E44" s="591"/>
    </row>
    <row r="45" spans="1:5" s="354" customFormat="1" ht="11.25" customHeight="1" x14ac:dyDescent="0.2">
      <c r="A45" s="429">
        <v>54116</v>
      </c>
      <c r="B45" s="81" t="s">
        <v>303</v>
      </c>
      <c r="C45" s="589">
        <f>Consolidado!AD46</f>
        <v>1000</v>
      </c>
      <c r="D45" s="587"/>
      <c r="E45" s="588"/>
    </row>
    <row r="46" spans="1:5" s="357" customFormat="1" ht="11.25" customHeight="1" x14ac:dyDescent="0.2">
      <c r="A46" s="429">
        <v>54117</v>
      </c>
      <c r="B46" s="81" t="s">
        <v>304</v>
      </c>
      <c r="C46" s="589">
        <f>Consolidado!AD47</f>
        <v>5800</v>
      </c>
      <c r="D46" s="590"/>
      <c r="E46" s="591"/>
    </row>
    <row r="47" spans="1:5" s="357" customFormat="1" ht="11.25" customHeight="1" x14ac:dyDescent="0.2">
      <c r="A47" s="429">
        <v>54118</v>
      </c>
      <c r="B47" s="81" t="s">
        <v>305</v>
      </c>
      <c r="C47" s="589">
        <f>Consolidado!AD48</f>
        <v>9029</v>
      </c>
      <c r="D47" s="590"/>
      <c r="E47" s="591"/>
    </row>
    <row r="48" spans="1:5" s="357" customFormat="1" ht="11.25" customHeight="1" x14ac:dyDescent="0.2">
      <c r="A48" s="429">
        <v>54119</v>
      </c>
      <c r="B48" s="81" t="s">
        <v>306</v>
      </c>
      <c r="C48" s="589">
        <f>Consolidado!AD49</f>
        <v>45200</v>
      </c>
      <c r="D48" s="590"/>
      <c r="E48" s="591"/>
    </row>
    <row r="49" spans="1:5" s="357" customFormat="1" ht="11.25" customHeight="1" x14ac:dyDescent="0.2">
      <c r="A49" s="429">
        <v>54121</v>
      </c>
      <c r="B49" s="81" t="s">
        <v>307</v>
      </c>
      <c r="C49" s="589">
        <f>Consolidado!AD50</f>
        <v>31200</v>
      </c>
      <c r="D49" s="590"/>
      <c r="E49" s="591"/>
    </row>
    <row r="50" spans="1:5" s="354" customFormat="1" ht="11.25" customHeight="1" x14ac:dyDescent="0.2">
      <c r="A50" s="429">
        <v>54199</v>
      </c>
      <c r="B50" s="81" t="s">
        <v>386</v>
      </c>
      <c r="C50" s="589">
        <f>Consolidado!AD51</f>
        <v>18880</v>
      </c>
      <c r="D50" s="587"/>
      <c r="E50" s="588"/>
    </row>
    <row r="51" spans="1:5" s="354" customFormat="1" ht="11.25" customHeight="1" x14ac:dyDescent="0.2">
      <c r="A51" s="426">
        <v>542</v>
      </c>
      <c r="B51" s="73" t="s">
        <v>109</v>
      </c>
      <c r="C51" s="586"/>
      <c r="D51" s="587">
        <f>SUM(C52:C55)</f>
        <v>286145.05</v>
      </c>
      <c r="E51" s="588"/>
    </row>
    <row r="52" spans="1:5" s="357" customFormat="1" ht="11.25" customHeight="1" x14ac:dyDescent="0.2">
      <c r="A52" s="429">
        <v>54201</v>
      </c>
      <c r="B52" s="81" t="s">
        <v>311</v>
      </c>
      <c r="C52" s="589">
        <f>Consolidado!AD53</f>
        <v>237085.05</v>
      </c>
      <c r="D52" s="590"/>
      <c r="E52" s="591"/>
    </row>
    <row r="53" spans="1:5" s="357" customFormat="1" ht="11.25" customHeight="1" x14ac:dyDescent="0.2">
      <c r="A53" s="429">
        <v>54202</v>
      </c>
      <c r="B53" s="81" t="s">
        <v>310</v>
      </c>
      <c r="C53" s="589">
        <f>Consolidado!AD54</f>
        <v>17500</v>
      </c>
      <c r="D53" s="590"/>
      <c r="E53" s="591"/>
    </row>
    <row r="54" spans="1:5" s="354" customFormat="1" ht="11.25" customHeight="1" x14ac:dyDescent="0.2">
      <c r="A54" s="429">
        <v>54203</v>
      </c>
      <c r="B54" s="81" t="s">
        <v>312</v>
      </c>
      <c r="C54" s="589">
        <f>Consolidado!AD55</f>
        <v>31060</v>
      </c>
      <c r="D54" s="587"/>
      <c r="E54" s="588"/>
    </row>
    <row r="55" spans="1:5" s="354" customFormat="1" ht="11.25" customHeight="1" x14ac:dyDescent="0.2">
      <c r="A55" s="429">
        <v>54204</v>
      </c>
      <c r="B55" s="81" t="s">
        <v>313</v>
      </c>
      <c r="C55" s="589">
        <f>Consolidado!AD56</f>
        <v>500</v>
      </c>
      <c r="D55" s="587"/>
      <c r="E55" s="588"/>
    </row>
    <row r="56" spans="1:5" s="357" customFormat="1" ht="11.25" customHeight="1" x14ac:dyDescent="0.2">
      <c r="A56" s="426">
        <v>543</v>
      </c>
      <c r="B56" s="73" t="s">
        <v>110</v>
      </c>
      <c r="C56" s="586"/>
      <c r="D56" s="587">
        <f>SUM(C57:C70)</f>
        <v>585493.22</v>
      </c>
      <c r="E56" s="591"/>
    </row>
    <row r="57" spans="1:5" s="354" customFormat="1" ht="11.25" customHeight="1" x14ac:dyDescent="0.2">
      <c r="A57" s="429">
        <v>54301</v>
      </c>
      <c r="B57" s="81" t="s">
        <v>314</v>
      </c>
      <c r="C57" s="589">
        <f>Consolidado!AD58</f>
        <v>68280</v>
      </c>
      <c r="D57" s="587"/>
      <c r="E57" s="588"/>
    </row>
    <row r="58" spans="1:5" s="354" customFormat="1" ht="11.25" customHeight="1" x14ac:dyDescent="0.2">
      <c r="A58" s="429">
        <v>54302</v>
      </c>
      <c r="B58" s="81" t="s">
        <v>315</v>
      </c>
      <c r="C58" s="589">
        <f>Consolidado!AD59</f>
        <v>60000</v>
      </c>
      <c r="D58" s="587"/>
      <c r="E58" s="588"/>
    </row>
    <row r="59" spans="1:5" s="357" customFormat="1" ht="11.25" customHeight="1" x14ac:dyDescent="0.2">
      <c r="A59" s="429">
        <v>54303</v>
      </c>
      <c r="B59" s="81" t="s">
        <v>316</v>
      </c>
      <c r="C59" s="589">
        <f>Consolidado!AD60</f>
        <v>5000</v>
      </c>
      <c r="D59" s="590"/>
      <c r="E59" s="591"/>
    </row>
    <row r="60" spans="1:5" s="357" customFormat="1" ht="11.25" customHeight="1" x14ac:dyDescent="0.2">
      <c r="A60" s="429">
        <v>54304</v>
      </c>
      <c r="B60" s="81" t="s">
        <v>317</v>
      </c>
      <c r="C60" s="589">
        <f>Consolidado!AD61</f>
        <v>0</v>
      </c>
      <c r="D60" s="590"/>
      <c r="E60" s="591"/>
    </row>
    <row r="61" spans="1:5" s="357" customFormat="1" ht="11.25" customHeight="1" x14ac:dyDescent="0.2">
      <c r="A61" s="429">
        <v>54305</v>
      </c>
      <c r="B61" s="81" t="s">
        <v>318</v>
      </c>
      <c r="C61" s="589">
        <f>Consolidado!AD62</f>
        <v>12000</v>
      </c>
      <c r="D61" s="590"/>
      <c r="E61" s="591"/>
    </row>
    <row r="62" spans="1:5" s="357" customFormat="1" ht="11.25" customHeight="1" x14ac:dyDescent="0.2">
      <c r="A62" s="429">
        <v>54306</v>
      </c>
      <c r="B62" s="81" t="s">
        <v>319</v>
      </c>
      <c r="C62" s="589">
        <f>Consolidado!AD63</f>
        <v>0</v>
      </c>
      <c r="D62" s="590"/>
      <c r="E62" s="591"/>
    </row>
    <row r="63" spans="1:5" s="357" customFormat="1" ht="11.25" customHeight="1" x14ac:dyDescent="0.2">
      <c r="A63" s="429">
        <v>54307</v>
      </c>
      <c r="B63" s="81" t="s">
        <v>320</v>
      </c>
      <c r="C63" s="589">
        <f>Consolidado!AD64</f>
        <v>3250</v>
      </c>
      <c r="D63" s="590"/>
      <c r="E63" s="591"/>
    </row>
    <row r="64" spans="1:5" s="357" customFormat="1" ht="11.25" customHeight="1" x14ac:dyDescent="0.2">
      <c r="A64" s="429">
        <v>54309</v>
      </c>
      <c r="B64" s="81" t="s">
        <v>321</v>
      </c>
      <c r="C64" s="589">
        <f>Consolidado!AD65</f>
        <v>3300</v>
      </c>
      <c r="D64" s="590"/>
      <c r="E64" s="591"/>
    </row>
    <row r="65" spans="1:5" s="357" customFormat="1" ht="11.25" customHeight="1" x14ac:dyDescent="0.2">
      <c r="A65" s="429">
        <v>54310</v>
      </c>
      <c r="B65" s="81" t="s">
        <v>322</v>
      </c>
      <c r="C65" s="589">
        <f>Consolidado!AD66</f>
        <v>0</v>
      </c>
      <c r="D65" s="590"/>
      <c r="E65" s="591"/>
    </row>
    <row r="66" spans="1:5" s="357" customFormat="1" ht="11.25" customHeight="1" x14ac:dyDescent="0.2">
      <c r="A66" s="429">
        <v>54311</v>
      </c>
      <c r="B66" s="81" t="s">
        <v>323</v>
      </c>
      <c r="C66" s="589">
        <f>Consolidado!AD67</f>
        <v>0</v>
      </c>
      <c r="D66" s="590"/>
      <c r="E66" s="591"/>
    </row>
    <row r="67" spans="1:5" s="357" customFormat="1" ht="11.25" customHeight="1" x14ac:dyDescent="0.2">
      <c r="A67" s="429">
        <v>54313</v>
      </c>
      <c r="B67" s="81" t="s">
        <v>324</v>
      </c>
      <c r="C67" s="589">
        <f>Consolidado!AD68</f>
        <v>3980</v>
      </c>
      <c r="D67" s="590"/>
      <c r="E67" s="591"/>
    </row>
    <row r="68" spans="1:5" s="357" customFormat="1" ht="11.25" customHeight="1" x14ac:dyDescent="0.2">
      <c r="A68" s="429">
        <v>54314</v>
      </c>
      <c r="B68" s="81" t="s">
        <v>325</v>
      </c>
      <c r="C68" s="589">
        <f>Consolidado!AD69</f>
        <v>0</v>
      </c>
      <c r="D68" s="590"/>
      <c r="E68" s="591"/>
    </row>
    <row r="69" spans="1:5" s="357" customFormat="1" ht="11.25" customHeight="1" x14ac:dyDescent="0.2">
      <c r="A69" s="429">
        <v>54316</v>
      </c>
      <c r="B69" s="81" t="s">
        <v>585</v>
      </c>
      <c r="C69" s="589">
        <f>Consolidado!AD70</f>
        <v>0</v>
      </c>
      <c r="D69" s="590"/>
      <c r="E69" s="591"/>
    </row>
    <row r="70" spans="1:5" s="357" customFormat="1" ht="11.25" customHeight="1" x14ac:dyDescent="0.2">
      <c r="A70" s="429">
        <v>54399</v>
      </c>
      <c r="B70" s="81" t="s">
        <v>326</v>
      </c>
      <c r="C70" s="589">
        <f>Consolidado!AD71</f>
        <v>429683.22</v>
      </c>
      <c r="D70" s="590"/>
      <c r="E70" s="591"/>
    </row>
    <row r="71" spans="1:5" s="357" customFormat="1" ht="11.25" customHeight="1" x14ac:dyDescent="0.2">
      <c r="A71" s="426">
        <v>544</v>
      </c>
      <c r="B71" s="73" t="s">
        <v>111</v>
      </c>
      <c r="C71" s="586"/>
      <c r="D71" s="587">
        <f>SUM(C72:C75)</f>
        <v>3680</v>
      </c>
      <c r="E71" s="591"/>
    </row>
    <row r="72" spans="1:5" s="357" customFormat="1" ht="11.25" customHeight="1" x14ac:dyDescent="0.2">
      <c r="A72" s="429">
        <v>54401</v>
      </c>
      <c r="B72" s="81" t="s">
        <v>327</v>
      </c>
      <c r="C72" s="589">
        <f>Consolidado!AD73</f>
        <v>0</v>
      </c>
      <c r="D72" s="590"/>
      <c r="E72" s="591"/>
    </row>
    <row r="73" spans="1:5" s="357" customFormat="1" ht="11.25" customHeight="1" x14ac:dyDescent="0.2">
      <c r="A73" s="429">
        <v>54402</v>
      </c>
      <c r="B73" s="81" t="s">
        <v>328</v>
      </c>
      <c r="C73" s="589">
        <f>Consolidado!AD74</f>
        <v>0</v>
      </c>
      <c r="D73" s="590"/>
      <c r="E73" s="591"/>
    </row>
    <row r="74" spans="1:5" s="357" customFormat="1" ht="11.25" customHeight="1" x14ac:dyDescent="0.2">
      <c r="A74" s="429">
        <v>54403</v>
      </c>
      <c r="B74" s="81" t="s">
        <v>330</v>
      </c>
      <c r="C74" s="589">
        <f>Consolidado!AD75</f>
        <v>180</v>
      </c>
      <c r="D74" s="590"/>
      <c r="E74" s="591"/>
    </row>
    <row r="75" spans="1:5" s="357" customFormat="1" ht="11.25" customHeight="1" x14ac:dyDescent="0.2">
      <c r="A75" s="429">
        <v>54404</v>
      </c>
      <c r="B75" s="81" t="s">
        <v>329</v>
      </c>
      <c r="C75" s="589">
        <f>Consolidado!AD76</f>
        <v>3500</v>
      </c>
      <c r="D75" s="590"/>
      <c r="E75" s="591"/>
    </row>
    <row r="76" spans="1:5" s="357" customFormat="1" ht="11.25" customHeight="1" x14ac:dyDescent="0.2">
      <c r="A76" s="426">
        <v>545</v>
      </c>
      <c r="B76" s="73" t="s">
        <v>331</v>
      </c>
      <c r="C76" s="586"/>
      <c r="D76" s="587">
        <f>SUM(C77:C80)</f>
        <v>8665</v>
      </c>
      <c r="E76" s="591"/>
    </row>
    <row r="77" spans="1:5" s="357" customFormat="1" ht="11.25" customHeight="1" x14ac:dyDescent="0.2">
      <c r="A77" s="429">
        <v>54501</v>
      </c>
      <c r="B77" s="81" t="s">
        <v>332</v>
      </c>
      <c r="C77" s="589">
        <f>Consolidado!AD78</f>
        <v>6200</v>
      </c>
      <c r="D77" s="590"/>
      <c r="E77" s="591"/>
    </row>
    <row r="78" spans="1:5" s="357" customFormat="1" ht="11.25" customHeight="1" x14ac:dyDescent="0.2">
      <c r="A78" s="429">
        <v>54505</v>
      </c>
      <c r="B78" s="81" t="s">
        <v>333</v>
      </c>
      <c r="C78" s="589">
        <f>Consolidado!AD79</f>
        <v>1965</v>
      </c>
      <c r="D78" s="593"/>
      <c r="E78" s="591"/>
    </row>
    <row r="79" spans="1:5" s="357" customFormat="1" ht="11.25" customHeight="1" x14ac:dyDescent="0.2">
      <c r="A79" s="429">
        <v>54507</v>
      </c>
      <c r="B79" s="81" t="s">
        <v>334</v>
      </c>
      <c r="C79" s="589">
        <f>Consolidado!AD80</f>
        <v>500</v>
      </c>
      <c r="D79" s="590"/>
      <c r="E79" s="588"/>
    </row>
    <row r="80" spans="1:5" s="357" customFormat="1" ht="11.25" customHeight="1" x14ac:dyDescent="0.2">
      <c r="A80" s="429">
        <v>54508</v>
      </c>
      <c r="B80" s="81" t="s">
        <v>335</v>
      </c>
      <c r="C80" s="589">
        <f>Consolidado!AD81</f>
        <v>0</v>
      </c>
      <c r="D80" s="587"/>
      <c r="E80" s="591"/>
    </row>
    <row r="81" spans="1:5" s="357" customFormat="1" ht="11.25" customHeight="1" x14ac:dyDescent="0.2">
      <c r="A81" s="426">
        <v>55</v>
      </c>
      <c r="B81" s="73" t="s">
        <v>112</v>
      </c>
      <c r="C81" s="586"/>
      <c r="D81" s="590"/>
      <c r="E81" s="588">
        <f>D87+D91+D82+D85</f>
        <v>524883.56000000006</v>
      </c>
    </row>
    <row r="82" spans="1:5" s="357" customFormat="1" ht="11.25" customHeight="1" x14ac:dyDescent="0.2">
      <c r="A82" s="426">
        <v>53</v>
      </c>
      <c r="B82" s="73" t="s">
        <v>112</v>
      </c>
      <c r="C82" s="589"/>
      <c r="D82" s="587">
        <f>C83+C84</f>
        <v>487102</v>
      </c>
      <c r="E82" s="591"/>
    </row>
    <row r="83" spans="1:5" s="357" customFormat="1" ht="11.25" customHeight="1" x14ac:dyDescent="0.2">
      <c r="A83" s="430">
        <v>55301</v>
      </c>
      <c r="B83" s="81" t="s">
        <v>398</v>
      </c>
      <c r="C83" s="594">
        <f>Consolidado!AD84</f>
        <v>0</v>
      </c>
      <c r="D83" s="587"/>
      <c r="E83" s="591"/>
    </row>
    <row r="84" spans="1:5" s="357" customFormat="1" ht="11.25" customHeight="1" x14ac:dyDescent="0.2">
      <c r="A84" s="430">
        <v>55308</v>
      </c>
      <c r="B84" s="81" t="s">
        <v>367</v>
      </c>
      <c r="C84" s="594">
        <f>Consolidado!AD85</f>
        <v>487102</v>
      </c>
      <c r="D84" s="590"/>
      <c r="E84" s="591"/>
    </row>
    <row r="85" spans="1:5" s="357" customFormat="1" ht="11.25" customHeight="1" x14ac:dyDescent="0.2">
      <c r="A85" s="430">
        <v>555</v>
      </c>
      <c r="B85" s="1089" t="str">
        <f>Consolidado!B86</f>
        <v>Impuestos tasas y derechos</v>
      </c>
      <c r="C85" s="1093"/>
      <c r="D85" s="587">
        <f>C86</f>
        <v>12565.56</v>
      </c>
      <c r="E85" s="588"/>
    </row>
    <row r="86" spans="1:5" s="357" customFormat="1" ht="11.25" customHeight="1" x14ac:dyDescent="0.2">
      <c r="A86" s="430">
        <v>55508</v>
      </c>
      <c r="B86" s="889" t="str">
        <f>Consolidado!B87</f>
        <v>Derechos</v>
      </c>
      <c r="C86" s="594">
        <f>Consolidado!AD87</f>
        <v>12565.56</v>
      </c>
      <c r="D86" s="590"/>
      <c r="E86" s="591"/>
    </row>
    <row r="87" spans="1:5" s="357" customFormat="1" ht="11.25" customHeight="1" x14ac:dyDescent="0.2">
      <c r="A87" s="426">
        <v>556</v>
      </c>
      <c r="B87" s="73" t="s">
        <v>113</v>
      </c>
      <c r="C87" s="586"/>
      <c r="D87" s="587">
        <f>SUM(C88:C90)</f>
        <v>15216</v>
      </c>
      <c r="E87" s="591"/>
    </row>
    <row r="88" spans="1:5" s="357" customFormat="1" ht="11.25" customHeight="1" x14ac:dyDescent="0.2">
      <c r="A88" s="429">
        <v>55601</v>
      </c>
      <c r="B88" s="81" t="s">
        <v>336</v>
      </c>
      <c r="C88" s="589">
        <f>Consolidado!AD89</f>
        <v>2000</v>
      </c>
      <c r="D88" s="587"/>
      <c r="E88" s="591"/>
    </row>
    <row r="89" spans="1:5" s="357" customFormat="1" ht="11.25" customHeight="1" x14ac:dyDescent="0.2">
      <c r="A89" s="429">
        <v>55603</v>
      </c>
      <c r="B89" s="81" t="s">
        <v>337</v>
      </c>
      <c r="C89" s="589">
        <f>Consolidado!AD90</f>
        <v>13000</v>
      </c>
      <c r="D89" s="590"/>
      <c r="E89" s="591"/>
    </row>
    <row r="90" spans="1:5" s="357" customFormat="1" ht="11.25" customHeight="1" x14ac:dyDescent="0.2">
      <c r="A90" s="429">
        <v>55603</v>
      </c>
      <c r="B90" s="81" t="s">
        <v>338</v>
      </c>
      <c r="C90" s="589">
        <f>Consolidado!AD91</f>
        <v>216</v>
      </c>
      <c r="D90" s="590"/>
      <c r="E90" s="591"/>
    </row>
    <row r="91" spans="1:5" s="357" customFormat="1" ht="11.25" customHeight="1" x14ac:dyDescent="0.2">
      <c r="A91" s="426">
        <v>557</v>
      </c>
      <c r="B91" s="73" t="s">
        <v>114</v>
      </c>
      <c r="C91" s="586"/>
      <c r="D91" s="587">
        <f>C92</f>
        <v>10000</v>
      </c>
      <c r="E91" s="588"/>
    </row>
    <row r="92" spans="1:5" s="357" customFormat="1" ht="11.25" customHeight="1" x14ac:dyDescent="0.2">
      <c r="A92" s="429">
        <v>55799</v>
      </c>
      <c r="B92" s="81" t="s">
        <v>339</v>
      </c>
      <c r="C92" s="589">
        <f>Consolidado!AD93</f>
        <v>10000</v>
      </c>
      <c r="D92" s="587"/>
      <c r="E92" s="591"/>
    </row>
    <row r="93" spans="1:5" s="357" customFormat="1" ht="11.25" customHeight="1" x14ac:dyDescent="0.2">
      <c r="A93" s="426">
        <v>56</v>
      </c>
      <c r="B93" s="73" t="s">
        <v>115</v>
      </c>
      <c r="C93" s="586"/>
      <c r="D93" s="590"/>
      <c r="E93" s="588">
        <f>D94+D96</f>
        <v>45401</v>
      </c>
    </row>
    <row r="94" spans="1:5" s="357" customFormat="1" ht="11.25" customHeight="1" x14ac:dyDescent="0.2">
      <c r="A94" s="426">
        <v>562</v>
      </c>
      <c r="B94" s="73" t="s">
        <v>344</v>
      </c>
      <c r="C94" s="586"/>
      <c r="D94" s="587">
        <f>C95</f>
        <v>0</v>
      </c>
      <c r="E94" s="591"/>
    </row>
    <row r="95" spans="1:5" s="357" customFormat="1" ht="11.25" customHeight="1" x14ac:dyDescent="0.2">
      <c r="A95" s="429">
        <v>56201</v>
      </c>
      <c r="B95" s="81" t="s">
        <v>340</v>
      </c>
      <c r="C95" s="589">
        <f>Consolidado!AD96</f>
        <v>0</v>
      </c>
      <c r="D95" s="590"/>
      <c r="E95" s="591"/>
    </row>
    <row r="96" spans="1:5" s="357" customFormat="1" ht="11.25" customHeight="1" x14ac:dyDescent="0.2">
      <c r="A96" s="426">
        <v>563</v>
      </c>
      <c r="B96" s="73" t="s">
        <v>345</v>
      </c>
      <c r="C96" s="586"/>
      <c r="D96" s="587">
        <f>SUM(C97:C99)</f>
        <v>45401</v>
      </c>
      <c r="E96" s="591"/>
    </row>
    <row r="97" spans="1:5" s="357" customFormat="1" ht="11.25" customHeight="1" x14ac:dyDescent="0.2">
      <c r="A97" s="429">
        <v>56303</v>
      </c>
      <c r="B97" s="81" t="s">
        <v>341</v>
      </c>
      <c r="C97" s="589">
        <f>Consolidado!AD98</f>
        <v>10400</v>
      </c>
      <c r="D97" s="590"/>
      <c r="E97" s="591"/>
    </row>
    <row r="98" spans="1:5" s="357" customFormat="1" ht="11.25" customHeight="1" x14ac:dyDescent="0.2">
      <c r="A98" s="429">
        <v>56304</v>
      </c>
      <c r="B98" s="81" t="s">
        <v>342</v>
      </c>
      <c r="C98" s="589">
        <f>Consolidado!AD99</f>
        <v>35001</v>
      </c>
      <c r="D98" s="590"/>
      <c r="E98" s="588"/>
    </row>
    <row r="99" spans="1:5" s="357" customFormat="1" ht="11.25" customHeight="1" x14ac:dyDescent="0.2">
      <c r="A99" s="429">
        <v>56305</v>
      </c>
      <c r="B99" s="81" t="s">
        <v>343</v>
      </c>
      <c r="C99" s="589">
        <f>Consolidado!AD100</f>
        <v>0</v>
      </c>
      <c r="D99" s="587"/>
      <c r="E99" s="591"/>
    </row>
    <row r="100" spans="1:5" s="357" customFormat="1" ht="11.25" customHeight="1" x14ac:dyDescent="0.2">
      <c r="A100" s="431" t="s">
        <v>149</v>
      </c>
      <c r="B100" s="359" t="s">
        <v>150</v>
      </c>
      <c r="C100" s="586"/>
      <c r="D100" s="587"/>
      <c r="E100" s="588">
        <f>D104+D106+D101+D102+D103</f>
        <v>453134.58999999997</v>
      </c>
    </row>
    <row r="101" spans="1:5" s="357" customFormat="1" ht="11.25" customHeight="1" x14ac:dyDescent="0.2">
      <c r="A101" s="429">
        <v>611</v>
      </c>
      <c r="B101" s="360" t="s">
        <v>403</v>
      </c>
      <c r="C101" s="586">
        <f>Consolidado!AD103</f>
        <v>61982.34</v>
      </c>
      <c r="D101" s="586">
        <f>C101</f>
        <v>61982.34</v>
      </c>
      <c r="E101" s="591"/>
    </row>
    <row r="102" spans="1:5" s="357" customFormat="1" ht="11.25" customHeight="1" x14ac:dyDescent="0.2">
      <c r="A102" s="429">
        <v>612</v>
      </c>
      <c r="B102" s="360" t="s">
        <v>423</v>
      </c>
      <c r="C102" s="586">
        <f>Consolidado!AD104</f>
        <v>0</v>
      </c>
      <c r="D102" s="586">
        <f>C102</f>
        <v>0</v>
      </c>
      <c r="E102" s="591"/>
    </row>
    <row r="103" spans="1:5" s="357" customFormat="1" ht="11.25" customHeight="1" x14ac:dyDescent="0.2">
      <c r="A103" s="429">
        <v>614</v>
      </c>
      <c r="B103" s="360" t="s">
        <v>424</v>
      </c>
      <c r="C103" s="586">
        <f>Consolidado!AD105</f>
        <v>25000</v>
      </c>
      <c r="D103" s="586">
        <f>C103</f>
        <v>25000</v>
      </c>
      <c r="E103" s="591"/>
    </row>
    <row r="104" spans="1:5" s="357" customFormat="1" ht="11.25" customHeight="1" x14ac:dyDescent="0.2">
      <c r="A104" s="429">
        <v>615</v>
      </c>
      <c r="B104" s="360" t="s">
        <v>358</v>
      </c>
      <c r="C104" s="586">
        <f>Consolidado!AD106</f>
        <v>3375</v>
      </c>
      <c r="D104" s="586">
        <f>C104</f>
        <v>3375</v>
      </c>
      <c r="E104" s="591"/>
    </row>
    <row r="105" spans="1:5" s="357" customFormat="1" ht="11.25" customHeight="1" x14ac:dyDescent="0.2">
      <c r="A105" s="429">
        <v>61599</v>
      </c>
      <c r="B105" s="360" t="s">
        <v>359</v>
      </c>
      <c r="C105" s="586">
        <v>0</v>
      </c>
      <c r="D105" s="590"/>
      <c r="E105" s="591"/>
    </row>
    <row r="106" spans="1:5" s="357" customFormat="1" ht="11.25" customHeight="1" x14ac:dyDescent="0.2">
      <c r="A106" s="426">
        <v>616</v>
      </c>
      <c r="B106" s="359" t="s">
        <v>124</v>
      </c>
      <c r="C106" s="586"/>
      <c r="D106" s="587">
        <f>SUM(C107:C114)</f>
        <v>362777.25</v>
      </c>
      <c r="E106" s="591"/>
    </row>
    <row r="107" spans="1:5" s="357" customFormat="1" ht="11.25" customHeight="1" x14ac:dyDescent="0.2">
      <c r="A107" s="429">
        <v>61601</v>
      </c>
      <c r="B107" s="360" t="s">
        <v>360</v>
      </c>
      <c r="C107" s="589">
        <f>Consolidado!AD108</f>
        <v>161018.74</v>
      </c>
      <c r="D107" s="590"/>
      <c r="E107" s="591"/>
    </row>
    <row r="108" spans="1:5" s="357" customFormat="1" ht="11.25" customHeight="1" x14ac:dyDescent="0.2">
      <c r="A108" s="429">
        <v>61602</v>
      </c>
      <c r="B108" s="360" t="s">
        <v>361</v>
      </c>
      <c r="C108" s="589">
        <f>Consolidado!AD109</f>
        <v>9000</v>
      </c>
      <c r="D108" s="590"/>
      <c r="E108" s="591"/>
    </row>
    <row r="109" spans="1:5" s="357" customFormat="1" ht="11.25" customHeight="1" x14ac:dyDescent="0.2">
      <c r="A109" s="429">
        <v>61603</v>
      </c>
      <c r="B109" s="360" t="s">
        <v>362</v>
      </c>
      <c r="C109" s="589">
        <f>Consolidado!AD110</f>
        <v>181912.51</v>
      </c>
      <c r="D109" s="590"/>
      <c r="E109" s="591"/>
    </row>
    <row r="110" spans="1:5" s="357" customFormat="1" ht="11.25" customHeight="1" x14ac:dyDescent="0.2">
      <c r="A110" s="429">
        <v>61604</v>
      </c>
      <c r="B110" s="360" t="s">
        <v>363</v>
      </c>
      <c r="C110" s="589">
        <f>Consolidado!AD111</f>
        <v>0</v>
      </c>
      <c r="D110" s="590"/>
      <c r="E110" s="591"/>
    </row>
    <row r="111" spans="1:5" s="357" customFormat="1" ht="11.25" customHeight="1" x14ac:dyDescent="0.2">
      <c r="A111" s="429">
        <v>61606</v>
      </c>
      <c r="B111" s="360" t="s">
        <v>364</v>
      </c>
      <c r="C111" s="589">
        <f>Consolidado!AD112</f>
        <v>0</v>
      </c>
      <c r="D111" s="590"/>
      <c r="E111" s="591"/>
    </row>
    <row r="112" spans="1:5" s="357" customFormat="1" ht="11.25" customHeight="1" x14ac:dyDescent="0.2">
      <c r="A112" s="429">
        <v>61607</v>
      </c>
      <c r="B112" s="81" t="s">
        <v>365</v>
      </c>
      <c r="C112" s="589">
        <f>Consolidado!AD113</f>
        <v>0</v>
      </c>
      <c r="D112" s="590"/>
      <c r="E112" s="591"/>
    </row>
    <row r="113" spans="1:6" s="357" customFormat="1" ht="11.25" customHeight="1" x14ac:dyDescent="0.2">
      <c r="A113" s="429">
        <v>61608</v>
      </c>
      <c r="B113" s="81" t="s">
        <v>402</v>
      </c>
      <c r="C113" s="589">
        <f>Consolidado!AD114</f>
        <v>0</v>
      </c>
      <c r="D113" s="590"/>
      <c r="E113" s="591"/>
    </row>
    <row r="114" spans="1:6" s="357" customFormat="1" ht="11.25" customHeight="1" x14ac:dyDescent="0.2">
      <c r="A114" s="429">
        <v>61699</v>
      </c>
      <c r="B114" s="81" t="s">
        <v>366</v>
      </c>
      <c r="C114" s="589">
        <f>Consolidado!AD115</f>
        <v>10846</v>
      </c>
      <c r="D114" s="590"/>
      <c r="E114" s="591"/>
    </row>
    <row r="115" spans="1:6" s="357" customFormat="1" ht="11.25" customHeight="1" x14ac:dyDescent="0.2">
      <c r="A115" s="426">
        <v>71</v>
      </c>
      <c r="B115" s="73" t="s">
        <v>213</v>
      </c>
      <c r="C115" s="586"/>
      <c r="D115" s="590"/>
      <c r="E115" s="591">
        <f>+D116</f>
        <v>262286</v>
      </c>
    </row>
    <row r="116" spans="1:6" s="357" customFormat="1" ht="11.25" customHeight="1" x14ac:dyDescent="0.2">
      <c r="A116" s="426">
        <v>713</v>
      </c>
      <c r="B116" s="73" t="s">
        <v>211</v>
      </c>
      <c r="C116" s="586"/>
      <c r="D116" s="590">
        <f>+C117</f>
        <v>262286</v>
      </c>
      <c r="E116" s="591"/>
    </row>
    <row r="117" spans="1:6" s="357" customFormat="1" ht="11.25" customHeight="1" x14ac:dyDescent="0.2">
      <c r="A117" s="429">
        <v>71308</v>
      </c>
      <c r="B117" s="81" t="s">
        <v>367</v>
      </c>
      <c r="C117" s="589">
        <f>Consolidado!AD118</f>
        <v>262286</v>
      </c>
      <c r="D117" s="590"/>
      <c r="E117" s="591"/>
    </row>
    <row r="118" spans="1:6" s="357" customFormat="1" ht="11.25" customHeight="1" x14ac:dyDescent="0.2">
      <c r="A118" s="429">
        <v>721</v>
      </c>
      <c r="B118" s="961" t="s">
        <v>807</v>
      </c>
      <c r="C118" s="586"/>
      <c r="D118" s="587">
        <f>C119</f>
        <v>58973.4</v>
      </c>
      <c r="E118" s="591">
        <f>D118</f>
        <v>58973.4</v>
      </c>
    </row>
    <row r="119" spans="1:6" s="357" customFormat="1" ht="11.25" customHeight="1" x14ac:dyDescent="0.2">
      <c r="A119" s="429">
        <v>72101</v>
      </c>
      <c r="B119" s="962" t="s">
        <v>811</v>
      </c>
      <c r="C119" s="589">
        <f>Consolidado!C120+Consolidado!Q120</f>
        <v>58973.4</v>
      </c>
      <c r="D119" s="590"/>
      <c r="E119" s="591"/>
    </row>
    <row r="120" spans="1:6" s="357" customFormat="1" ht="11.25" customHeight="1" x14ac:dyDescent="0.2">
      <c r="A120" s="429">
        <v>722</v>
      </c>
      <c r="B120" s="961" t="s">
        <v>808</v>
      </c>
      <c r="C120" s="586"/>
      <c r="D120" s="587">
        <f>C121</f>
        <v>125767.95</v>
      </c>
      <c r="E120" s="591">
        <f>D120</f>
        <v>125767.95</v>
      </c>
    </row>
    <row r="121" spans="1:6" s="357" customFormat="1" ht="11.25" customHeight="1" x14ac:dyDescent="0.2">
      <c r="A121" s="429">
        <v>72201</v>
      </c>
      <c r="B121" s="962" t="s">
        <v>812</v>
      </c>
      <c r="C121" s="589">
        <f>Consolidado!AD122</f>
        <v>125767.95</v>
      </c>
      <c r="D121" s="590"/>
      <c r="E121" s="591"/>
    </row>
    <row r="122" spans="1:6" s="357" customFormat="1" ht="11.25" x14ac:dyDescent="0.2">
      <c r="A122" s="426">
        <v>99</v>
      </c>
      <c r="B122" s="73" t="s">
        <v>117</v>
      </c>
      <c r="C122" s="586"/>
      <c r="D122" s="595"/>
      <c r="E122" s="591">
        <f>D125+D123</f>
        <v>0</v>
      </c>
    </row>
    <row r="123" spans="1:6" s="357" customFormat="1" ht="11.25" x14ac:dyDescent="0.2">
      <c r="A123" s="426">
        <v>991</v>
      </c>
      <c r="B123" s="73" t="s">
        <v>371</v>
      </c>
      <c r="C123" s="586"/>
      <c r="D123" s="595">
        <f>C124</f>
        <v>0</v>
      </c>
      <c r="E123" s="591"/>
    </row>
    <row r="124" spans="1:6" s="357" customFormat="1" ht="11.25" x14ac:dyDescent="0.2">
      <c r="A124" s="429">
        <v>99101</v>
      </c>
      <c r="B124" s="81" t="s">
        <v>368</v>
      </c>
      <c r="C124" s="589">
        <f>Consolidado!AD125</f>
        <v>0</v>
      </c>
      <c r="D124" s="590"/>
      <c r="E124" s="591"/>
    </row>
    <row r="125" spans="1:6" s="357" customFormat="1" ht="11.25" x14ac:dyDescent="0.2">
      <c r="A125" s="426">
        <v>992</v>
      </c>
      <c r="B125" s="73" t="str">
        <f>Consolidado!B126</f>
        <v>Asignaciones por aplicar gastos de Capital</v>
      </c>
      <c r="C125" s="586"/>
      <c r="D125" s="590">
        <f>C126</f>
        <v>0</v>
      </c>
      <c r="E125" s="591"/>
    </row>
    <row r="126" spans="1:6" s="357" customFormat="1" ht="12" thickBot="1" x14ac:dyDescent="0.25">
      <c r="A126" s="429">
        <v>99201</v>
      </c>
      <c r="B126" s="81" t="str">
        <f>Consolidado!B127</f>
        <v>Asiganciones por aplicar Gastos de capital</v>
      </c>
      <c r="C126" s="589">
        <f>Consolidado!L127</f>
        <v>0</v>
      </c>
      <c r="D126" s="590"/>
      <c r="E126" s="591"/>
    </row>
    <row r="127" spans="1:6" ht="18" customHeight="1" thickTop="1" thickBot="1" x14ac:dyDescent="0.25">
      <c r="A127" s="1263" t="s">
        <v>130</v>
      </c>
      <c r="B127" s="1264"/>
      <c r="C127" s="1022">
        <f>SUM(C7:C124)</f>
        <v>4668295.879999999</v>
      </c>
      <c r="D127" s="1022">
        <f>SUM(D7:D124)</f>
        <v>4668295.88</v>
      </c>
      <c r="E127" s="1023">
        <f>SUM(E7:E126)</f>
        <v>4668295.8800000008</v>
      </c>
      <c r="F127" s="351">
        <f>E127-Consolidado!AD128</f>
        <v>0</v>
      </c>
    </row>
    <row r="128" spans="1:6" ht="18" customHeight="1" thickTop="1" x14ac:dyDescent="0.2">
      <c r="A128" s="361"/>
      <c r="B128" s="301"/>
    </row>
    <row r="129" spans="1:2" ht="18" customHeight="1" x14ac:dyDescent="0.2">
      <c r="A129" s="361"/>
      <c r="B129" s="301"/>
    </row>
    <row r="130" spans="1:2" ht="18" customHeight="1" x14ac:dyDescent="0.2">
      <c r="A130" s="361"/>
      <c r="B130" s="301"/>
    </row>
    <row r="131" spans="1:2" ht="18" customHeight="1" x14ac:dyDescent="0.2">
      <c r="A131" s="361"/>
      <c r="B131" s="301"/>
    </row>
    <row r="132" spans="1:2" ht="18" customHeight="1" x14ac:dyDescent="0.2">
      <c r="A132" s="361"/>
      <c r="B132" s="301"/>
    </row>
    <row r="133" spans="1:2" ht="18" customHeight="1" x14ac:dyDescent="0.2">
      <c r="A133" s="361"/>
      <c r="B133" s="301"/>
    </row>
    <row r="134" spans="1:2" ht="18" customHeight="1" x14ac:dyDescent="0.2">
      <c r="A134" s="361"/>
      <c r="B134" s="301"/>
    </row>
    <row r="135" spans="1:2" ht="18" customHeight="1" x14ac:dyDescent="0.2">
      <c r="A135" s="361"/>
      <c r="B135" s="301"/>
    </row>
    <row r="136" spans="1:2" ht="18" customHeight="1" x14ac:dyDescent="0.2">
      <c r="A136" s="361"/>
      <c r="B136" s="301"/>
    </row>
    <row r="137" spans="1:2" ht="18" customHeight="1" x14ac:dyDescent="0.2">
      <c r="A137" s="361"/>
      <c r="B137" s="301"/>
    </row>
  </sheetData>
  <mergeCells count="5">
    <mergeCell ref="A127:B127"/>
    <mergeCell ref="A1:E1"/>
    <mergeCell ref="A2:E2"/>
    <mergeCell ref="A3:E3"/>
    <mergeCell ref="A5:E5"/>
  </mergeCells>
  <phoneticPr fontId="0" type="noConversion"/>
  <printOptions horizontalCentered="1"/>
  <pageMargins left="0.51181102362204722" right="0.55118110236220474" top="0.9055118110236221" bottom="1.0629921259842521" header="0" footer="0"/>
  <pageSetup scale="80" orientation="portrait" horizontalDpi="4294967294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7">
    <pageSetUpPr fitToPage="1"/>
  </sheetPr>
  <dimension ref="A1:F39"/>
  <sheetViews>
    <sheetView showGridLines="0" topLeftCell="B10" zoomScale="89" zoomScaleNormal="140" workbookViewId="0">
      <selection activeCell="E33" sqref="E33"/>
    </sheetView>
  </sheetViews>
  <sheetFormatPr baseColWidth="10" defaultColWidth="11.42578125" defaultRowHeight="12.75" x14ac:dyDescent="0.2"/>
  <cols>
    <col min="1" max="1" width="7.5703125" customWidth="1"/>
    <col min="2" max="2" width="50.85546875" bestFit="1" customWidth="1"/>
    <col min="3" max="3" width="21" bestFit="1" customWidth="1"/>
    <col min="4" max="5" width="15.5703125" bestFit="1" customWidth="1"/>
    <col min="6" max="6" width="14" bestFit="1" customWidth="1"/>
  </cols>
  <sheetData>
    <row r="1" spans="1:4" ht="15.75" x14ac:dyDescent="0.25">
      <c r="A1" s="1124"/>
      <c r="B1" s="1124"/>
      <c r="C1" s="1124"/>
    </row>
    <row r="2" spans="1:4" ht="15.75" x14ac:dyDescent="0.25">
      <c r="A2" s="1124" t="s">
        <v>666</v>
      </c>
      <c r="B2" s="1124"/>
      <c r="C2" s="1124"/>
    </row>
    <row r="3" spans="1:4" ht="15.75" x14ac:dyDescent="0.25">
      <c r="A3" s="1124"/>
      <c r="B3" s="1124"/>
      <c r="C3" s="1124"/>
    </row>
    <row r="4" spans="1:4" ht="15.75" x14ac:dyDescent="0.25">
      <c r="A4" s="1124" t="s">
        <v>955</v>
      </c>
      <c r="B4" s="1124"/>
      <c r="C4" s="1124"/>
    </row>
    <row r="5" spans="1:4" ht="13.5" thickBot="1" x14ac:dyDescent="0.25">
      <c r="A5" s="30"/>
      <c r="B5" s="30"/>
      <c r="C5" s="30"/>
    </row>
    <row r="6" spans="1:4" ht="12.75" customHeight="1" x14ac:dyDescent="0.25">
      <c r="A6" s="1272" t="s">
        <v>153</v>
      </c>
      <c r="B6" s="1273"/>
      <c r="C6" s="1274"/>
    </row>
    <row r="7" spans="1:4" ht="11.25" customHeight="1" x14ac:dyDescent="0.25">
      <c r="A7" s="1275" t="s">
        <v>154</v>
      </c>
      <c r="B7" s="1276"/>
      <c r="C7" s="1277"/>
    </row>
    <row r="8" spans="1:4" ht="15" x14ac:dyDescent="0.25">
      <c r="A8" s="1278" t="s">
        <v>155</v>
      </c>
      <c r="B8" s="1279"/>
      <c r="C8" s="1280"/>
    </row>
    <row r="9" spans="1:4" ht="9.75" customHeight="1" thickBot="1" x14ac:dyDescent="0.25">
      <c r="A9" s="1269" t="s">
        <v>27</v>
      </c>
      <c r="B9" s="1270"/>
      <c r="C9" s="1271"/>
    </row>
    <row r="10" spans="1:4" ht="10.5" customHeight="1" x14ac:dyDescent="0.2">
      <c r="A10" s="472"/>
      <c r="B10" s="472"/>
      <c r="C10" s="472"/>
    </row>
    <row r="11" spans="1:4" ht="15" x14ac:dyDescent="0.25">
      <c r="A11" s="473">
        <v>11</v>
      </c>
      <c r="B11" s="474" t="s">
        <v>32</v>
      </c>
      <c r="C11" s="1024">
        <f>+Ingresos!E10</f>
        <v>861420</v>
      </c>
      <c r="D11" s="3"/>
    </row>
    <row r="12" spans="1:4" ht="15" x14ac:dyDescent="0.25">
      <c r="A12" s="473">
        <v>12</v>
      </c>
      <c r="B12" s="475" t="s">
        <v>34</v>
      </c>
      <c r="C12" s="1025">
        <f>Ingresos!E22</f>
        <v>1254400</v>
      </c>
      <c r="D12" s="5"/>
    </row>
    <row r="13" spans="1:4" ht="15" x14ac:dyDescent="0.25">
      <c r="A13" s="473">
        <v>15</v>
      </c>
      <c r="B13" s="475" t="s">
        <v>36</v>
      </c>
      <c r="C13" s="1025">
        <f>Ingresos!E46</f>
        <v>101400.7</v>
      </c>
      <c r="D13" s="5"/>
    </row>
    <row r="14" spans="1:4" ht="15" x14ac:dyDescent="0.25">
      <c r="A14" s="473">
        <v>16</v>
      </c>
      <c r="B14" s="475" t="s">
        <v>39</v>
      </c>
      <c r="C14" s="1025">
        <f>Ingresos!E59</f>
        <v>1407042.8399999999</v>
      </c>
      <c r="D14" s="5"/>
    </row>
    <row r="15" spans="1:4" ht="12" customHeight="1" x14ac:dyDescent="0.25">
      <c r="A15" s="473">
        <v>21</v>
      </c>
      <c r="B15" s="475" t="s">
        <v>814</v>
      </c>
      <c r="C15" s="1025">
        <f>Ingresos!E66</f>
        <v>3000</v>
      </c>
      <c r="D15" s="4"/>
    </row>
    <row r="16" spans="1:4" ht="15" x14ac:dyDescent="0.25">
      <c r="A16" s="473">
        <v>22</v>
      </c>
      <c r="B16" s="493" t="s">
        <v>41</v>
      </c>
      <c r="C16" s="1025">
        <f>Ingresos!E69</f>
        <v>22500</v>
      </c>
      <c r="D16" s="5"/>
    </row>
    <row r="17" spans="1:6" ht="15" x14ac:dyDescent="0.25">
      <c r="A17" s="343">
        <v>31</v>
      </c>
      <c r="B17" s="493" t="s">
        <v>510</v>
      </c>
      <c r="C17" s="1026">
        <f>Ingresos!E76</f>
        <v>0</v>
      </c>
      <c r="D17" s="5"/>
    </row>
    <row r="18" spans="1:6" ht="15" customHeight="1" thickBot="1" x14ac:dyDescent="0.3">
      <c r="A18" s="473">
        <v>32</v>
      </c>
      <c r="B18" s="475" t="s">
        <v>43</v>
      </c>
      <c r="C18" s="1025">
        <f>Ingresos!E78</f>
        <v>1018532.34</v>
      </c>
      <c r="D18" s="5"/>
    </row>
    <row r="19" spans="1:6" ht="5.25" hidden="1" customHeight="1" thickBot="1" x14ac:dyDescent="0.25">
      <c r="A19" s="476"/>
      <c r="B19" s="477"/>
      <c r="C19" s="507"/>
    </row>
    <row r="20" spans="1:6" ht="15.75" thickBot="1" x14ac:dyDescent="0.3">
      <c r="A20" s="489"/>
      <c r="B20" s="887" t="s">
        <v>31</v>
      </c>
      <c r="C20" s="656">
        <f>SUM(C11:C18)</f>
        <v>4668295.88</v>
      </c>
      <c r="D20" s="816"/>
      <c r="E20" s="646"/>
    </row>
    <row r="21" spans="1:6" ht="13.5" thickBot="1" x14ac:dyDescent="0.25">
      <c r="A21" s="30"/>
      <c r="B21" s="30"/>
      <c r="C21" s="30"/>
      <c r="D21" s="816"/>
    </row>
    <row r="22" spans="1:6" ht="15" x14ac:dyDescent="0.25">
      <c r="A22" s="1281" t="s">
        <v>153</v>
      </c>
      <c r="B22" s="1282"/>
      <c r="C22" s="1283"/>
      <c r="D22" s="816"/>
    </row>
    <row r="23" spans="1:6" ht="15" x14ac:dyDescent="0.25">
      <c r="A23" s="1284" t="s">
        <v>156</v>
      </c>
      <c r="B23" s="1285"/>
      <c r="C23" s="1286"/>
    </row>
    <row r="24" spans="1:6" ht="15" x14ac:dyDescent="0.25">
      <c r="A24" s="1287" t="s">
        <v>157</v>
      </c>
      <c r="B24" s="1288"/>
      <c r="C24" s="1289"/>
    </row>
    <row r="25" spans="1:6" ht="13.5" thickBot="1" x14ac:dyDescent="0.25">
      <c r="A25" s="1266" t="s">
        <v>27</v>
      </c>
      <c r="B25" s="1267"/>
      <c r="C25" s="1268"/>
    </row>
    <row r="26" spans="1:6" x14ac:dyDescent="0.2">
      <c r="A26" s="343">
        <v>51</v>
      </c>
      <c r="B26" s="475" t="s">
        <v>99</v>
      </c>
      <c r="C26" s="509">
        <f>+Egresos!E7</f>
        <v>1895512.13</v>
      </c>
      <c r="D26" s="816"/>
    </row>
    <row r="27" spans="1:6" x14ac:dyDescent="0.2">
      <c r="A27" s="343">
        <v>54</v>
      </c>
      <c r="B27" s="475" t="s">
        <v>107</v>
      </c>
      <c r="C27" s="509">
        <f>+Egresos!E28</f>
        <v>1302337.25</v>
      </c>
      <c r="D27" s="816"/>
      <c r="E27" s="816"/>
      <c r="F27" s="816"/>
    </row>
    <row r="28" spans="1:6" x14ac:dyDescent="0.2">
      <c r="A28" s="343">
        <v>55</v>
      </c>
      <c r="B28" s="475" t="s">
        <v>112</v>
      </c>
      <c r="C28" s="509">
        <f>+Egresos!E81</f>
        <v>524883.56000000006</v>
      </c>
      <c r="D28" s="816"/>
    </row>
    <row r="29" spans="1:6" x14ac:dyDescent="0.2">
      <c r="A29" s="343">
        <v>56</v>
      </c>
      <c r="B29" s="475" t="s">
        <v>115</v>
      </c>
      <c r="C29" s="509">
        <f>+Egresos!E93</f>
        <v>45401</v>
      </c>
      <c r="D29" s="816"/>
    </row>
    <row r="30" spans="1:6" x14ac:dyDescent="0.2">
      <c r="A30" s="343" t="s">
        <v>149</v>
      </c>
      <c r="B30" s="475" t="s">
        <v>150</v>
      </c>
      <c r="C30" s="509">
        <f>+Egresos!E100</f>
        <v>453134.58999999997</v>
      </c>
      <c r="D30" s="816"/>
      <c r="E30" s="816"/>
    </row>
    <row r="31" spans="1:6" x14ac:dyDescent="0.2">
      <c r="A31" s="343">
        <v>71</v>
      </c>
      <c r="B31" s="475" t="s">
        <v>210</v>
      </c>
      <c r="C31" s="509">
        <f>+Egresos!E115</f>
        <v>262286</v>
      </c>
      <c r="D31" s="816"/>
    </row>
    <row r="32" spans="1:6" x14ac:dyDescent="0.2">
      <c r="A32" s="343">
        <v>72</v>
      </c>
      <c r="B32" s="475" t="s">
        <v>116</v>
      </c>
      <c r="C32" s="509">
        <f>Egresos!E120+Egresos!E118</f>
        <v>184741.35</v>
      </c>
      <c r="D32" s="816"/>
    </row>
    <row r="33" spans="1:4" ht="13.5" thickBot="1" x14ac:dyDescent="0.25">
      <c r="A33" s="343">
        <v>99</v>
      </c>
      <c r="B33" s="475" t="s">
        <v>117</v>
      </c>
      <c r="C33" s="490">
        <f>Consolidado!AD123</f>
        <v>0</v>
      </c>
    </row>
    <row r="34" spans="1:4" ht="23.25" customHeight="1" thickBot="1" x14ac:dyDescent="0.25">
      <c r="A34" s="491"/>
      <c r="B34" s="492" t="s">
        <v>31</v>
      </c>
      <c r="C34" s="510">
        <f>SUM(C26:C33)</f>
        <v>4668295.88</v>
      </c>
    </row>
    <row r="35" spans="1:4" x14ac:dyDescent="0.2">
      <c r="D35" s="816"/>
    </row>
    <row r="36" spans="1:4" x14ac:dyDescent="0.2">
      <c r="C36" s="816">
        <f>C20-C34</f>
        <v>0</v>
      </c>
    </row>
    <row r="37" spans="1:4" x14ac:dyDescent="0.2">
      <c r="C37" s="646"/>
    </row>
    <row r="39" spans="1:4" x14ac:dyDescent="0.2">
      <c r="C39" s="816"/>
    </row>
  </sheetData>
  <mergeCells count="12">
    <mergeCell ref="A1:C1"/>
    <mergeCell ref="A2:C2"/>
    <mergeCell ref="A3:C3"/>
    <mergeCell ref="A4:C4"/>
    <mergeCell ref="A24:C24"/>
    <mergeCell ref="A25:C25"/>
    <mergeCell ref="A9:C9"/>
    <mergeCell ref="A6:C6"/>
    <mergeCell ref="A7:C7"/>
    <mergeCell ref="A8:C8"/>
    <mergeCell ref="A22:C22"/>
    <mergeCell ref="A23:C23"/>
  </mergeCells>
  <phoneticPr fontId="0" type="noConversion"/>
  <printOptions horizontalCentered="1" verticalCentered="1"/>
  <pageMargins left="0.75" right="0.75" top="1" bottom="1" header="0" footer="0"/>
  <pageSetup scale="84" orientation="landscape" horizontalDpi="4294967294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8"/>
  <dimension ref="A1:J30"/>
  <sheetViews>
    <sheetView showGridLines="0" topLeftCell="A12" zoomScale="85" workbookViewId="0">
      <selection activeCell="E15" sqref="E15"/>
    </sheetView>
  </sheetViews>
  <sheetFormatPr baseColWidth="10" defaultColWidth="11.42578125" defaultRowHeight="12.75" x14ac:dyDescent="0.2"/>
  <cols>
    <col min="1" max="1" width="8.7109375" customWidth="1"/>
    <col min="2" max="2" width="6" style="6" customWidth="1"/>
    <col min="3" max="3" width="5.85546875" style="6" customWidth="1"/>
    <col min="4" max="4" width="36" customWidth="1"/>
    <col min="5" max="5" width="17.7109375" customWidth="1"/>
    <col min="6" max="7" width="17.85546875" bestFit="1" customWidth="1"/>
  </cols>
  <sheetData>
    <row r="1" spans="1:10" ht="15.75" x14ac:dyDescent="0.25">
      <c r="A1" s="1124" t="s">
        <v>152</v>
      </c>
      <c r="B1" s="1124"/>
      <c r="C1" s="1124"/>
      <c r="D1" s="1124"/>
      <c r="E1" s="1124"/>
      <c r="F1" s="1124"/>
      <c r="G1" s="1124"/>
    </row>
    <row r="2" spans="1:10" ht="15.75" x14ac:dyDescent="0.25">
      <c r="A2" s="1124" t="str">
        <f>EgreUP02!A4</f>
        <v>INSTITUCION: ALCALDIA MUNICIPAL DE CHALATENANGO</v>
      </c>
      <c r="B2" s="1124"/>
      <c r="C2" s="1124"/>
      <c r="D2" s="1124"/>
      <c r="E2" s="1124"/>
      <c r="F2" s="1124"/>
      <c r="G2" s="1124"/>
    </row>
    <row r="3" spans="1:10" ht="15.75" x14ac:dyDescent="0.25">
      <c r="A3" s="1291" t="s">
        <v>955</v>
      </c>
      <c r="B3" s="1291"/>
      <c r="C3" s="1291"/>
      <c r="D3" s="1291"/>
      <c r="E3" s="1291"/>
      <c r="F3" s="1291"/>
      <c r="G3" s="1291"/>
    </row>
    <row r="4" spans="1:10" ht="24.95" customHeight="1" x14ac:dyDescent="0.25">
      <c r="A4" s="1124" t="s">
        <v>153</v>
      </c>
      <c r="B4" s="1124"/>
      <c r="C4" s="1124"/>
      <c r="D4" s="1124"/>
      <c r="E4" s="1124"/>
      <c r="F4" s="1124"/>
      <c r="G4" s="1124"/>
    </row>
    <row r="5" spans="1:10" ht="24.95" customHeight="1" thickBot="1" x14ac:dyDescent="0.3">
      <c r="A5" s="1290" t="s">
        <v>158</v>
      </c>
      <c r="B5" s="1290"/>
      <c r="C5" s="1290"/>
      <c r="D5" s="1290"/>
      <c r="E5" s="1290"/>
      <c r="F5" s="1290"/>
      <c r="G5" s="1290"/>
    </row>
    <row r="6" spans="1:10" s="24" customFormat="1" ht="24.95" customHeight="1" x14ac:dyDescent="0.2">
      <c r="A6" s="328" t="s">
        <v>159</v>
      </c>
      <c r="B6" s="329" t="s">
        <v>160</v>
      </c>
      <c r="C6" s="330" t="s">
        <v>161</v>
      </c>
      <c r="D6" s="1297" t="s">
        <v>89</v>
      </c>
      <c r="E6" s="1295" t="s">
        <v>162</v>
      </c>
      <c r="F6" s="1295" t="s">
        <v>162</v>
      </c>
      <c r="G6" s="1295" t="s">
        <v>31</v>
      </c>
    </row>
    <row r="7" spans="1:10" s="24" customFormat="1" ht="24.95" customHeight="1" thickBot="1" x14ac:dyDescent="0.25">
      <c r="A7" s="331" t="s">
        <v>163</v>
      </c>
      <c r="B7" s="332" t="s">
        <v>164</v>
      </c>
      <c r="C7" s="333" t="s">
        <v>165</v>
      </c>
      <c r="D7" s="1298"/>
      <c r="E7" s="1296"/>
      <c r="F7" s="1296"/>
      <c r="G7" s="1296"/>
    </row>
    <row r="8" spans="1:10" s="24" customFormat="1" ht="24.95" customHeight="1" x14ac:dyDescent="0.2">
      <c r="A8" s="334" t="s">
        <v>0</v>
      </c>
      <c r="B8" s="335"/>
      <c r="C8" s="336"/>
      <c r="D8" s="347" t="s">
        <v>166</v>
      </c>
      <c r="E8" s="519"/>
      <c r="F8" s="519"/>
      <c r="G8" s="519">
        <f>+F9+F12</f>
        <v>3408070.2</v>
      </c>
    </row>
    <row r="9" spans="1:10" s="24" customFormat="1" ht="24.95" customHeight="1" x14ac:dyDescent="0.2">
      <c r="A9" s="337"/>
      <c r="B9" s="338" t="s">
        <v>1</v>
      </c>
      <c r="C9" s="69"/>
      <c r="D9" s="250" t="s">
        <v>167</v>
      </c>
      <c r="E9" s="520"/>
      <c r="F9" s="520">
        <f>SUM(E10:E12)</f>
        <v>1904087.1700000002</v>
      </c>
      <c r="G9" s="520"/>
    </row>
    <row r="10" spans="1:10" s="24" customFormat="1" ht="24.95" customHeight="1" x14ac:dyDescent="0.2">
      <c r="A10" s="337"/>
      <c r="B10" s="339"/>
      <c r="C10" s="69" t="s">
        <v>1</v>
      </c>
      <c r="D10" s="250" t="s">
        <v>485</v>
      </c>
      <c r="E10" s="521">
        <f>Consolidado!C128-Consolidado!C106-Consolidado!C107+Consolidado!M128</f>
        <v>961823.91000000015</v>
      </c>
      <c r="F10" s="520"/>
      <c r="G10" s="520"/>
      <c r="J10" s="25"/>
    </row>
    <row r="11" spans="1:10" s="24" customFormat="1" ht="24.95" customHeight="1" x14ac:dyDescent="0.2">
      <c r="A11" s="337"/>
      <c r="B11" s="339"/>
      <c r="C11" s="69" t="s">
        <v>200</v>
      </c>
      <c r="D11" s="250" t="s">
        <v>486</v>
      </c>
      <c r="E11" s="521">
        <f>Consolidado!N128+Consolidado!D128</f>
        <v>942263.26</v>
      </c>
      <c r="F11" s="520"/>
      <c r="G11" s="520"/>
      <c r="J11" s="25"/>
    </row>
    <row r="12" spans="1:10" s="24" customFormat="1" ht="24.95" customHeight="1" x14ac:dyDescent="0.2">
      <c r="A12" s="338"/>
      <c r="B12" s="338" t="s">
        <v>200</v>
      </c>
      <c r="C12" s="69"/>
      <c r="D12" s="250" t="s">
        <v>487</v>
      </c>
      <c r="E12" s="521"/>
      <c r="F12" s="520">
        <f>E13+E14</f>
        <v>1503983.03</v>
      </c>
      <c r="G12" s="521"/>
      <c r="J12" s="26"/>
    </row>
    <row r="13" spans="1:10" s="24" customFormat="1" ht="24.95" customHeight="1" x14ac:dyDescent="0.2">
      <c r="A13" s="338"/>
      <c r="B13" s="338"/>
      <c r="C13" s="69" t="s">
        <v>1</v>
      </c>
      <c r="D13" s="348" t="s">
        <v>451</v>
      </c>
      <c r="E13" s="521">
        <f>Consolidado!E128+Consolidado!O128</f>
        <v>288141.82</v>
      </c>
      <c r="F13" s="520"/>
      <c r="G13" s="520"/>
    </row>
    <row r="14" spans="1:10" s="24" customFormat="1" ht="24.95" customHeight="1" thickBot="1" x14ac:dyDescent="0.25">
      <c r="A14" s="340"/>
      <c r="B14" s="341"/>
      <c r="C14" s="342" t="s">
        <v>200</v>
      </c>
      <c r="D14" s="349" t="s">
        <v>488</v>
      </c>
      <c r="E14" s="522">
        <f>Consolidado!F128+Consolidado!P128+Consolidado!Q86+Consolidado!G86</f>
        <v>1215841.21</v>
      </c>
      <c r="F14" s="522"/>
      <c r="G14" s="522"/>
      <c r="J14" s="26"/>
    </row>
    <row r="15" spans="1:10" s="24" customFormat="1" ht="24.95" customHeight="1" x14ac:dyDescent="0.2">
      <c r="A15" s="343">
        <v>3</v>
      </c>
      <c r="B15" s="338"/>
      <c r="C15" s="69"/>
      <c r="D15" s="350" t="s">
        <v>169</v>
      </c>
      <c r="E15" s="521"/>
      <c r="F15" s="520"/>
      <c r="G15" s="520">
        <f>+F16</f>
        <v>510837.68</v>
      </c>
    </row>
    <row r="16" spans="1:10" s="24" customFormat="1" ht="24.95" customHeight="1" x14ac:dyDescent="0.2">
      <c r="A16" s="343"/>
      <c r="B16" s="338" t="s">
        <v>10</v>
      </c>
      <c r="C16" s="69"/>
      <c r="D16" s="250" t="s">
        <v>489</v>
      </c>
      <c r="E16" s="521"/>
      <c r="F16" s="520">
        <f>+E17+E18</f>
        <v>510837.68</v>
      </c>
      <c r="G16" s="520"/>
    </row>
    <row r="17" spans="1:7" s="24" customFormat="1" ht="24.95" customHeight="1" x14ac:dyDescent="0.2">
      <c r="A17" s="343"/>
      <c r="B17" s="338"/>
      <c r="C17" s="69" t="s">
        <v>13</v>
      </c>
      <c r="D17" s="250" t="s">
        <v>490</v>
      </c>
      <c r="E17" s="521">
        <f>Consolidado!C106</f>
        <v>3375</v>
      </c>
      <c r="F17" s="520"/>
      <c r="G17" s="520"/>
    </row>
    <row r="18" spans="1:7" s="24" customFormat="1" ht="24.95" customHeight="1" thickBot="1" x14ac:dyDescent="0.25">
      <c r="A18" s="344"/>
      <c r="B18" s="345"/>
      <c r="C18" s="342" t="s">
        <v>9</v>
      </c>
      <c r="D18" s="349" t="s">
        <v>491</v>
      </c>
      <c r="E18" s="522">
        <f>Consolidado!V128+Consolidado!I128+Consolidado!H128+Consolidado!C107</f>
        <v>507462.68</v>
      </c>
      <c r="F18" s="523"/>
      <c r="G18" s="523"/>
    </row>
    <row r="19" spans="1:7" s="24" customFormat="1" ht="24.95" customHeight="1" x14ac:dyDescent="0.2">
      <c r="A19" s="343">
        <v>4</v>
      </c>
      <c r="B19" s="338"/>
      <c r="C19" s="69"/>
      <c r="D19" s="350" t="s">
        <v>170</v>
      </c>
      <c r="E19" s="521"/>
      <c r="F19" s="520"/>
      <c r="G19" s="520">
        <f>+F20</f>
        <v>0</v>
      </c>
    </row>
    <row r="20" spans="1:7" s="24" customFormat="1" ht="24.95" customHeight="1" x14ac:dyDescent="0.2">
      <c r="A20" s="343"/>
      <c r="B20" s="338" t="s">
        <v>12</v>
      </c>
      <c r="C20" s="69"/>
      <c r="D20" s="250" t="s">
        <v>492</v>
      </c>
      <c r="E20" s="521"/>
      <c r="F20" s="520">
        <f>+E21</f>
        <v>0</v>
      </c>
      <c r="G20" s="520"/>
    </row>
    <row r="21" spans="1:7" s="24" customFormat="1" ht="24.95" customHeight="1" thickBot="1" x14ac:dyDescent="0.25">
      <c r="A21" s="344"/>
      <c r="B21" s="345"/>
      <c r="C21" s="342" t="s">
        <v>11</v>
      </c>
      <c r="D21" s="349" t="s">
        <v>493</v>
      </c>
      <c r="E21" s="522"/>
      <c r="F21" s="523"/>
      <c r="G21" s="523"/>
    </row>
    <row r="22" spans="1:7" s="24" customFormat="1" ht="23.25" customHeight="1" x14ac:dyDescent="0.2">
      <c r="A22" s="343">
        <v>5</v>
      </c>
      <c r="B22" s="338"/>
      <c r="C22" s="69"/>
      <c r="D22" s="250" t="s">
        <v>171</v>
      </c>
      <c r="E22" s="521"/>
      <c r="F22" s="520"/>
      <c r="G22" s="520">
        <f>+F23</f>
        <v>749388</v>
      </c>
    </row>
    <row r="23" spans="1:7" s="24" customFormat="1" ht="24.95" customHeight="1" x14ac:dyDescent="0.2">
      <c r="A23" s="346"/>
      <c r="B23" s="338" t="s">
        <v>172</v>
      </c>
      <c r="C23" s="69"/>
      <c r="D23" s="250" t="s">
        <v>494</v>
      </c>
      <c r="E23" s="521"/>
      <c r="F23" s="520">
        <f>+E24</f>
        <v>749388</v>
      </c>
      <c r="G23" s="520"/>
    </row>
    <row r="24" spans="1:7" s="24" customFormat="1" ht="24.95" customHeight="1" thickBot="1" x14ac:dyDescent="0.25">
      <c r="A24" s="346"/>
      <c r="B24" s="338"/>
      <c r="C24" s="69" t="s">
        <v>145</v>
      </c>
      <c r="D24" s="250" t="s">
        <v>495</v>
      </c>
      <c r="E24" s="521">
        <f>+Consolidado!K128+Consolidado!X128</f>
        <v>749388</v>
      </c>
      <c r="F24" s="520"/>
      <c r="G24" s="520"/>
    </row>
    <row r="25" spans="1:7" s="24" customFormat="1" ht="24.95" customHeight="1" thickBot="1" x14ac:dyDescent="0.25">
      <c r="A25" s="1292" t="s">
        <v>31</v>
      </c>
      <c r="B25" s="1293"/>
      <c r="C25" s="1293"/>
      <c r="D25" s="1294"/>
      <c r="E25" s="524">
        <f>SUM(E8:E24)</f>
        <v>4668295.8800000008</v>
      </c>
      <c r="F25" s="524">
        <f>SUM(F8:F24)</f>
        <v>4668295.8800000008</v>
      </c>
      <c r="G25" s="524">
        <f>SUM(G8:G24)</f>
        <v>4668295.8800000008</v>
      </c>
    </row>
    <row r="26" spans="1:7" s="24" customFormat="1" ht="12" x14ac:dyDescent="0.2">
      <c r="B26" s="27"/>
      <c r="C26" s="27"/>
    </row>
    <row r="27" spans="1:7" x14ac:dyDescent="0.2">
      <c r="G27" s="816">
        <f>E25-ResCE!C34</f>
        <v>0</v>
      </c>
    </row>
    <row r="30" spans="1:7" ht="13.5" customHeight="1" x14ac:dyDescent="0.2"/>
  </sheetData>
  <mergeCells count="10">
    <mergeCell ref="A25:D25"/>
    <mergeCell ref="F6:F7"/>
    <mergeCell ref="G6:G7"/>
    <mergeCell ref="D6:D7"/>
    <mergeCell ref="E6:E7"/>
    <mergeCell ref="A5:G5"/>
    <mergeCell ref="A4:G4"/>
    <mergeCell ref="A1:G1"/>
    <mergeCell ref="A2:G2"/>
    <mergeCell ref="A3:G3"/>
  </mergeCells>
  <phoneticPr fontId="0" type="noConversion"/>
  <printOptions horizontalCentered="1" verticalCentered="1"/>
  <pageMargins left="0.19685039370078741" right="0.15748031496062992" top="0.43307086614173229" bottom="0.98425196850393704" header="0" footer="0"/>
  <pageSetup scale="90" orientation="portrait" horizontalDpi="4294967294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9"/>
  <dimension ref="A1:F22"/>
  <sheetViews>
    <sheetView showGridLines="0" workbookViewId="0">
      <selection activeCell="F21" sqref="F21"/>
    </sheetView>
  </sheetViews>
  <sheetFormatPr baseColWidth="10" defaultColWidth="11.42578125" defaultRowHeight="12.75" x14ac:dyDescent="0.2"/>
  <cols>
    <col min="2" max="2" width="34" customWidth="1"/>
    <col min="3" max="3" width="16.85546875" customWidth="1"/>
    <col min="4" max="4" width="16.42578125" customWidth="1"/>
    <col min="6" max="6" width="13.85546875" bestFit="1" customWidth="1"/>
  </cols>
  <sheetData>
    <row r="1" spans="1:5" x14ac:dyDescent="0.2">
      <c r="A1" s="9" t="str">
        <f>ResEP!A2</f>
        <v>INSTITUCION: ALCALDIA MUNICIPAL DE CHALATENANGO</v>
      </c>
      <c r="B1" s="11"/>
      <c r="C1" s="11"/>
      <c r="D1" s="9"/>
    </row>
    <row r="2" spans="1:5" ht="13.5" thickBot="1" x14ac:dyDescent="0.25">
      <c r="A2" s="11" t="str">
        <f>ResEP!A3</f>
        <v>EJERCICIO FISCAL 2024</v>
      </c>
      <c r="B2" s="11"/>
      <c r="C2" s="11"/>
      <c r="D2" s="9"/>
    </row>
    <row r="3" spans="1:5" ht="14.25" x14ac:dyDescent="0.2">
      <c r="A3" s="1299" t="s">
        <v>174</v>
      </c>
      <c r="B3" s="1300"/>
      <c r="C3" s="1300"/>
      <c r="D3" s="1301"/>
    </row>
    <row r="4" spans="1:5" ht="13.5" thickBot="1" x14ac:dyDescent="0.25">
      <c r="A4" s="1302" t="s">
        <v>27</v>
      </c>
      <c r="B4" s="1303"/>
      <c r="C4" s="1303"/>
      <c r="D4" s="1304"/>
    </row>
    <row r="5" spans="1:5" ht="15" thickBot="1" x14ac:dyDescent="0.25">
      <c r="A5" s="12" t="s">
        <v>66</v>
      </c>
      <c r="B5" s="13" t="s">
        <v>175</v>
      </c>
      <c r="C5" s="14" t="s">
        <v>176</v>
      </c>
      <c r="D5" s="14" t="s">
        <v>177</v>
      </c>
    </row>
    <row r="6" spans="1:5" x14ac:dyDescent="0.2">
      <c r="A6" s="15"/>
      <c r="B6" s="9"/>
      <c r="C6" s="16"/>
      <c r="D6" s="16"/>
    </row>
    <row r="7" spans="1:5" x14ac:dyDescent="0.2">
      <c r="A7" s="17">
        <v>1</v>
      </c>
      <c r="B7" s="18" t="s">
        <v>178</v>
      </c>
      <c r="C7" s="19">
        <f>+INGxFF!C85</f>
        <v>1940946.75</v>
      </c>
      <c r="D7" s="19">
        <f>+Consolidado!G128+Consolidado!L128</f>
        <v>1940946.75</v>
      </c>
      <c r="E7" s="1"/>
    </row>
    <row r="8" spans="1:5" x14ac:dyDescent="0.2">
      <c r="A8" s="17"/>
      <c r="B8" s="18"/>
      <c r="C8" s="19"/>
      <c r="D8" s="20"/>
      <c r="E8" s="1"/>
    </row>
    <row r="9" spans="1:5" x14ac:dyDescent="0.2">
      <c r="A9" s="17">
        <v>2</v>
      </c>
      <c r="B9" s="18" t="s">
        <v>137</v>
      </c>
      <c r="C9" s="19">
        <f>+INGxFF!D85</f>
        <v>2612164.7000000002</v>
      </c>
      <c r="D9" s="19">
        <f>+Consolidado!Q128</f>
        <v>2615164.6999999997</v>
      </c>
      <c r="E9" s="1"/>
    </row>
    <row r="10" spans="1:5" x14ac:dyDescent="0.2">
      <c r="A10" s="17"/>
      <c r="B10" s="18"/>
      <c r="C10" s="19"/>
      <c r="D10" s="20"/>
      <c r="E10" s="1"/>
    </row>
    <row r="11" spans="1:5" x14ac:dyDescent="0.2">
      <c r="A11" s="17">
        <v>3</v>
      </c>
      <c r="B11" s="18" t="s">
        <v>195</v>
      </c>
      <c r="C11" s="19">
        <f>+INGxFF!E85</f>
        <v>0</v>
      </c>
      <c r="D11" s="19">
        <f>+Consolidado!T128</f>
        <v>0</v>
      </c>
      <c r="E11" s="1"/>
    </row>
    <row r="12" spans="1:5" x14ac:dyDescent="0.2">
      <c r="A12" s="17"/>
      <c r="B12" s="18"/>
      <c r="C12" s="19"/>
      <c r="D12" s="20"/>
      <c r="E12" s="1"/>
    </row>
    <row r="13" spans="1:5" x14ac:dyDescent="0.2">
      <c r="A13" s="17">
        <v>4</v>
      </c>
      <c r="B13" s="18" t="s">
        <v>179</v>
      </c>
      <c r="C13" s="19">
        <f>+INGxFF!F85</f>
        <v>112184.43</v>
      </c>
      <c r="D13" s="19">
        <f>Consolidado!Y128</f>
        <v>112184.43</v>
      </c>
      <c r="E13" s="1"/>
    </row>
    <row r="14" spans="1:5" x14ac:dyDescent="0.2">
      <c r="A14" s="17"/>
      <c r="B14" s="18"/>
      <c r="C14" s="19"/>
      <c r="D14" s="20"/>
      <c r="E14" s="1"/>
    </row>
    <row r="15" spans="1:5" x14ac:dyDescent="0.2">
      <c r="A15" s="17">
        <v>5</v>
      </c>
      <c r="B15" s="18" t="s">
        <v>196</v>
      </c>
      <c r="C15" s="19">
        <f>+INGxFF!H85</f>
        <v>3000</v>
      </c>
      <c r="D15" s="19">
        <f>+Consolidado!AB128</f>
        <v>0</v>
      </c>
      <c r="E15" s="1"/>
    </row>
    <row r="16" spans="1:5" ht="13.5" thickBot="1" x14ac:dyDescent="0.25">
      <c r="A16" s="10"/>
      <c r="B16" s="9"/>
      <c r="C16" s="19"/>
      <c r="D16" s="20"/>
      <c r="E16" s="1"/>
    </row>
    <row r="17" spans="1:6" ht="13.5" thickBot="1" x14ac:dyDescent="0.25">
      <c r="A17" s="21"/>
      <c r="B17" s="22" t="s">
        <v>130</v>
      </c>
      <c r="C17" s="23">
        <f>SUM(C6:C16)</f>
        <v>4668295.88</v>
      </c>
      <c r="D17" s="23">
        <f>SUM(D6:D16)</f>
        <v>4668295.879999999</v>
      </c>
      <c r="E17" s="1"/>
    </row>
    <row r="18" spans="1:6" x14ac:dyDescent="0.2">
      <c r="A18" s="9"/>
      <c r="B18" s="11"/>
      <c r="C18" s="19"/>
      <c r="D18" s="979"/>
    </row>
    <row r="19" spans="1:6" ht="15.75" x14ac:dyDescent="0.25">
      <c r="B19" s="7"/>
      <c r="C19" s="2"/>
      <c r="F19" s="8"/>
    </row>
    <row r="20" spans="1:6" x14ac:dyDescent="0.2">
      <c r="C20" s="2"/>
      <c r="D20" s="1">
        <f>C17-D17</f>
        <v>0</v>
      </c>
    </row>
    <row r="21" spans="1:6" x14ac:dyDescent="0.2">
      <c r="C21" s="2"/>
    </row>
    <row r="22" spans="1:6" x14ac:dyDescent="0.2">
      <c r="F22" s="1"/>
    </row>
  </sheetData>
  <mergeCells count="2">
    <mergeCell ref="A3:D3"/>
    <mergeCell ref="A4:D4"/>
  </mergeCells>
  <phoneticPr fontId="0" type="noConversion"/>
  <printOptions horizontalCentered="1" verticalCentered="1"/>
  <pageMargins left="0.74803149606299213" right="0.74803149606299213" top="0.98425196850393704" bottom="0.98425196850393704" header="0" footer="0"/>
  <pageSetup orientation="portrait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I118"/>
  <sheetViews>
    <sheetView showGridLines="0" topLeftCell="B52" zoomScale="160" zoomScaleNormal="160" workbookViewId="0">
      <selection activeCell="F66" sqref="F66"/>
    </sheetView>
  </sheetViews>
  <sheetFormatPr baseColWidth="10" defaultColWidth="11.42578125" defaultRowHeight="12.75" x14ac:dyDescent="0.2"/>
  <cols>
    <col min="1" max="1" width="10.5703125" style="30" customWidth="1"/>
    <col min="2" max="2" width="34.140625" style="30" customWidth="1"/>
    <col min="3" max="3" width="19" style="30" customWidth="1"/>
    <col min="4" max="4" width="12.85546875" style="30" bestFit="1" customWidth="1"/>
    <col min="5" max="5" width="17.140625" style="30" customWidth="1"/>
    <col min="6" max="6" width="16.140625" style="30" bestFit="1" customWidth="1"/>
    <col min="7" max="7" width="13" style="30" customWidth="1"/>
    <col min="8" max="8" width="16.140625" style="30" customWidth="1"/>
    <col min="9" max="9" width="13.85546875" style="30" bestFit="1" customWidth="1"/>
    <col min="10" max="16384" width="11.42578125" style="30"/>
  </cols>
  <sheetData>
    <row r="1" spans="1:9" x14ac:dyDescent="0.2">
      <c r="A1" s="1114" t="s">
        <v>217</v>
      </c>
      <c r="B1" s="1114"/>
      <c r="C1" s="1114"/>
      <c r="D1" s="1114"/>
      <c r="E1" s="1114"/>
      <c r="F1" s="1114"/>
    </row>
    <row r="2" spans="1:9" ht="15.75" x14ac:dyDescent="0.25">
      <c r="A2" s="1124" t="s">
        <v>945</v>
      </c>
      <c r="B2" s="1124"/>
      <c r="C2" s="1124"/>
      <c r="D2" s="1124"/>
      <c r="E2" s="1124"/>
      <c r="F2" s="1124"/>
    </row>
    <row r="3" spans="1:9" x14ac:dyDescent="0.2">
      <c r="C3" s="276"/>
      <c r="D3" s="276"/>
      <c r="E3" s="276"/>
      <c r="F3" s="276"/>
      <c r="G3" s="276"/>
      <c r="H3" s="276"/>
    </row>
    <row r="4" spans="1:9" x14ac:dyDescent="0.2">
      <c r="A4" s="53" t="s">
        <v>14</v>
      </c>
      <c r="B4" s="53" t="s">
        <v>15</v>
      </c>
      <c r="C4" s="54">
        <v>2019</v>
      </c>
      <c r="D4" s="53">
        <v>2020</v>
      </c>
      <c r="E4" s="53">
        <v>2021</v>
      </c>
      <c r="F4" s="53">
        <v>2022</v>
      </c>
      <c r="G4" s="53">
        <v>2023</v>
      </c>
      <c r="H4" s="53">
        <v>2024</v>
      </c>
    </row>
    <row r="5" spans="1:9" x14ac:dyDescent="0.2">
      <c r="A5" s="28">
        <v>11801</v>
      </c>
      <c r="B5" s="28" t="s">
        <v>16</v>
      </c>
      <c r="C5" s="325">
        <v>364525.5</v>
      </c>
      <c r="D5" s="620">
        <v>418973.07</v>
      </c>
      <c r="E5" s="620">
        <v>458465.68999999994</v>
      </c>
      <c r="F5" s="620">
        <v>541507.43999999994</v>
      </c>
      <c r="G5" s="620">
        <v>548761.32999999996</v>
      </c>
      <c r="H5" s="620">
        <f>630500+18400</f>
        <v>648900</v>
      </c>
      <c r="I5" s="86"/>
    </row>
    <row r="6" spans="1:9" x14ac:dyDescent="0.2">
      <c r="A6" s="28">
        <v>11802</v>
      </c>
      <c r="B6" s="28" t="s">
        <v>17</v>
      </c>
      <c r="C6" s="325">
        <v>204.24</v>
      </c>
      <c r="D6" s="620">
        <v>582.12</v>
      </c>
      <c r="E6" s="620">
        <v>466.35999999999996</v>
      </c>
      <c r="F6" s="620">
        <v>555.96999999999991</v>
      </c>
      <c r="G6" s="620">
        <v>205.69</v>
      </c>
      <c r="H6" s="620">
        <v>1000</v>
      </c>
      <c r="I6" s="86"/>
    </row>
    <row r="7" spans="1:9" x14ac:dyDescent="0.2">
      <c r="A7" s="28">
        <v>11803</v>
      </c>
      <c r="B7" s="28" t="s">
        <v>220</v>
      </c>
      <c r="C7" s="325">
        <v>80343.87000000001</v>
      </c>
      <c r="D7" s="620">
        <v>39013.760000000009</v>
      </c>
      <c r="E7" s="620">
        <v>36614.879999999997</v>
      </c>
      <c r="F7" s="620">
        <v>65759.26999999999</v>
      </c>
      <c r="G7" s="620">
        <v>114129.01000000001</v>
      </c>
      <c r="H7" s="620">
        <v>118000</v>
      </c>
      <c r="I7" s="86"/>
    </row>
    <row r="8" spans="1:9" x14ac:dyDescent="0.2">
      <c r="A8" s="28">
        <v>11804</v>
      </c>
      <c r="B8" s="28" t="s">
        <v>18</v>
      </c>
      <c r="C8" s="325">
        <v>20072.23</v>
      </c>
      <c r="D8" s="620">
        <v>10435.1</v>
      </c>
      <c r="E8" s="620">
        <v>6239.0100000000011</v>
      </c>
      <c r="F8" s="620">
        <v>8210.3009999999995</v>
      </c>
      <c r="G8" s="620">
        <v>18602.480000000003</v>
      </c>
      <c r="H8" s="620">
        <v>25000</v>
      </c>
      <c r="I8" s="86"/>
    </row>
    <row r="9" spans="1:9" x14ac:dyDescent="0.2">
      <c r="A9" s="28">
        <v>11806</v>
      </c>
      <c r="B9" s="28" t="s">
        <v>761</v>
      </c>
      <c r="C9" s="325">
        <v>31.41</v>
      </c>
      <c r="D9" s="620">
        <v>2.86</v>
      </c>
      <c r="E9" s="620">
        <v>285.5</v>
      </c>
      <c r="F9" s="620">
        <v>125.61999999999998</v>
      </c>
      <c r="G9" s="620">
        <v>199.85</v>
      </c>
      <c r="H9" s="620">
        <v>250</v>
      </c>
      <c r="I9" s="86"/>
    </row>
    <row r="10" spans="1:9" x14ac:dyDescent="0.2">
      <c r="A10" s="28">
        <v>11807</v>
      </c>
      <c r="B10" s="28" t="s">
        <v>222</v>
      </c>
      <c r="C10" s="325">
        <v>77.69</v>
      </c>
      <c r="D10" s="620">
        <v>73.12</v>
      </c>
      <c r="E10" s="620">
        <v>97.260000000000019</v>
      </c>
      <c r="F10" s="620">
        <v>18.28</v>
      </c>
      <c r="G10" s="620">
        <v>68.63</v>
      </c>
      <c r="H10" s="620">
        <v>100</v>
      </c>
      <c r="I10" s="86"/>
    </row>
    <row r="11" spans="1:9" x14ac:dyDescent="0.2">
      <c r="A11" s="28">
        <v>11808</v>
      </c>
      <c r="B11" s="28" t="s">
        <v>223</v>
      </c>
      <c r="C11" s="325">
        <v>205.8</v>
      </c>
      <c r="D11" s="620">
        <v>109.75999999999999</v>
      </c>
      <c r="E11" s="620">
        <v>157.78</v>
      </c>
      <c r="F11" s="620">
        <v>126.91000000000001</v>
      </c>
      <c r="G11" s="620">
        <v>164.64</v>
      </c>
      <c r="H11" s="620">
        <v>170</v>
      </c>
      <c r="I11" s="86"/>
    </row>
    <row r="12" spans="1:9" x14ac:dyDescent="0.2">
      <c r="A12" s="28">
        <v>11810</v>
      </c>
      <c r="B12" s="28" t="s">
        <v>224</v>
      </c>
      <c r="C12" s="325">
        <v>1322.79</v>
      </c>
      <c r="D12" s="620">
        <v>1165.95</v>
      </c>
      <c r="E12" s="620">
        <v>1477.4099999999999</v>
      </c>
      <c r="F12" s="620">
        <v>1917.53</v>
      </c>
      <c r="G12" s="620">
        <v>1923.2700000000002</v>
      </c>
      <c r="H12" s="620">
        <v>10000</v>
      </c>
      <c r="I12" s="86"/>
    </row>
    <row r="13" spans="1:9" x14ac:dyDescent="0.2">
      <c r="A13" s="28">
        <v>11817</v>
      </c>
      <c r="B13" s="28" t="s">
        <v>225</v>
      </c>
      <c r="C13" s="325">
        <v>35096.69</v>
      </c>
      <c r="D13" s="620">
        <v>24114.2</v>
      </c>
      <c r="E13" s="620">
        <v>37426.799999999996</v>
      </c>
      <c r="F13" s="620">
        <v>36274.280000000006</v>
      </c>
      <c r="G13" s="620">
        <v>47734.03</v>
      </c>
      <c r="H13" s="620">
        <v>48000</v>
      </c>
      <c r="I13" s="86"/>
    </row>
    <row r="14" spans="1:9" x14ac:dyDescent="0.2">
      <c r="A14" s="28">
        <v>11818</v>
      </c>
      <c r="B14" s="28" t="s">
        <v>226</v>
      </c>
      <c r="C14" s="325">
        <v>8266.2999999999993</v>
      </c>
      <c r="D14" s="620">
        <v>8928.3700000000008</v>
      </c>
      <c r="E14" s="620">
        <v>8571.5700000000015</v>
      </c>
      <c r="F14" s="620">
        <v>7861.5599999999995</v>
      </c>
      <c r="G14" s="620">
        <v>8633.31</v>
      </c>
      <c r="H14" s="620">
        <v>10000</v>
      </c>
      <c r="I14" s="86"/>
    </row>
    <row r="15" spans="1:9" x14ac:dyDescent="0.2">
      <c r="A15" s="28">
        <v>12105</v>
      </c>
      <c r="B15" s="28" t="s">
        <v>227</v>
      </c>
      <c r="C15" s="325">
        <v>57301.929999999993</v>
      </c>
      <c r="D15" s="620">
        <v>37932.799999999988</v>
      </c>
      <c r="E15" s="620">
        <v>76265.010000000009</v>
      </c>
      <c r="F15" s="620">
        <v>62206.290000000008</v>
      </c>
      <c r="G15" s="620">
        <v>54288.47600000001</v>
      </c>
      <c r="H15" s="620">
        <v>58000</v>
      </c>
      <c r="I15" s="86"/>
    </row>
    <row r="16" spans="1:9" x14ac:dyDescent="0.2">
      <c r="A16" s="28">
        <v>12106</v>
      </c>
      <c r="B16" s="28" t="s">
        <v>228</v>
      </c>
      <c r="C16" s="325">
        <v>1036.3500000000001</v>
      </c>
      <c r="D16" s="620">
        <v>831.45</v>
      </c>
      <c r="E16" s="620">
        <v>882.00000000000011</v>
      </c>
      <c r="F16" s="620">
        <v>1965.6</v>
      </c>
      <c r="G16" s="620">
        <v>1477.35</v>
      </c>
      <c r="H16" s="620">
        <v>1800</v>
      </c>
      <c r="I16" s="86"/>
    </row>
    <row r="17" spans="1:9" x14ac:dyDescent="0.2">
      <c r="A17" s="28">
        <v>12108</v>
      </c>
      <c r="B17" s="28" t="s">
        <v>201</v>
      </c>
      <c r="C17" s="325">
        <v>52851.839999999997</v>
      </c>
      <c r="D17" s="620">
        <v>49780.3</v>
      </c>
      <c r="E17" s="620">
        <v>56313.08</v>
      </c>
      <c r="F17" s="620">
        <v>54237.69</v>
      </c>
      <c r="G17" s="620">
        <v>56417.55</v>
      </c>
      <c r="H17" s="620">
        <v>60000</v>
      </c>
      <c r="I17" s="86"/>
    </row>
    <row r="18" spans="1:9" x14ac:dyDescent="0.2">
      <c r="A18" s="28">
        <v>12109</v>
      </c>
      <c r="B18" s="28" t="s">
        <v>218</v>
      </c>
      <c r="C18" s="325">
        <v>102516.58000000002</v>
      </c>
      <c r="D18" s="620">
        <v>92286.61</v>
      </c>
      <c r="E18" s="620">
        <v>103983.41000000002</v>
      </c>
      <c r="F18" s="620">
        <v>100131.20999999999</v>
      </c>
      <c r="G18" s="620">
        <v>103775.23999999999</v>
      </c>
      <c r="H18" s="620">
        <v>110000</v>
      </c>
      <c r="I18" s="86"/>
    </row>
    <row r="19" spans="1:9" x14ac:dyDescent="0.2">
      <c r="A19" s="761">
        <v>12123</v>
      </c>
      <c r="B19" s="761" t="s">
        <v>685</v>
      </c>
      <c r="C19" s="762">
        <v>18401.25</v>
      </c>
      <c r="D19" s="763">
        <v>18231.900000000001</v>
      </c>
      <c r="E19" s="763">
        <v>27565.75</v>
      </c>
      <c r="F19" s="763">
        <v>40614.85</v>
      </c>
      <c r="G19" s="763">
        <v>33374.5</v>
      </c>
      <c r="H19" s="620">
        <v>35000</v>
      </c>
      <c r="I19" s="86"/>
    </row>
    <row r="20" spans="1:9" x14ac:dyDescent="0.2">
      <c r="A20" s="28">
        <v>12111</v>
      </c>
      <c r="B20" s="28" t="s">
        <v>19</v>
      </c>
      <c r="C20" s="325">
        <v>6317.62</v>
      </c>
      <c r="D20" s="620">
        <v>7499.19</v>
      </c>
      <c r="E20" s="620">
        <v>11079.340000000002</v>
      </c>
      <c r="F20" s="620">
        <v>14100.230000000003</v>
      </c>
      <c r="G20" s="620">
        <v>10238.480000000001</v>
      </c>
      <c r="H20" s="620">
        <v>10500</v>
      </c>
      <c r="I20" s="86"/>
    </row>
    <row r="21" spans="1:9" x14ac:dyDescent="0.2">
      <c r="A21" s="28">
        <v>12113</v>
      </c>
      <c r="B21" s="28" t="s">
        <v>581</v>
      </c>
      <c r="C21" s="325">
        <v>165983.75</v>
      </c>
      <c r="D21" s="620">
        <v>139344.99</v>
      </c>
      <c r="E21" s="620">
        <v>189944.6</v>
      </c>
      <c r="F21" s="620">
        <v>185743.93999999997</v>
      </c>
      <c r="G21" s="620">
        <v>186441.62</v>
      </c>
      <c r="H21" s="620">
        <v>190000</v>
      </c>
      <c r="I21" s="86"/>
    </row>
    <row r="22" spans="1:9" x14ac:dyDescent="0.2">
      <c r="A22" s="28">
        <v>12114</v>
      </c>
      <c r="B22" s="28" t="s">
        <v>20</v>
      </c>
      <c r="C22" s="325">
        <v>61399.59</v>
      </c>
      <c r="D22" s="620">
        <v>52505.09</v>
      </c>
      <c r="E22" s="620">
        <v>66001.39</v>
      </c>
      <c r="F22" s="620">
        <v>71439.123999999996</v>
      </c>
      <c r="G22" s="620">
        <v>70450.683999999994</v>
      </c>
      <c r="H22" s="620">
        <v>75000</v>
      </c>
      <c r="I22" s="86"/>
    </row>
    <row r="23" spans="1:9" x14ac:dyDescent="0.2">
      <c r="A23" s="28">
        <v>12115</v>
      </c>
      <c r="B23" s="28" t="s">
        <v>229</v>
      </c>
      <c r="C23" s="325">
        <v>162535.5</v>
      </c>
      <c r="D23" s="620">
        <v>123118.84</v>
      </c>
      <c r="E23" s="620">
        <v>161798.75</v>
      </c>
      <c r="F23" s="620">
        <f>156674.5+7446.25</f>
        <v>164120.75</v>
      </c>
      <c r="G23" s="620">
        <f>145100+13532</f>
        <v>158632</v>
      </c>
      <c r="H23" s="620">
        <v>175000</v>
      </c>
      <c r="I23" s="86"/>
    </row>
    <row r="24" spans="1:9" x14ac:dyDescent="0.2">
      <c r="A24" s="28">
        <v>12115</v>
      </c>
      <c r="B24" s="28" t="s">
        <v>230</v>
      </c>
      <c r="C24" s="325">
        <v>27815.25</v>
      </c>
      <c r="D24" s="620">
        <v>10979</v>
      </c>
      <c r="E24" s="620">
        <v>18612</v>
      </c>
      <c r="F24" s="620">
        <v>22112.75</v>
      </c>
      <c r="G24" s="620">
        <v>23653</v>
      </c>
      <c r="H24" s="620">
        <v>25000</v>
      </c>
      <c r="I24" s="86"/>
    </row>
    <row r="25" spans="1:9" x14ac:dyDescent="0.2">
      <c r="A25" s="28">
        <v>12117</v>
      </c>
      <c r="B25" s="28" t="s">
        <v>231</v>
      </c>
      <c r="C25" s="325">
        <v>53032.920000000006</v>
      </c>
      <c r="D25" s="620">
        <v>48855.220000000008</v>
      </c>
      <c r="E25" s="620">
        <v>55410.11</v>
      </c>
      <c r="F25" s="620">
        <v>52873.75</v>
      </c>
      <c r="G25" s="620">
        <v>55107.789999999994</v>
      </c>
      <c r="H25" s="620">
        <v>58000</v>
      </c>
      <c r="I25" s="86"/>
    </row>
    <row r="26" spans="1:9" x14ac:dyDescent="0.2">
      <c r="A26" s="28">
        <v>12118</v>
      </c>
      <c r="B26" s="28" t="s">
        <v>232</v>
      </c>
      <c r="C26" s="325">
        <v>66410.37</v>
      </c>
      <c r="D26" s="620">
        <v>53658.879999999997</v>
      </c>
      <c r="E26" s="620">
        <v>51997.759999999995</v>
      </c>
      <c r="F26" s="620">
        <v>58245</v>
      </c>
      <c r="G26" s="620">
        <v>54964.34</v>
      </c>
      <c r="H26" s="620">
        <v>56000</v>
      </c>
      <c r="I26" s="86"/>
    </row>
    <row r="27" spans="1:9" x14ac:dyDescent="0.2">
      <c r="A27" s="28">
        <v>12119</v>
      </c>
      <c r="B27" s="28" t="s">
        <v>430</v>
      </c>
      <c r="C27" s="325">
        <v>1393.23</v>
      </c>
      <c r="D27" s="620">
        <v>609.96</v>
      </c>
      <c r="E27" s="620">
        <v>944.45000000000016</v>
      </c>
      <c r="F27" s="620">
        <v>1217.1599999999999</v>
      </c>
      <c r="G27" s="620">
        <v>1233.7199999999996</v>
      </c>
      <c r="H27" s="620">
        <v>1500</v>
      </c>
      <c r="I27" s="86"/>
    </row>
    <row r="28" spans="1:9" x14ac:dyDescent="0.2">
      <c r="A28" s="28">
        <v>12119</v>
      </c>
      <c r="B28" s="28" t="s">
        <v>219</v>
      </c>
      <c r="C28" s="325">
        <v>2893.75</v>
      </c>
      <c r="D28" s="620">
        <v>1027.08</v>
      </c>
      <c r="E28" s="620">
        <v>2868.75</v>
      </c>
      <c r="F28" s="620">
        <v>2877.5</v>
      </c>
      <c r="G28" s="620">
        <v>3423.75</v>
      </c>
      <c r="H28" s="620">
        <v>3900</v>
      </c>
      <c r="I28" s="86"/>
    </row>
    <row r="29" spans="1:9" x14ac:dyDescent="0.2">
      <c r="A29" s="28">
        <v>12199</v>
      </c>
      <c r="B29" s="28" t="s">
        <v>21</v>
      </c>
      <c r="C29" s="325">
        <v>10298.52</v>
      </c>
      <c r="D29" s="620">
        <v>9958.69</v>
      </c>
      <c r="E29" s="620">
        <v>1612.55</v>
      </c>
      <c r="F29" s="620">
        <v>480</v>
      </c>
      <c r="G29" s="620">
        <v>4036</v>
      </c>
      <c r="H29" s="620">
        <v>5000</v>
      </c>
      <c r="I29" s="86"/>
    </row>
    <row r="30" spans="1:9" x14ac:dyDescent="0.2">
      <c r="A30" s="28">
        <v>12112</v>
      </c>
      <c r="B30" s="28" t="s">
        <v>431</v>
      </c>
      <c r="C30" s="325">
        <v>99623.170000000013</v>
      </c>
      <c r="D30" s="620">
        <v>91134.64</v>
      </c>
      <c r="E30" s="620">
        <v>104367.01</v>
      </c>
      <c r="F30" s="620">
        <v>100293.45999999999</v>
      </c>
      <c r="G30" s="620">
        <v>104643.31399999998</v>
      </c>
      <c r="H30" s="620">
        <v>110000</v>
      </c>
      <c r="I30" s="86"/>
    </row>
    <row r="31" spans="1:9" x14ac:dyDescent="0.2">
      <c r="A31" s="28">
        <v>12199</v>
      </c>
      <c r="B31" s="28" t="s">
        <v>278</v>
      </c>
      <c r="C31" s="325">
        <v>4463.54</v>
      </c>
      <c r="D31" s="620">
        <v>3988.6500000000005</v>
      </c>
      <c r="E31" s="620">
        <v>4563.37</v>
      </c>
      <c r="F31" s="620">
        <v>4394.8</v>
      </c>
      <c r="G31" s="620">
        <v>4481.96</v>
      </c>
      <c r="H31" s="620">
        <v>6000</v>
      </c>
      <c r="I31" s="86"/>
    </row>
    <row r="32" spans="1:9" x14ac:dyDescent="0.2">
      <c r="A32" s="28">
        <v>12210</v>
      </c>
      <c r="B32" s="28" t="s">
        <v>233</v>
      </c>
      <c r="C32" s="325">
        <v>46460.62000000001</v>
      </c>
      <c r="D32" s="620">
        <v>30980.37</v>
      </c>
      <c r="E32" s="620">
        <v>84560.849999999991</v>
      </c>
      <c r="F32" s="620">
        <v>143907.33000000002</v>
      </c>
      <c r="G32" s="620">
        <v>63134.66</v>
      </c>
      <c r="H32" s="620">
        <v>225000</v>
      </c>
      <c r="I32" s="86"/>
    </row>
    <row r="33" spans="1:9" x14ac:dyDescent="0.2">
      <c r="A33" s="28">
        <v>12211</v>
      </c>
      <c r="B33" s="28" t="s">
        <v>22</v>
      </c>
      <c r="C33" s="325">
        <v>582.5</v>
      </c>
      <c r="D33" s="620">
        <v>229.12</v>
      </c>
      <c r="E33" s="620">
        <v>574.25</v>
      </c>
      <c r="F33" s="620">
        <v>575.75</v>
      </c>
      <c r="G33" s="620">
        <v>684.5</v>
      </c>
      <c r="H33" s="620">
        <v>700</v>
      </c>
      <c r="I33" s="86"/>
    </row>
    <row r="34" spans="1:9" x14ac:dyDescent="0.2">
      <c r="A34" s="28">
        <v>14201</v>
      </c>
      <c r="B34" s="28" t="s">
        <v>582</v>
      </c>
      <c r="C34" s="325">
        <v>22332.58</v>
      </c>
      <c r="D34" s="620">
        <v>21908.5</v>
      </c>
      <c r="E34" s="620">
        <v>25947.889999999996</v>
      </c>
      <c r="F34" s="620">
        <v>24557.67</v>
      </c>
      <c r="G34" s="620">
        <v>24258.753999999997</v>
      </c>
      <c r="H34" s="620">
        <v>30000</v>
      </c>
      <c r="I34" s="86"/>
    </row>
    <row r="35" spans="1:9" x14ac:dyDescent="0.2">
      <c r="A35" s="28">
        <v>14299</v>
      </c>
      <c r="B35" s="28" t="s">
        <v>670</v>
      </c>
      <c r="C35" s="325">
        <v>5936.53</v>
      </c>
      <c r="D35" s="620">
        <v>8524.64</v>
      </c>
      <c r="E35" s="620">
        <v>15732.23</v>
      </c>
      <c r="F35" s="620">
        <v>15798.04</v>
      </c>
      <c r="G35" s="620">
        <v>15561.06</v>
      </c>
      <c r="H35" s="620">
        <v>18000</v>
      </c>
      <c r="I35" s="86"/>
    </row>
    <row r="36" spans="1:9" x14ac:dyDescent="0.2">
      <c r="A36" s="28">
        <v>15301</v>
      </c>
      <c r="B36" s="28" t="s">
        <v>234</v>
      </c>
      <c r="C36" s="325">
        <v>5954.85</v>
      </c>
      <c r="D36" s="620">
        <v>6263.79</v>
      </c>
      <c r="E36" s="620">
        <v>7945.4700000000012</v>
      </c>
      <c r="F36" s="620">
        <v>13181.63</v>
      </c>
      <c r="G36" s="620">
        <v>8206.1899999999987</v>
      </c>
      <c r="H36" s="620">
        <v>12500</v>
      </c>
      <c r="I36" s="86"/>
    </row>
    <row r="37" spans="1:9" x14ac:dyDescent="0.2">
      <c r="A37" s="28">
        <v>15302</v>
      </c>
      <c r="B37" s="28" t="s">
        <v>433</v>
      </c>
      <c r="C37" s="325">
        <v>4926.2299999999996</v>
      </c>
      <c r="D37" s="620">
        <v>11113.86</v>
      </c>
      <c r="E37" s="620">
        <v>9635.7499999999982</v>
      </c>
      <c r="F37" s="620">
        <v>9821.2000000000007</v>
      </c>
      <c r="G37" s="620">
        <v>6483.99</v>
      </c>
      <c r="H37" s="620">
        <v>9500</v>
      </c>
      <c r="I37" s="86"/>
    </row>
    <row r="38" spans="1:9" x14ac:dyDescent="0.2">
      <c r="A38" s="28">
        <v>15310</v>
      </c>
      <c r="B38" s="28" t="s">
        <v>236</v>
      </c>
      <c r="C38" s="325">
        <v>883.06</v>
      </c>
      <c r="D38" s="620">
        <v>2588.65</v>
      </c>
      <c r="E38" s="620">
        <v>2075.67</v>
      </c>
      <c r="F38" s="620">
        <v>2449.7400000000002</v>
      </c>
      <c r="G38" s="620">
        <v>1067.01</v>
      </c>
      <c r="H38" s="620">
        <v>2200</v>
      </c>
      <c r="I38" s="86"/>
    </row>
    <row r="39" spans="1:9" x14ac:dyDescent="0.2">
      <c r="A39" s="28">
        <v>15312</v>
      </c>
      <c r="B39" s="28" t="s">
        <v>237</v>
      </c>
      <c r="C39" s="325">
        <v>174.46</v>
      </c>
      <c r="D39" s="620">
        <v>1817.9199999999998</v>
      </c>
      <c r="E39" s="620">
        <v>188.76000000000005</v>
      </c>
      <c r="F39" s="620">
        <v>208.72999999999996</v>
      </c>
      <c r="G39" s="620">
        <v>194.48000000000002</v>
      </c>
      <c r="H39" s="620">
        <v>200</v>
      </c>
      <c r="I39" s="86"/>
    </row>
    <row r="40" spans="1:9" x14ac:dyDescent="0.2">
      <c r="A40" s="28">
        <v>15314</v>
      </c>
      <c r="B40" s="28" t="s">
        <v>238</v>
      </c>
      <c r="C40" s="325">
        <v>269.52</v>
      </c>
      <c r="D40" s="620">
        <v>768.74</v>
      </c>
      <c r="E40" s="620">
        <v>3500</v>
      </c>
      <c r="F40" s="620">
        <v>6814.93</v>
      </c>
      <c r="G40" s="620">
        <v>650</v>
      </c>
      <c r="H40" s="620">
        <v>3000</v>
      </c>
      <c r="I40" s="86"/>
    </row>
    <row r="41" spans="1:9" x14ac:dyDescent="0.2">
      <c r="A41" s="28">
        <v>15401</v>
      </c>
      <c r="B41" s="28" t="s">
        <v>583</v>
      </c>
      <c r="C41" s="325">
        <v>5148.5</v>
      </c>
      <c r="D41" s="620">
        <v>2533.37</v>
      </c>
      <c r="E41" s="620">
        <v>2274.5699999999997</v>
      </c>
      <c r="F41" s="620">
        <v>9328.36</v>
      </c>
      <c r="G41" s="620">
        <v>10769.630000000001</v>
      </c>
      <c r="H41" s="620">
        <v>12000</v>
      </c>
      <c r="I41" s="86"/>
    </row>
    <row r="42" spans="1:9" x14ac:dyDescent="0.2">
      <c r="A42" s="28">
        <v>15402</v>
      </c>
      <c r="B42" s="28" t="s">
        <v>624</v>
      </c>
      <c r="C42" s="325">
        <v>27247.219999999994</v>
      </c>
      <c r="D42" s="620">
        <v>21651.879999999997</v>
      </c>
      <c r="E42" s="620">
        <v>26005.96</v>
      </c>
      <c r="F42" s="620">
        <v>27413.360000000001</v>
      </c>
      <c r="G42" s="620">
        <v>27967.289999999994</v>
      </c>
      <c r="H42" s="620">
        <v>30000</v>
      </c>
      <c r="I42" s="86"/>
    </row>
    <row r="43" spans="1:9" x14ac:dyDescent="0.2">
      <c r="A43" s="28">
        <v>15703</v>
      </c>
      <c r="B43" s="28" t="s">
        <v>432</v>
      </c>
      <c r="C43" s="325">
        <v>1702.2499999999998</v>
      </c>
      <c r="D43" s="620">
        <v>1005.8699999999999</v>
      </c>
      <c r="E43" s="620">
        <v>743.58999999999992</v>
      </c>
      <c r="F43" s="620">
        <v>467.91999999999996</v>
      </c>
      <c r="G43" s="620">
        <v>0.66</v>
      </c>
      <c r="H43" s="620">
        <v>0.7</v>
      </c>
      <c r="I43" s="86"/>
    </row>
    <row r="44" spans="1:9" x14ac:dyDescent="0.2">
      <c r="A44" s="28">
        <v>15799</v>
      </c>
      <c r="B44" s="28" t="s">
        <v>24</v>
      </c>
      <c r="C44" s="325">
        <v>28749.200000000001</v>
      </c>
      <c r="D44" s="620">
        <v>8581.74</v>
      </c>
      <c r="E44" s="620">
        <v>18848.330000000002</v>
      </c>
      <c r="F44" s="620">
        <v>20524.39</v>
      </c>
      <c r="G44" s="620">
        <v>25878.959999999995</v>
      </c>
      <c r="H44" s="620">
        <v>32000</v>
      </c>
      <c r="I44" s="86"/>
    </row>
    <row r="45" spans="1:9" x14ac:dyDescent="0.2">
      <c r="A45" s="28">
        <v>31308</v>
      </c>
      <c r="B45" s="28" t="s">
        <v>505</v>
      </c>
      <c r="C45" s="325"/>
      <c r="D45" s="620"/>
      <c r="E45" s="620"/>
      <c r="F45" s="620"/>
      <c r="G45" s="620"/>
      <c r="H45" s="620"/>
      <c r="I45" s="86"/>
    </row>
    <row r="46" spans="1:9" x14ac:dyDescent="0.2">
      <c r="A46" s="36">
        <v>12122</v>
      </c>
      <c r="B46" s="36" t="s">
        <v>601</v>
      </c>
      <c r="C46" s="620">
        <v>5904</v>
      </c>
      <c r="D46" s="620">
        <v>1901.25</v>
      </c>
      <c r="E46" s="620">
        <v>2711</v>
      </c>
      <c r="F46" s="620">
        <v>2160.25</v>
      </c>
      <c r="G46" s="620">
        <v>0</v>
      </c>
      <c r="H46" s="620">
        <v>0</v>
      </c>
      <c r="I46" s="86"/>
    </row>
    <row r="47" spans="1:9" x14ac:dyDescent="0.2">
      <c r="A47" s="36">
        <v>16301</v>
      </c>
      <c r="B47" s="36" t="s">
        <v>54</v>
      </c>
      <c r="C47" s="326">
        <v>21000</v>
      </c>
      <c r="D47" s="326">
        <v>7000</v>
      </c>
      <c r="E47" s="620">
        <v>2500</v>
      </c>
      <c r="F47" s="620">
        <v>0</v>
      </c>
      <c r="G47" s="620">
        <v>3490.75</v>
      </c>
      <c r="H47" s="620">
        <v>3000</v>
      </c>
      <c r="I47" s="86"/>
    </row>
    <row r="48" spans="1:9" x14ac:dyDescent="0.2">
      <c r="A48" s="36">
        <v>21101</v>
      </c>
      <c r="B48" s="36" t="s">
        <v>762</v>
      </c>
      <c r="C48" s="57">
        <v>0</v>
      </c>
      <c r="D48" s="326">
        <v>6325</v>
      </c>
      <c r="E48" s="326">
        <v>0</v>
      </c>
      <c r="F48" s="620">
        <v>0</v>
      </c>
      <c r="G48" s="620"/>
      <c r="H48" s="620">
        <v>3000</v>
      </c>
      <c r="I48" s="86"/>
    </row>
    <row r="49" spans="1:9" x14ac:dyDescent="0.2">
      <c r="A49" s="36"/>
      <c r="B49" s="36"/>
      <c r="C49" s="56"/>
      <c r="D49" s="57"/>
      <c r="E49" s="326"/>
      <c r="F49" s="325"/>
      <c r="G49" s="325"/>
      <c r="H49" s="620"/>
      <c r="I49" s="86"/>
    </row>
    <row r="50" spans="1:9" x14ac:dyDescent="0.2">
      <c r="A50" s="1127" t="s">
        <v>25</v>
      </c>
      <c r="B50" s="1128"/>
      <c r="C50" s="327">
        <f t="shared" ref="C50:G50" si="0">SUM(C5:C49)</f>
        <v>1581693.2</v>
      </c>
      <c r="D50" s="327">
        <f t="shared" si="0"/>
        <v>1378336.2999999998</v>
      </c>
      <c r="E50" s="327">
        <f t="shared" si="0"/>
        <v>1687255.9100000001</v>
      </c>
      <c r="F50" s="327">
        <f t="shared" si="0"/>
        <v>1876620.5649999999</v>
      </c>
      <c r="G50" s="327">
        <f t="shared" si="0"/>
        <v>1855409.9479999996</v>
      </c>
      <c r="H50" s="1096">
        <f>SUM(H5:H49)</f>
        <v>2223220.7000000002</v>
      </c>
      <c r="I50" s="86"/>
    </row>
    <row r="51" spans="1:9" x14ac:dyDescent="0.2">
      <c r="F51" s="29" t="s">
        <v>67</v>
      </c>
      <c r="G51" s="55"/>
      <c r="H51" s="55"/>
    </row>
    <row r="52" spans="1:9" x14ac:dyDescent="0.2">
      <c r="D52" s="44" t="s">
        <v>56</v>
      </c>
      <c r="E52" s="44" t="s">
        <v>55</v>
      </c>
      <c r="G52" s="55"/>
      <c r="H52" s="55">
        <f>H50-G50</f>
        <v>367810.75200000056</v>
      </c>
      <c r="I52" s="30" t="s">
        <v>921</v>
      </c>
    </row>
    <row r="53" spans="1:9" ht="13.5" thickBot="1" x14ac:dyDescent="0.25">
      <c r="A53" s="36">
        <v>1620101</v>
      </c>
      <c r="B53" s="1125" t="s">
        <v>743</v>
      </c>
      <c r="C53" s="1126"/>
      <c r="D53" s="898"/>
      <c r="E53" s="58"/>
      <c r="F53" s="57">
        <f>E53</f>
        <v>0</v>
      </c>
      <c r="G53" s="55"/>
      <c r="H53" s="982">
        <f>F65-101469.73</f>
        <v>373492.66000000003</v>
      </c>
      <c r="I53" s="30" t="s">
        <v>922</v>
      </c>
    </row>
    <row r="54" spans="1:9" x14ac:dyDescent="0.2">
      <c r="A54" s="36">
        <v>2220101</v>
      </c>
      <c r="B54" s="1125" t="s">
        <v>744</v>
      </c>
      <c r="C54" s="1126"/>
      <c r="D54" s="898"/>
      <c r="E54" s="58"/>
      <c r="F54" s="57">
        <f>E54</f>
        <v>0</v>
      </c>
      <c r="G54" s="55"/>
      <c r="H54" s="55">
        <f>SUM(H52:H53)</f>
        <v>741303.41200000059</v>
      </c>
      <c r="I54" s="30" t="s">
        <v>816</v>
      </c>
    </row>
    <row r="55" spans="1:9" x14ac:dyDescent="0.2">
      <c r="A55" s="36">
        <v>2220201</v>
      </c>
      <c r="B55" s="1125" t="s">
        <v>740</v>
      </c>
      <c r="C55" s="1126"/>
      <c r="D55" s="898"/>
      <c r="E55" s="58"/>
      <c r="F55" s="57">
        <f>E55</f>
        <v>0</v>
      </c>
      <c r="G55" s="55"/>
      <c r="H55" s="55"/>
    </row>
    <row r="56" spans="1:9" x14ac:dyDescent="0.2">
      <c r="A56" s="36">
        <v>2220501</v>
      </c>
      <c r="B56" s="1125" t="s">
        <v>972</v>
      </c>
      <c r="C56" s="1126"/>
      <c r="D56" s="58"/>
      <c r="E56" s="58">
        <f>22500</f>
        <v>22500</v>
      </c>
      <c r="F56" s="1106">
        <f>E56</f>
        <v>22500</v>
      </c>
      <c r="G56" s="55"/>
      <c r="H56" s="55"/>
    </row>
    <row r="57" spans="1:9" x14ac:dyDescent="0.2">
      <c r="A57" s="36">
        <v>1620701</v>
      </c>
      <c r="B57" s="1125" t="s">
        <v>909</v>
      </c>
      <c r="C57" s="1126"/>
      <c r="D57" s="58">
        <v>54554.57</v>
      </c>
      <c r="E57" s="58">
        <f>D57*12</f>
        <v>654654.84</v>
      </c>
      <c r="F57" s="1099">
        <f>+E57</f>
        <v>654654.84</v>
      </c>
      <c r="G57" s="55"/>
      <c r="H57" s="55"/>
    </row>
    <row r="58" spans="1:9" x14ac:dyDescent="0.2">
      <c r="A58" s="36">
        <v>1620701</v>
      </c>
      <c r="B58" s="1125" t="s">
        <v>907</v>
      </c>
      <c r="C58" s="1126"/>
      <c r="D58" s="58"/>
      <c r="E58" s="58">
        <f t="shared" ref="E58:E60" si="1">D58*12</f>
        <v>0</v>
      </c>
      <c r="F58" s="57">
        <f t="shared" ref="F58:F60" si="2">+E58</f>
        <v>0</v>
      </c>
      <c r="G58" s="55" t="s">
        <v>919</v>
      </c>
      <c r="H58" s="602"/>
    </row>
    <row r="59" spans="1:9" x14ac:dyDescent="0.2">
      <c r="A59" s="36">
        <v>1620703</v>
      </c>
      <c r="B59" s="1125" t="s">
        <v>915</v>
      </c>
      <c r="C59" s="1126"/>
      <c r="D59" s="58">
        <f>E59/12</f>
        <v>62449</v>
      </c>
      <c r="E59" s="58">
        <v>749388</v>
      </c>
      <c r="F59" s="1106">
        <f>E59</f>
        <v>749388</v>
      </c>
      <c r="G59" s="55" t="s">
        <v>920</v>
      </c>
      <c r="H59" s="602"/>
    </row>
    <row r="60" spans="1:9" x14ac:dyDescent="0.2">
      <c r="A60" s="36">
        <v>2220701</v>
      </c>
      <c r="B60" s="1125" t="s">
        <v>741</v>
      </c>
      <c r="C60" s="1126"/>
      <c r="D60" s="58"/>
      <c r="E60" s="58">
        <f t="shared" si="1"/>
        <v>0</v>
      </c>
      <c r="F60" s="57">
        <f t="shared" si="2"/>
        <v>0</v>
      </c>
      <c r="G60" s="55"/>
      <c r="H60" s="602"/>
    </row>
    <row r="61" spans="1:9" x14ac:dyDescent="0.2">
      <c r="D61" s="43">
        <f>SUM(D57:D58)</f>
        <v>54554.57</v>
      </c>
      <c r="E61" s="30" t="s">
        <v>63</v>
      </c>
      <c r="F61" s="55">
        <f>SUM(F53:F60)</f>
        <v>1426542.8399999999</v>
      </c>
      <c r="G61" s="55"/>
      <c r="H61" s="602"/>
    </row>
    <row r="62" spans="1:9" x14ac:dyDescent="0.2">
      <c r="H62" s="602"/>
    </row>
    <row r="63" spans="1:9" x14ac:dyDescent="0.2">
      <c r="C63" s="881"/>
      <c r="D63" s="881"/>
      <c r="E63" s="882" t="s">
        <v>68</v>
      </c>
      <c r="F63" s="883">
        <f>+F61+H50</f>
        <v>3649763.54</v>
      </c>
      <c r="G63" s="55"/>
      <c r="H63" s="55"/>
    </row>
    <row r="64" spans="1:9" x14ac:dyDescent="0.2">
      <c r="C64" s="881"/>
      <c r="D64" s="881"/>
      <c r="E64" s="884" t="s">
        <v>69</v>
      </c>
      <c r="F64" s="885">
        <f>+SdoBcos!E38</f>
        <v>543569.94999999995</v>
      </c>
      <c r="G64" s="55">
        <f>F64-SdoBcos!D26</f>
        <v>0</v>
      </c>
      <c r="H64" s="602"/>
    </row>
    <row r="65" spans="2:8" x14ac:dyDescent="0.2">
      <c r="C65" s="881"/>
      <c r="D65" s="881"/>
      <c r="E65" s="884" t="s">
        <v>680</v>
      </c>
      <c r="F65" s="885">
        <f>SdoBcos!E47</f>
        <v>474962.39</v>
      </c>
      <c r="G65" s="55">
        <f>F65-SdoBcos!E47</f>
        <v>0</v>
      </c>
      <c r="H65" s="602"/>
    </row>
    <row r="66" spans="2:8" ht="13.5" thickBot="1" x14ac:dyDescent="0.25">
      <c r="C66" s="881"/>
      <c r="D66" s="881"/>
      <c r="E66" s="884" t="s">
        <v>70</v>
      </c>
      <c r="F66" s="886">
        <f>SUM(F63:F65)</f>
        <v>4668295.88</v>
      </c>
      <c r="G66" s="55"/>
      <c r="H66" s="55"/>
    </row>
    <row r="67" spans="2:8" ht="13.5" thickTop="1" x14ac:dyDescent="0.2">
      <c r="G67" s="55"/>
      <c r="H67" s="55"/>
    </row>
    <row r="68" spans="2:8" x14ac:dyDescent="0.2">
      <c r="F68" s="59"/>
      <c r="G68" s="60"/>
      <c r="H68" s="60"/>
    </row>
    <row r="69" spans="2:8" x14ac:dyDescent="0.2">
      <c r="B69" s="1115" t="s">
        <v>71</v>
      </c>
      <c r="C69" s="1116"/>
      <c r="D69" s="1116"/>
      <c r="E69" s="1117"/>
      <c r="F69" s="43"/>
      <c r="H69" s="43"/>
    </row>
    <row r="70" spans="2:8" x14ac:dyDescent="0.2">
      <c r="B70" s="1118"/>
      <c r="C70" s="1119"/>
      <c r="D70" s="1119"/>
      <c r="E70" s="1120"/>
      <c r="H70" s="43"/>
    </row>
    <row r="71" spans="2:8" x14ac:dyDescent="0.2">
      <c r="B71" s="1118"/>
      <c r="C71" s="1119"/>
      <c r="D71" s="1119"/>
      <c r="E71" s="1120"/>
    </row>
    <row r="72" spans="2:8" x14ac:dyDescent="0.2">
      <c r="B72" s="1121"/>
      <c r="C72" s="1122"/>
      <c r="D72" s="1122"/>
      <c r="E72" s="1123"/>
    </row>
    <row r="74" spans="2:8" x14ac:dyDescent="0.2">
      <c r="D74" s="61"/>
    </row>
    <row r="75" spans="2:8" x14ac:dyDescent="0.2">
      <c r="D75" s="61"/>
    </row>
    <row r="76" spans="2:8" ht="12.75" customHeight="1" x14ac:dyDescent="0.2">
      <c r="D76" s="61"/>
    </row>
    <row r="77" spans="2:8" x14ac:dyDescent="0.2">
      <c r="D77" s="61"/>
    </row>
    <row r="78" spans="2:8" x14ac:dyDescent="0.2">
      <c r="D78" s="61"/>
    </row>
    <row r="79" spans="2:8" x14ac:dyDescent="0.2">
      <c r="D79" s="61"/>
    </row>
    <row r="80" spans="2:8" x14ac:dyDescent="0.2">
      <c r="D80" s="61"/>
    </row>
    <row r="81" spans="4:4" x14ac:dyDescent="0.2">
      <c r="D81" s="61"/>
    </row>
    <row r="82" spans="4:4" x14ac:dyDescent="0.2">
      <c r="D82" s="61"/>
    </row>
    <row r="83" spans="4:4" x14ac:dyDescent="0.2">
      <c r="D83" s="61"/>
    </row>
    <row r="84" spans="4:4" x14ac:dyDescent="0.2">
      <c r="D84" s="61"/>
    </row>
    <row r="85" spans="4:4" x14ac:dyDescent="0.2">
      <c r="D85" s="61"/>
    </row>
    <row r="86" spans="4:4" x14ac:dyDescent="0.2">
      <c r="D86" s="61"/>
    </row>
    <row r="87" spans="4:4" x14ac:dyDescent="0.2">
      <c r="D87" s="61"/>
    </row>
    <row r="88" spans="4:4" x14ac:dyDescent="0.2">
      <c r="D88" s="61"/>
    </row>
    <row r="89" spans="4:4" x14ac:dyDescent="0.2">
      <c r="D89" s="61"/>
    </row>
    <row r="90" spans="4:4" x14ac:dyDescent="0.2">
      <c r="D90" s="61"/>
    </row>
    <row r="91" spans="4:4" x14ac:dyDescent="0.2">
      <c r="D91" s="61"/>
    </row>
    <row r="92" spans="4:4" x14ac:dyDescent="0.2">
      <c r="D92" s="61"/>
    </row>
    <row r="93" spans="4:4" x14ac:dyDescent="0.2">
      <c r="D93" s="61"/>
    </row>
    <row r="94" spans="4:4" x14ac:dyDescent="0.2">
      <c r="D94" s="61"/>
    </row>
    <row r="95" spans="4:4" x14ac:dyDescent="0.2">
      <c r="D95" s="61"/>
    </row>
    <row r="96" spans="4:4" x14ac:dyDescent="0.2">
      <c r="D96" s="61"/>
    </row>
    <row r="97" spans="4:4" x14ac:dyDescent="0.2">
      <c r="D97" s="61"/>
    </row>
    <row r="98" spans="4:4" x14ac:dyDescent="0.2">
      <c r="D98" s="61"/>
    </row>
    <row r="99" spans="4:4" x14ac:dyDescent="0.2">
      <c r="D99" s="61"/>
    </row>
    <row r="100" spans="4:4" x14ac:dyDescent="0.2">
      <c r="D100" s="61"/>
    </row>
    <row r="101" spans="4:4" x14ac:dyDescent="0.2">
      <c r="D101" s="61"/>
    </row>
    <row r="102" spans="4:4" x14ac:dyDescent="0.2">
      <c r="D102" s="61"/>
    </row>
    <row r="103" spans="4:4" x14ac:dyDescent="0.2">
      <c r="D103" s="61"/>
    </row>
    <row r="104" spans="4:4" x14ac:dyDescent="0.2">
      <c r="D104" s="61"/>
    </row>
    <row r="105" spans="4:4" x14ac:dyDescent="0.2">
      <c r="D105" s="61"/>
    </row>
    <row r="106" spans="4:4" x14ac:dyDescent="0.2">
      <c r="D106" s="61"/>
    </row>
    <row r="107" spans="4:4" x14ac:dyDescent="0.2">
      <c r="D107" s="61"/>
    </row>
    <row r="108" spans="4:4" x14ac:dyDescent="0.2">
      <c r="D108" s="61"/>
    </row>
    <row r="109" spans="4:4" x14ac:dyDescent="0.2">
      <c r="D109" s="61"/>
    </row>
    <row r="110" spans="4:4" x14ac:dyDescent="0.2">
      <c r="D110" s="61"/>
    </row>
    <row r="111" spans="4:4" x14ac:dyDescent="0.2">
      <c r="D111" s="61"/>
    </row>
    <row r="112" spans="4:4" x14ac:dyDescent="0.2">
      <c r="D112" s="61"/>
    </row>
    <row r="113" spans="4:4" x14ac:dyDescent="0.2">
      <c r="D113" s="61"/>
    </row>
    <row r="114" spans="4:4" x14ac:dyDescent="0.2">
      <c r="D114" s="61"/>
    </row>
    <row r="115" spans="4:4" x14ac:dyDescent="0.2">
      <c r="D115" s="61"/>
    </row>
    <row r="116" spans="4:4" x14ac:dyDescent="0.2">
      <c r="D116" s="61"/>
    </row>
    <row r="117" spans="4:4" x14ac:dyDescent="0.2">
      <c r="D117" s="61"/>
    </row>
    <row r="118" spans="4:4" x14ac:dyDescent="0.2">
      <c r="D118" s="61"/>
    </row>
  </sheetData>
  <mergeCells count="12">
    <mergeCell ref="B69:E72"/>
    <mergeCell ref="A2:F2"/>
    <mergeCell ref="A1:F1"/>
    <mergeCell ref="B56:C56"/>
    <mergeCell ref="B60:C60"/>
    <mergeCell ref="B58:C58"/>
    <mergeCell ref="B57:C57"/>
    <mergeCell ref="B53:C53"/>
    <mergeCell ref="B54:C54"/>
    <mergeCell ref="B55:C55"/>
    <mergeCell ref="A50:B50"/>
    <mergeCell ref="B59:C59"/>
  </mergeCells>
  <phoneticPr fontId="0" type="noConversion"/>
  <printOptions horizontalCentered="1" verticalCentered="1"/>
  <pageMargins left="0.74803149606299213" right="0.74803149606299213" top="0.98425196850393704" bottom="0.98425196850393704" header="0" footer="0"/>
  <pageSetup scale="70" orientation="portrait" horizontalDpi="4294967294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6"/>
  <dimension ref="A1:J247"/>
  <sheetViews>
    <sheetView showGridLines="0" topLeftCell="A77" zoomScale="140" zoomScaleNormal="140" workbookViewId="0">
      <selection activeCell="D78" sqref="D78"/>
    </sheetView>
  </sheetViews>
  <sheetFormatPr baseColWidth="10" defaultColWidth="11.42578125" defaultRowHeight="12.75" x14ac:dyDescent="0.2"/>
  <cols>
    <col min="1" max="1" width="10.42578125" style="30" customWidth="1"/>
    <col min="2" max="2" width="49.140625" style="30" customWidth="1"/>
    <col min="3" max="3" width="15.5703125" style="30" customWidth="1"/>
    <col min="4" max="4" width="13.85546875" style="30" customWidth="1"/>
    <col min="5" max="5" width="7.42578125" style="30" customWidth="1"/>
    <col min="6" max="7" width="16.28515625" style="30" customWidth="1"/>
    <col min="8" max="8" width="9.7109375" style="30" bestFit="1" customWidth="1"/>
    <col min="9" max="9" width="16.140625" style="30" bestFit="1" customWidth="1"/>
    <col min="10" max="10" width="15.140625" style="30" bestFit="1" customWidth="1"/>
    <col min="11" max="16384" width="11.42578125" style="30"/>
  </cols>
  <sheetData>
    <row r="1" spans="1:10" x14ac:dyDescent="0.2">
      <c r="A1" s="1114" t="s">
        <v>26</v>
      </c>
      <c r="B1" s="1114"/>
      <c r="C1" s="1114"/>
      <c r="D1" s="1114"/>
      <c r="E1" s="1114"/>
      <c r="F1" s="1114"/>
      <c r="G1" s="1114"/>
      <c r="H1" s="1114"/>
      <c r="I1" s="1114"/>
    </row>
    <row r="2" spans="1:10" x14ac:dyDescent="0.2">
      <c r="A2" s="1114" t="s">
        <v>60</v>
      </c>
      <c r="B2" s="1114"/>
      <c r="C2" s="1114"/>
      <c r="D2" s="1114"/>
      <c r="E2" s="1114"/>
      <c r="F2" s="1114"/>
      <c r="G2" s="1114"/>
      <c r="H2" s="1114"/>
      <c r="I2" s="1114"/>
    </row>
    <row r="3" spans="1:10" x14ac:dyDescent="0.2">
      <c r="A3" s="1114" t="s">
        <v>27</v>
      </c>
      <c r="B3" s="1114"/>
      <c r="C3" s="1114"/>
      <c r="D3" s="1114"/>
      <c r="E3" s="1114"/>
      <c r="F3" s="1114"/>
      <c r="G3" s="1114"/>
      <c r="H3" s="1114"/>
      <c r="I3" s="1114"/>
    </row>
    <row r="4" spans="1:10" x14ac:dyDescent="0.2">
      <c r="A4" s="29"/>
      <c r="B4" s="29"/>
      <c r="C4" s="29"/>
      <c r="D4" s="29"/>
      <c r="E4" s="29"/>
      <c r="F4" s="29"/>
      <c r="G4" s="29"/>
      <c r="H4" s="29"/>
      <c r="I4" s="29"/>
    </row>
    <row r="5" spans="1:10" x14ac:dyDescent="0.2">
      <c r="A5" s="1131" t="s">
        <v>269</v>
      </c>
      <c r="B5" s="1131"/>
      <c r="C5" s="1131"/>
      <c r="D5" s="1131"/>
      <c r="E5" s="1131"/>
      <c r="F5" s="1131"/>
      <c r="G5" s="1131"/>
      <c r="H5" s="1131"/>
      <c r="I5" s="1131"/>
    </row>
    <row r="6" spans="1:10" x14ac:dyDescent="0.2">
      <c r="A6" s="31" t="s">
        <v>946</v>
      </c>
      <c r="B6" s="31"/>
      <c r="C6" s="31"/>
      <c r="D6" s="31"/>
      <c r="E6" s="31"/>
      <c r="F6" s="31"/>
      <c r="G6" s="31"/>
      <c r="H6" s="31"/>
      <c r="I6" s="31"/>
    </row>
    <row r="7" spans="1:10" ht="13.5" thickBot="1" x14ac:dyDescent="0.25"/>
    <row r="8" spans="1:10" s="32" customFormat="1" ht="49.5" thickTop="1" thickBot="1" x14ac:dyDescent="0.25">
      <c r="A8" s="90" t="s">
        <v>28</v>
      </c>
      <c r="B8" s="91" t="s">
        <v>29</v>
      </c>
      <c r="C8" s="92" t="s">
        <v>53</v>
      </c>
      <c r="D8" s="92" t="s">
        <v>52</v>
      </c>
      <c r="E8" s="92" t="s">
        <v>135</v>
      </c>
      <c r="F8" s="92" t="s">
        <v>136</v>
      </c>
      <c r="G8" s="92" t="s">
        <v>913</v>
      </c>
      <c r="H8" s="92" t="s">
        <v>54</v>
      </c>
      <c r="I8" s="93" t="s">
        <v>31</v>
      </c>
    </row>
    <row r="9" spans="1:10" ht="13.5" thickTop="1" x14ac:dyDescent="0.2">
      <c r="A9" s="378"/>
      <c r="B9" s="379"/>
      <c r="C9" s="380" t="s">
        <v>47</v>
      </c>
      <c r="D9" s="381" t="s">
        <v>48</v>
      </c>
      <c r="E9" s="381" t="s">
        <v>49</v>
      </c>
      <c r="F9" s="381" t="s">
        <v>50</v>
      </c>
      <c r="G9" s="381" t="s">
        <v>911</v>
      </c>
      <c r="H9" s="381" t="s">
        <v>51</v>
      </c>
      <c r="I9" s="382"/>
    </row>
    <row r="10" spans="1:10" x14ac:dyDescent="0.2">
      <c r="A10" s="33">
        <v>11</v>
      </c>
      <c r="B10" s="34" t="s">
        <v>32</v>
      </c>
      <c r="C10" s="363"/>
      <c r="D10" s="364">
        <f>+D11</f>
        <v>861420</v>
      </c>
      <c r="E10" s="364"/>
      <c r="F10" s="364"/>
      <c r="G10" s="364"/>
      <c r="H10" s="364"/>
      <c r="I10" s="365">
        <f>+I11</f>
        <v>861420</v>
      </c>
    </row>
    <row r="11" spans="1:10" x14ac:dyDescent="0.2">
      <c r="A11" s="33">
        <v>118</v>
      </c>
      <c r="B11" s="34" t="s">
        <v>33</v>
      </c>
      <c r="C11" s="363"/>
      <c r="D11" s="366">
        <f>SUM(D12:D21)</f>
        <v>861420</v>
      </c>
      <c r="E11" s="366"/>
      <c r="F11" s="366"/>
      <c r="G11" s="366"/>
      <c r="H11" s="366"/>
      <c r="I11" s="367">
        <f>SUM(I12:I21)</f>
        <v>861420</v>
      </c>
    </row>
    <row r="12" spans="1:10" x14ac:dyDescent="0.2">
      <c r="A12" s="383">
        <v>11801</v>
      </c>
      <c r="B12" s="28" t="s">
        <v>16</v>
      </c>
      <c r="C12" s="368"/>
      <c r="D12" s="369">
        <f>+ProyIng!H5</f>
        <v>648900</v>
      </c>
      <c r="E12" s="370"/>
      <c r="F12" s="370"/>
      <c r="G12" s="370"/>
      <c r="H12" s="370"/>
      <c r="I12" s="371">
        <f t="shared" ref="I12:I21" si="0">SUM(C12:H12)</f>
        <v>648900</v>
      </c>
      <c r="J12" s="601"/>
    </row>
    <row r="13" spans="1:10" x14ac:dyDescent="0.2">
      <c r="A13" s="383">
        <v>11802</v>
      </c>
      <c r="B13" s="28" t="s">
        <v>17</v>
      </c>
      <c r="C13" s="368"/>
      <c r="D13" s="369">
        <f>+ProyIng!H6</f>
        <v>1000</v>
      </c>
      <c r="E13" s="370"/>
      <c r="F13" s="370"/>
      <c r="G13" s="370"/>
      <c r="H13" s="370"/>
      <c r="I13" s="371">
        <f t="shared" si="0"/>
        <v>1000</v>
      </c>
    </row>
    <row r="14" spans="1:10" x14ac:dyDescent="0.2">
      <c r="A14" s="383">
        <v>11803</v>
      </c>
      <c r="B14" s="28" t="s">
        <v>220</v>
      </c>
      <c r="C14" s="368"/>
      <c r="D14" s="369">
        <f>+ProyIng!H7</f>
        <v>118000</v>
      </c>
      <c r="E14" s="370"/>
      <c r="F14" s="370"/>
      <c r="G14" s="370"/>
      <c r="H14" s="370"/>
      <c r="I14" s="371">
        <f t="shared" si="0"/>
        <v>118000</v>
      </c>
    </row>
    <row r="15" spans="1:10" x14ac:dyDescent="0.2">
      <c r="A15" s="383">
        <v>11804</v>
      </c>
      <c r="B15" s="28" t="s">
        <v>18</v>
      </c>
      <c r="C15" s="368"/>
      <c r="D15" s="369">
        <f>+ProyIng!H8</f>
        <v>25000</v>
      </c>
      <c r="E15" s="370"/>
      <c r="F15" s="370"/>
      <c r="G15" s="370"/>
      <c r="H15" s="370"/>
      <c r="I15" s="371">
        <f t="shared" si="0"/>
        <v>25000</v>
      </c>
    </row>
    <row r="16" spans="1:10" x14ac:dyDescent="0.2">
      <c r="A16" s="383">
        <v>11806</v>
      </c>
      <c r="B16" s="28" t="s">
        <v>221</v>
      </c>
      <c r="C16" s="368"/>
      <c r="D16" s="369">
        <f>+ProyIng!H9</f>
        <v>250</v>
      </c>
      <c r="E16" s="370"/>
      <c r="F16" s="370"/>
      <c r="G16" s="370"/>
      <c r="H16" s="370"/>
      <c r="I16" s="371">
        <f t="shared" si="0"/>
        <v>250</v>
      </c>
    </row>
    <row r="17" spans="1:9" x14ac:dyDescent="0.2">
      <c r="A17" s="383">
        <v>11807</v>
      </c>
      <c r="B17" s="28" t="s">
        <v>222</v>
      </c>
      <c r="C17" s="368"/>
      <c r="D17" s="369">
        <f>+ProyIng!H10</f>
        <v>100</v>
      </c>
      <c r="E17" s="370"/>
      <c r="F17" s="370"/>
      <c r="G17" s="370"/>
      <c r="H17" s="370"/>
      <c r="I17" s="371">
        <f t="shared" si="0"/>
        <v>100</v>
      </c>
    </row>
    <row r="18" spans="1:9" x14ac:dyDescent="0.2">
      <c r="A18" s="383">
        <v>11808</v>
      </c>
      <c r="B18" s="28" t="s">
        <v>223</v>
      </c>
      <c r="C18" s="368"/>
      <c r="D18" s="369">
        <f>+ProyIng!H11</f>
        <v>170</v>
      </c>
      <c r="E18" s="370"/>
      <c r="F18" s="370"/>
      <c r="G18" s="370"/>
      <c r="H18" s="370"/>
      <c r="I18" s="371">
        <f t="shared" si="0"/>
        <v>170</v>
      </c>
    </row>
    <row r="19" spans="1:9" x14ac:dyDescent="0.2">
      <c r="A19" s="383">
        <v>11810</v>
      </c>
      <c r="B19" s="28" t="s">
        <v>224</v>
      </c>
      <c r="C19" s="368"/>
      <c r="D19" s="369">
        <f>+ProyIng!H12</f>
        <v>10000</v>
      </c>
      <c r="E19" s="370"/>
      <c r="F19" s="370"/>
      <c r="G19" s="370"/>
      <c r="H19" s="370"/>
      <c r="I19" s="371">
        <f t="shared" si="0"/>
        <v>10000</v>
      </c>
    </row>
    <row r="20" spans="1:9" x14ac:dyDescent="0.2">
      <c r="A20" s="383">
        <v>11817</v>
      </c>
      <c r="B20" s="28" t="s">
        <v>225</v>
      </c>
      <c r="C20" s="368"/>
      <c r="D20" s="369">
        <f>+ProyIng!H13</f>
        <v>48000</v>
      </c>
      <c r="E20" s="370"/>
      <c r="F20" s="370"/>
      <c r="G20" s="370"/>
      <c r="H20" s="370"/>
      <c r="I20" s="371">
        <f t="shared" si="0"/>
        <v>48000</v>
      </c>
    </row>
    <row r="21" spans="1:9" x14ac:dyDescent="0.2">
      <c r="A21" s="383">
        <v>11818</v>
      </c>
      <c r="B21" s="28" t="s">
        <v>226</v>
      </c>
      <c r="C21" s="368"/>
      <c r="D21" s="369">
        <f>+ProyIng!H14</f>
        <v>10000</v>
      </c>
      <c r="E21" s="370"/>
      <c r="F21" s="370"/>
      <c r="G21" s="370"/>
      <c r="H21" s="370"/>
      <c r="I21" s="371">
        <f t="shared" si="0"/>
        <v>10000</v>
      </c>
    </row>
    <row r="22" spans="1:9" x14ac:dyDescent="0.2">
      <c r="A22" s="33">
        <v>12</v>
      </c>
      <c r="B22" s="35" t="s">
        <v>34</v>
      </c>
      <c r="C22" s="368"/>
      <c r="D22" s="372">
        <f>+D23</f>
        <v>1254400</v>
      </c>
      <c r="E22" s="372"/>
      <c r="F22" s="372"/>
      <c r="G22" s="372"/>
      <c r="H22" s="372"/>
      <c r="I22" s="373">
        <f>+I23</f>
        <v>1254400</v>
      </c>
    </row>
    <row r="23" spans="1:9" x14ac:dyDescent="0.2">
      <c r="A23" s="33">
        <v>121</v>
      </c>
      <c r="B23" s="35" t="s">
        <v>35</v>
      </c>
      <c r="C23" s="368"/>
      <c r="D23" s="372">
        <f>SUM(D24:D45)</f>
        <v>1254400</v>
      </c>
      <c r="E23" s="372"/>
      <c r="F23" s="372"/>
      <c r="G23" s="372"/>
      <c r="H23" s="372"/>
      <c r="I23" s="373">
        <f>SUM(I24:I45)</f>
        <v>1254400</v>
      </c>
    </row>
    <row r="24" spans="1:9" x14ac:dyDescent="0.2">
      <c r="A24" s="383">
        <v>12105</v>
      </c>
      <c r="B24" s="28" t="s">
        <v>227</v>
      </c>
      <c r="C24" s="368"/>
      <c r="D24" s="369">
        <f>+ProyIng!H15</f>
        <v>58000</v>
      </c>
      <c r="E24" s="370"/>
      <c r="F24" s="370"/>
      <c r="G24" s="370"/>
      <c r="H24" s="370"/>
      <c r="I24" s="371">
        <f t="shared" ref="I24:I45" si="1">SUM(C24:H24)</f>
        <v>58000</v>
      </c>
    </row>
    <row r="25" spans="1:9" x14ac:dyDescent="0.2">
      <c r="A25" s="383">
        <v>12106</v>
      </c>
      <c r="B25" s="28" t="s">
        <v>228</v>
      </c>
      <c r="C25" s="368"/>
      <c r="D25" s="369">
        <f>+ProyIng!H16</f>
        <v>1800</v>
      </c>
      <c r="E25" s="370"/>
      <c r="F25" s="370"/>
      <c r="G25" s="370"/>
      <c r="H25" s="370"/>
      <c r="I25" s="371">
        <f t="shared" si="1"/>
        <v>1800</v>
      </c>
    </row>
    <row r="26" spans="1:9" x14ac:dyDescent="0.2">
      <c r="A26" s="383">
        <v>12108</v>
      </c>
      <c r="B26" s="28" t="s">
        <v>201</v>
      </c>
      <c r="C26" s="368"/>
      <c r="D26" s="369">
        <f>+ProyIng!H17</f>
        <v>60000</v>
      </c>
      <c r="E26" s="370"/>
      <c r="F26" s="370"/>
      <c r="G26" s="370"/>
      <c r="H26" s="370"/>
      <c r="I26" s="371">
        <f t="shared" si="1"/>
        <v>60000</v>
      </c>
    </row>
    <row r="27" spans="1:9" x14ac:dyDescent="0.2">
      <c r="A27" s="383">
        <v>12109</v>
      </c>
      <c r="B27" s="28" t="s">
        <v>218</v>
      </c>
      <c r="C27" s="368"/>
      <c r="D27" s="369">
        <f>+ProyIng!H18</f>
        <v>110000</v>
      </c>
      <c r="E27" s="370"/>
      <c r="F27" s="370"/>
      <c r="G27" s="370"/>
      <c r="H27" s="370"/>
      <c r="I27" s="371">
        <f t="shared" si="1"/>
        <v>110000</v>
      </c>
    </row>
    <row r="28" spans="1:9" x14ac:dyDescent="0.2">
      <c r="A28" s="764">
        <f>ProyIng!A19</f>
        <v>12123</v>
      </c>
      <c r="B28" s="761" t="str">
        <f>ProyIng!B19</f>
        <v>Baños públicos</v>
      </c>
      <c r="C28" s="765"/>
      <c r="D28" s="766">
        <f>ProyIng!H19</f>
        <v>35000</v>
      </c>
      <c r="E28" s="628"/>
      <c r="F28" s="628"/>
      <c r="G28" s="628"/>
      <c r="H28" s="628"/>
      <c r="I28" s="767">
        <f t="shared" si="1"/>
        <v>35000</v>
      </c>
    </row>
    <row r="29" spans="1:9" x14ac:dyDescent="0.2">
      <c r="A29" s="383">
        <v>12122</v>
      </c>
      <c r="B29" s="28" t="s">
        <v>601</v>
      </c>
      <c r="C29" s="368"/>
      <c r="D29" s="369">
        <f>ProyIng!H46</f>
        <v>0</v>
      </c>
      <c r="E29" s="370"/>
      <c r="F29" s="370"/>
      <c r="G29" s="370"/>
      <c r="H29" s="370"/>
      <c r="I29" s="371">
        <f t="shared" si="1"/>
        <v>0</v>
      </c>
    </row>
    <row r="30" spans="1:9" x14ac:dyDescent="0.2">
      <c r="A30" s="383">
        <v>12111</v>
      </c>
      <c r="B30" s="28" t="s">
        <v>19</v>
      </c>
      <c r="C30" s="368"/>
      <c r="D30" s="369">
        <f>+ProyIng!H20</f>
        <v>10500</v>
      </c>
      <c r="E30" s="370"/>
      <c r="F30" s="370"/>
      <c r="G30" s="370"/>
      <c r="H30" s="370"/>
      <c r="I30" s="371">
        <f t="shared" si="1"/>
        <v>10500</v>
      </c>
    </row>
    <row r="31" spans="1:9" x14ac:dyDescent="0.2">
      <c r="A31" s="383">
        <v>12113</v>
      </c>
      <c r="B31" s="28" t="s">
        <v>581</v>
      </c>
      <c r="C31" s="368"/>
      <c r="D31" s="369">
        <f>+ProyIng!H21</f>
        <v>190000</v>
      </c>
      <c r="E31" s="370"/>
      <c r="F31" s="370"/>
      <c r="G31" s="370"/>
      <c r="H31" s="370"/>
      <c r="I31" s="371">
        <f t="shared" si="1"/>
        <v>190000</v>
      </c>
    </row>
    <row r="32" spans="1:9" x14ac:dyDescent="0.2">
      <c r="A32" s="383">
        <v>12114</v>
      </c>
      <c r="B32" s="28" t="s">
        <v>20</v>
      </c>
      <c r="C32" s="368"/>
      <c r="D32" s="369">
        <f>+ProyIng!H22</f>
        <v>75000</v>
      </c>
      <c r="E32" s="370"/>
      <c r="F32" s="370"/>
      <c r="G32" s="370"/>
      <c r="H32" s="370"/>
      <c r="I32" s="371">
        <f t="shared" si="1"/>
        <v>75000</v>
      </c>
    </row>
    <row r="33" spans="1:9" x14ac:dyDescent="0.2">
      <c r="A33" s="383">
        <v>12115</v>
      </c>
      <c r="B33" s="28" t="s">
        <v>435</v>
      </c>
      <c r="C33" s="368"/>
      <c r="D33" s="369">
        <f>+ProyIng!H23</f>
        <v>175000</v>
      </c>
      <c r="E33" s="370"/>
      <c r="F33" s="370"/>
      <c r="G33" s="370"/>
      <c r="H33" s="370"/>
      <c r="I33" s="371">
        <f t="shared" si="1"/>
        <v>175000</v>
      </c>
    </row>
    <row r="34" spans="1:9" x14ac:dyDescent="0.2">
      <c r="A34" s="383">
        <v>12115</v>
      </c>
      <c r="B34" s="28" t="s">
        <v>436</v>
      </c>
      <c r="C34" s="368"/>
      <c r="D34" s="369">
        <f>+ProyIng!H24</f>
        <v>25000</v>
      </c>
      <c r="E34" s="370"/>
      <c r="F34" s="370"/>
      <c r="G34" s="370"/>
      <c r="H34" s="370"/>
      <c r="I34" s="371">
        <f t="shared" si="1"/>
        <v>25000</v>
      </c>
    </row>
    <row r="35" spans="1:9" x14ac:dyDescent="0.2">
      <c r="A35" s="383">
        <v>12117</v>
      </c>
      <c r="B35" s="28" t="s">
        <v>231</v>
      </c>
      <c r="C35" s="368"/>
      <c r="D35" s="369">
        <f>+ProyIng!H25</f>
        <v>58000</v>
      </c>
      <c r="E35" s="370"/>
      <c r="F35" s="370"/>
      <c r="G35" s="370"/>
      <c r="H35" s="370"/>
      <c r="I35" s="371">
        <f t="shared" si="1"/>
        <v>58000</v>
      </c>
    </row>
    <row r="36" spans="1:9" x14ac:dyDescent="0.2">
      <c r="A36" s="383">
        <v>12118</v>
      </c>
      <c r="B36" s="28" t="s">
        <v>232</v>
      </c>
      <c r="C36" s="368"/>
      <c r="D36" s="369">
        <f>+ProyIng!H26</f>
        <v>56000</v>
      </c>
      <c r="E36" s="370"/>
      <c r="F36" s="370"/>
      <c r="G36" s="370"/>
      <c r="H36" s="370"/>
      <c r="I36" s="371">
        <f t="shared" si="1"/>
        <v>56000</v>
      </c>
    </row>
    <row r="37" spans="1:9" x14ac:dyDescent="0.2">
      <c r="A37" s="383">
        <v>12119</v>
      </c>
      <c r="B37" s="28" t="s">
        <v>430</v>
      </c>
      <c r="C37" s="368"/>
      <c r="D37" s="369">
        <f>+ProyIng!H27</f>
        <v>1500</v>
      </c>
      <c r="E37" s="372"/>
      <c r="F37" s="372"/>
      <c r="G37" s="372"/>
      <c r="H37" s="372"/>
      <c r="I37" s="371">
        <f t="shared" si="1"/>
        <v>1500</v>
      </c>
    </row>
    <row r="38" spans="1:9" x14ac:dyDescent="0.2">
      <c r="A38" s="383">
        <v>12119</v>
      </c>
      <c r="B38" s="28" t="s">
        <v>219</v>
      </c>
      <c r="C38" s="368"/>
      <c r="D38" s="369">
        <f>+ProyIng!H28</f>
        <v>3900</v>
      </c>
      <c r="E38" s="370"/>
      <c r="F38" s="370"/>
      <c r="G38" s="370"/>
      <c r="H38" s="370"/>
      <c r="I38" s="371">
        <f t="shared" si="1"/>
        <v>3900</v>
      </c>
    </row>
    <row r="39" spans="1:9" x14ac:dyDescent="0.2">
      <c r="A39" s="383">
        <v>12199</v>
      </c>
      <c r="B39" s="28" t="s">
        <v>21</v>
      </c>
      <c r="C39" s="368"/>
      <c r="D39" s="369">
        <f>+ProyIng!H29</f>
        <v>5000</v>
      </c>
      <c r="E39" s="370"/>
      <c r="F39" s="370"/>
      <c r="G39" s="370"/>
      <c r="H39" s="370"/>
      <c r="I39" s="371">
        <f t="shared" si="1"/>
        <v>5000</v>
      </c>
    </row>
    <row r="40" spans="1:9" x14ac:dyDescent="0.2">
      <c r="A40" s="383">
        <f>ProyIng!A30</f>
        <v>12112</v>
      </c>
      <c r="B40" s="28" t="s">
        <v>431</v>
      </c>
      <c r="C40" s="368"/>
      <c r="D40" s="369">
        <f>+ProyIng!H30</f>
        <v>110000</v>
      </c>
      <c r="E40" s="370"/>
      <c r="F40" s="370"/>
      <c r="G40" s="370"/>
      <c r="H40" s="370"/>
      <c r="I40" s="371">
        <f t="shared" si="1"/>
        <v>110000</v>
      </c>
    </row>
    <row r="41" spans="1:9" x14ac:dyDescent="0.2">
      <c r="A41" s="383">
        <v>12199</v>
      </c>
      <c r="B41" s="28" t="s">
        <v>278</v>
      </c>
      <c r="C41" s="368"/>
      <c r="D41" s="369">
        <f>+ProyIng!H31</f>
        <v>6000</v>
      </c>
      <c r="E41" s="370"/>
      <c r="F41" s="370"/>
      <c r="G41" s="370"/>
      <c r="H41" s="370"/>
      <c r="I41" s="371">
        <f t="shared" si="1"/>
        <v>6000</v>
      </c>
    </row>
    <row r="42" spans="1:9" x14ac:dyDescent="0.2">
      <c r="A42" s="383">
        <v>12210</v>
      </c>
      <c r="B42" s="28" t="s">
        <v>233</v>
      </c>
      <c r="C42" s="368"/>
      <c r="D42" s="369">
        <f>+ProyIng!H32</f>
        <v>225000</v>
      </c>
      <c r="E42" s="370"/>
      <c r="F42" s="370"/>
      <c r="G42" s="370"/>
      <c r="H42" s="370"/>
      <c r="I42" s="371">
        <f t="shared" si="1"/>
        <v>225000</v>
      </c>
    </row>
    <row r="43" spans="1:9" x14ac:dyDescent="0.2">
      <c r="A43" s="383">
        <v>12211</v>
      </c>
      <c r="B43" s="28" t="s">
        <v>22</v>
      </c>
      <c r="C43" s="368"/>
      <c r="D43" s="369">
        <f>+ProyIng!H33</f>
        <v>700</v>
      </c>
      <c r="E43" s="370"/>
      <c r="F43" s="370"/>
      <c r="G43" s="370"/>
      <c r="H43" s="370"/>
      <c r="I43" s="371">
        <f t="shared" si="1"/>
        <v>700</v>
      </c>
    </row>
    <row r="44" spans="1:9" x14ac:dyDescent="0.2">
      <c r="A44" s="383">
        <v>14201</v>
      </c>
      <c r="B44" s="28" t="s">
        <v>597</v>
      </c>
      <c r="C44" s="368"/>
      <c r="D44" s="369">
        <f>+ProyIng!H34</f>
        <v>30000</v>
      </c>
      <c r="E44" s="370"/>
      <c r="F44" s="370"/>
      <c r="G44" s="370"/>
      <c r="H44" s="370"/>
      <c r="I44" s="371">
        <f t="shared" si="1"/>
        <v>30000</v>
      </c>
    </row>
    <row r="45" spans="1:9" x14ac:dyDescent="0.2">
      <c r="A45" s="383">
        <v>14299</v>
      </c>
      <c r="B45" s="28" t="s">
        <v>434</v>
      </c>
      <c r="C45" s="368"/>
      <c r="D45" s="369">
        <f>+ProyIng!H35</f>
        <v>18000</v>
      </c>
      <c r="E45" s="370"/>
      <c r="F45" s="370"/>
      <c r="G45" s="370"/>
      <c r="H45" s="370"/>
      <c r="I45" s="371">
        <f t="shared" si="1"/>
        <v>18000</v>
      </c>
    </row>
    <row r="46" spans="1:9" x14ac:dyDescent="0.2">
      <c r="A46" s="33">
        <v>15</v>
      </c>
      <c r="B46" s="35" t="s">
        <v>36</v>
      </c>
      <c r="C46" s="368"/>
      <c r="D46" s="372">
        <f>D47+D53+D56</f>
        <v>101400.7</v>
      </c>
      <c r="E46" s="372"/>
      <c r="F46" s="372"/>
      <c r="G46" s="372"/>
      <c r="H46" s="372"/>
      <c r="I46" s="373">
        <f>I47+I53+I56</f>
        <v>101400.7</v>
      </c>
    </row>
    <row r="47" spans="1:9" x14ac:dyDescent="0.2">
      <c r="A47" s="33">
        <v>153</v>
      </c>
      <c r="B47" s="35" t="s">
        <v>37</v>
      </c>
      <c r="C47" s="368"/>
      <c r="D47" s="372">
        <f>SUM(D48:D52)</f>
        <v>27400</v>
      </c>
      <c r="E47" s="372"/>
      <c r="F47" s="372"/>
      <c r="G47" s="372"/>
      <c r="H47" s="372"/>
      <c r="I47" s="373">
        <f>SUM(I48:I52)</f>
        <v>27400</v>
      </c>
    </row>
    <row r="48" spans="1:9" x14ac:dyDescent="0.2">
      <c r="A48" s="383">
        <v>15301</v>
      </c>
      <c r="B48" s="28" t="s">
        <v>234</v>
      </c>
      <c r="C48" s="368"/>
      <c r="D48" s="369">
        <f>+ProyIng!H36</f>
        <v>12500</v>
      </c>
      <c r="E48" s="370"/>
      <c r="F48" s="370"/>
      <c r="G48" s="370"/>
      <c r="H48" s="370"/>
      <c r="I48" s="371">
        <f>SUM(C48:H48)</f>
        <v>12500</v>
      </c>
    </row>
    <row r="49" spans="1:9" x14ac:dyDescent="0.2">
      <c r="A49" s="383">
        <v>15302</v>
      </c>
      <c r="B49" s="28" t="s">
        <v>433</v>
      </c>
      <c r="C49" s="368"/>
      <c r="D49" s="369">
        <f>+ProyIng!H37</f>
        <v>9500</v>
      </c>
      <c r="E49" s="370"/>
      <c r="F49" s="370"/>
      <c r="G49" s="370"/>
      <c r="H49" s="370"/>
      <c r="I49" s="371">
        <f>SUM(C49:H49)</f>
        <v>9500</v>
      </c>
    </row>
    <row r="50" spans="1:9" x14ac:dyDescent="0.2">
      <c r="A50" s="383">
        <v>15310</v>
      </c>
      <c r="B50" s="28" t="s">
        <v>236</v>
      </c>
      <c r="C50" s="368"/>
      <c r="D50" s="369">
        <f>+ProyIng!H38</f>
        <v>2200</v>
      </c>
      <c r="E50" s="370"/>
      <c r="F50" s="370"/>
      <c r="G50" s="370"/>
      <c r="H50" s="370"/>
      <c r="I50" s="371">
        <f>SUM(C50:H50)</f>
        <v>2200</v>
      </c>
    </row>
    <row r="51" spans="1:9" x14ac:dyDescent="0.2">
      <c r="A51" s="383">
        <v>15312</v>
      </c>
      <c r="B51" s="28" t="s">
        <v>237</v>
      </c>
      <c r="C51" s="368"/>
      <c r="D51" s="369">
        <f>+ProyIng!H39</f>
        <v>200</v>
      </c>
      <c r="E51" s="370"/>
      <c r="F51" s="370"/>
      <c r="G51" s="370"/>
      <c r="H51" s="370"/>
      <c r="I51" s="371">
        <f>SUM(C51:H51)</f>
        <v>200</v>
      </c>
    </row>
    <row r="52" spans="1:9" x14ac:dyDescent="0.2">
      <c r="A52" s="383">
        <v>15314</v>
      </c>
      <c r="B52" s="28" t="s">
        <v>238</v>
      </c>
      <c r="C52" s="368"/>
      <c r="D52" s="369">
        <f>+ProyIng!H40</f>
        <v>3000</v>
      </c>
      <c r="E52" s="370"/>
      <c r="F52" s="370"/>
      <c r="G52" s="370"/>
      <c r="H52" s="370"/>
      <c r="I52" s="371">
        <f>SUM(C52:H52)</f>
        <v>3000</v>
      </c>
    </row>
    <row r="53" spans="1:9" x14ac:dyDescent="0.2">
      <c r="A53" s="33">
        <v>154</v>
      </c>
      <c r="B53" s="35" t="s">
        <v>627</v>
      </c>
      <c r="C53" s="368"/>
      <c r="D53" s="372">
        <f>SUM(D54:D55)</f>
        <v>42000</v>
      </c>
      <c r="E53" s="372"/>
      <c r="F53" s="372"/>
      <c r="G53" s="372"/>
      <c r="H53" s="372"/>
      <c r="I53" s="373">
        <f>SUM(I54:I55)</f>
        <v>42000</v>
      </c>
    </row>
    <row r="54" spans="1:9" x14ac:dyDescent="0.2">
      <c r="A54" s="383">
        <v>15401</v>
      </c>
      <c r="B54" s="28" t="s">
        <v>583</v>
      </c>
      <c r="C54" s="368"/>
      <c r="D54" s="369">
        <f>+ProyIng!H41</f>
        <v>12000</v>
      </c>
      <c r="E54" s="370"/>
      <c r="F54" s="370"/>
      <c r="G54" s="370"/>
      <c r="H54" s="370"/>
      <c r="I54" s="371">
        <f>SUM(C54:H54)</f>
        <v>12000</v>
      </c>
    </row>
    <row r="55" spans="1:9" x14ac:dyDescent="0.2">
      <c r="A55" s="430">
        <v>15402</v>
      </c>
      <c r="B55" s="621" t="s">
        <v>626</v>
      </c>
      <c r="C55" s="368"/>
      <c r="D55" s="369">
        <f>ProyIng!H42</f>
        <v>30000</v>
      </c>
      <c r="E55" s="370"/>
      <c r="F55" s="370"/>
      <c r="G55" s="370"/>
      <c r="H55" s="370"/>
      <c r="I55" s="371">
        <f>SUM(C55:H55)</f>
        <v>30000</v>
      </c>
    </row>
    <row r="56" spans="1:9" x14ac:dyDescent="0.2">
      <c r="A56" s="39">
        <v>157</v>
      </c>
      <c r="B56" s="40" t="s">
        <v>38</v>
      </c>
      <c r="C56" s="368"/>
      <c r="D56" s="372">
        <f>SUM(D57:D58)</f>
        <v>32000.7</v>
      </c>
      <c r="E56" s="372"/>
      <c r="F56" s="372"/>
      <c r="G56" s="372"/>
      <c r="H56" s="372"/>
      <c r="I56" s="373">
        <f>SUM(I57:I58)</f>
        <v>32000.7</v>
      </c>
    </row>
    <row r="57" spans="1:9" x14ac:dyDescent="0.2">
      <c r="A57" s="37">
        <v>15703</v>
      </c>
      <c r="B57" s="38" t="s">
        <v>23</v>
      </c>
      <c r="C57" s="368"/>
      <c r="D57" s="369">
        <f>+ProyIng!H43</f>
        <v>0.7</v>
      </c>
      <c r="E57" s="370"/>
      <c r="F57" s="370"/>
      <c r="G57" s="370"/>
      <c r="H57" s="370"/>
      <c r="I57" s="371">
        <f>SUM(C57:H57)</f>
        <v>0.7</v>
      </c>
    </row>
    <row r="58" spans="1:9" x14ac:dyDescent="0.2">
      <c r="A58" s="37">
        <v>15799</v>
      </c>
      <c r="B58" s="38" t="s">
        <v>24</v>
      </c>
      <c r="C58" s="368"/>
      <c r="D58" s="369">
        <f>+ProyIng!H44</f>
        <v>32000</v>
      </c>
      <c r="E58" s="370"/>
      <c r="F58" s="370"/>
      <c r="G58" s="370"/>
      <c r="H58" s="370"/>
      <c r="I58" s="371">
        <f>SUM(C58:H58)</f>
        <v>32000</v>
      </c>
    </row>
    <row r="59" spans="1:9" x14ac:dyDescent="0.2">
      <c r="A59" s="39">
        <v>16</v>
      </c>
      <c r="B59" s="40" t="s">
        <v>39</v>
      </c>
      <c r="C59" s="374">
        <f>+C60</f>
        <v>1404042.8399999999</v>
      </c>
      <c r="D59" s="374">
        <f t="shared" ref="D59:H59" si="2">+D60</f>
        <v>0</v>
      </c>
      <c r="E59" s="374">
        <f t="shared" si="2"/>
        <v>0</v>
      </c>
      <c r="F59" s="374">
        <f t="shared" si="2"/>
        <v>0</v>
      </c>
      <c r="G59" s="374">
        <f t="shared" si="2"/>
        <v>0</v>
      </c>
      <c r="H59" s="374">
        <f t="shared" si="2"/>
        <v>0</v>
      </c>
      <c r="I59" s="373">
        <f>+I60+I64</f>
        <v>1407042.8399999999</v>
      </c>
    </row>
    <row r="60" spans="1:9" x14ac:dyDescent="0.2">
      <c r="A60" s="39">
        <v>162</v>
      </c>
      <c r="B60" s="40" t="s">
        <v>40</v>
      </c>
      <c r="C60" s="374">
        <f>SUM(C61:C63)</f>
        <v>1404042.8399999999</v>
      </c>
      <c r="D60" s="374">
        <f t="shared" ref="D60:I60" si="3">SUM(D61:D63)</f>
        <v>0</v>
      </c>
      <c r="E60" s="374">
        <f t="shared" si="3"/>
        <v>0</v>
      </c>
      <c r="F60" s="374">
        <f t="shared" si="3"/>
        <v>0</v>
      </c>
      <c r="G60" s="374">
        <f t="shared" si="3"/>
        <v>0</v>
      </c>
      <c r="H60" s="374">
        <f t="shared" si="3"/>
        <v>0</v>
      </c>
      <c r="I60" s="374">
        <f t="shared" si="3"/>
        <v>1404042.8399999999</v>
      </c>
    </row>
    <row r="61" spans="1:9" x14ac:dyDescent="0.2">
      <c r="A61" s="39">
        <v>16201</v>
      </c>
      <c r="B61" s="38" t="s">
        <v>739</v>
      </c>
      <c r="C61" s="374">
        <f>ProyIng!F53</f>
        <v>0</v>
      </c>
      <c r="D61" s="369"/>
      <c r="E61" s="370"/>
      <c r="F61" s="370"/>
      <c r="G61" s="370"/>
      <c r="H61" s="370"/>
      <c r="I61" s="626"/>
    </row>
    <row r="62" spans="1:9" x14ac:dyDescent="0.2">
      <c r="A62" s="39">
        <v>1620701</v>
      </c>
      <c r="B62" s="1009" t="s">
        <v>908</v>
      </c>
      <c r="C62" s="374">
        <f>ProyIng!F57+ProyIng!F58</f>
        <v>654654.84</v>
      </c>
      <c r="D62" s="369"/>
      <c r="E62" s="370"/>
      <c r="F62" s="370"/>
      <c r="G62" s="370"/>
      <c r="H62" s="370"/>
      <c r="I62" s="626">
        <f>SUM(C62:H62)</f>
        <v>654654.84</v>
      </c>
    </row>
    <row r="63" spans="1:9" x14ac:dyDescent="0.2">
      <c r="A63" s="39">
        <v>1620703</v>
      </c>
      <c r="B63" s="1009" t="s">
        <v>910</v>
      </c>
      <c r="C63" s="374">
        <v>749388</v>
      </c>
      <c r="D63" s="369"/>
      <c r="E63" s="370"/>
      <c r="F63" s="370"/>
      <c r="G63" s="370"/>
      <c r="H63" s="370"/>
      <c r="I63" s="626">
        <f>SUM(C63:H63)</f>
        <v>749388</v>
      </c>
    </row>
    <row r="64" spans="1:9" x14ac:dyDescent="0.2">
      <c r="A64" s="39">
        <v>163</v>
      </c>
      <c r="B64" s="40" t="s">
        <v>652</v>
      </c>
      <c r="C64" s="374">
        <f>SUM(C65)</f>
        <v>0</v>
      </c>
      <c r="D64" s="372"/>
      <c r="E64" s="627"/>
      <c r="F64" s="627"/>
      <c r="G64" s="627"/>
      <c r="H64" s="627">
        <f>H65</f>
        <v>3000</v>
      </c>
      <c r="I64" s="626">
        <f>H64</f>
        <v>3000</v>
      </c>
    </row>
    <row r="65" spans="1:9" x14ac:dyDescent="0.2">
      <c r="A65" s="37">
        <v>16301</v>
      </c>
      <c r="B65" s="40" t="s">
        <v>653</v>
      </c>
      <c r="C65" s="374"/>
      <c r="D65" s="369"/>
      <c r="E65" s="370"/>
      <c r="F65" s="370"/>
      <c r="G65" s="370"/>
      <c r="H65" s="370">
        <f>ProyIng!H47</f>
        <v>3000</v>
      </c>
      <c r="I65" s="626"/>
    </row>
    <row r="66" spans="1:9" x14ac:dyDescent="0.2">
      <c r="A66" s="39">
        <v>21</v>
      </c>
      <c r="B66" s="40" t="s">
        <v>768</v>
      </c>
      <c r="C66" s="374"/>
      <c r="D66" s="372">
        <f>D67</f>
        <v>3000</v>
      </c>
      <c r="E66" s="370"/>
      <c r="F66" s="370"/>
      <c r="G66" s="370"/>
      <c r="H66" s="370"/>
      <c r="I66" s="626">
        <f>D66</f>
        <v>3000</v>
      </c>
    </row>
    <row r="67" spans="1:9" x14ac:dyDescent="0.2">
      <c r="A67" s="39">
        <v>211</v>
      </c>
      <c r="B67" s="40" t="s">
        <v>769</v>
      </c>
      <c r="C67" s="374"/>
      <c r="D67" s="372">
        <f>SUM(D68)</f>
        <v>3000</v>
      </c>
      <c r="E67" s="370"/>
      <c r="F67" s="370"/>
      <c r="G67" s="370"/>
      <c r="H67" s="370"/>
      <c r="I67" s="626">
        <f>D67</f>
        <v>3000</v>
      </c>
    </row>
    <row r="68" spans="1:9" x14ac:dyDescent="0.2">
      <c r="A68" s="37">
        <v>21101</v>
      </c>
      <c r="B68" s="38" t="s">
        <v>762</v>
      </c>
      <c r="C68" s="374"/>
      <c r="D68" s="369">
        <f>+ProyIng!H48</f>
        <v>3000</v>
      </c>
      <c r="E68" s="370"/>
      <c r="F68" s="370"/>
      <c r="G68" s="370"/>
      <c r="H68" s="370"/>
      <c r="I68" s="371">
        <f>D68</f>
        <v>3000</v>
      </c>
    </row>
    <row r="69" spans="1:9" x14ac:dyDescent="0.2">
      <c r="A69" s="39">
        <v>22</v>
      </c>
      <c r="B69" s="40" t="s">
        <v>41</v>
      </c>
      <c r="C69" s="374">
        <f>+C70</f>
        <v>22500</v>
      </c>
      <c r="D69" s="369"/>
      <c r="E69" s="369"/>
      <c r="F69" s="369"/>
      <c r="G69" s="369"/>
      <c r="H69" s="369"/>
      <c r="I69" s="373">
        <f>+I70</f>
        <v>22500</v>
      </c>
    </row>
    <row r="70" spans="1:9" x14ac:dyDescent="0.2">
      <c r="A70" s="39">
        <v>222</v>
      </c>
      <c r="B70" s="40" t="s">
        <v>42</v>
      </c>
      <c r="C70" s="374">
        <f>SUM(C71:C75)</f>
        <v>22500</v>
      </c>
      <c r="D70" s="369"/>
      <c r="E70" s="369"/>
      <c r="F70" s="369"/>
      <c r="G70" s="369"/>
      <c r="H70" s="369"/>
      <c r="I70" s="373">
        <f>SUM(I71:I75)</f>
        <v>22500</v>
      </c>
    </row>
    <row r="71" spans="1:9" x14ac:dyDescent="0.2">
      <c r="A71" s="37">
        <v>22201</v>
      </c>
      <c r="B71" s="38" t="s">
        <v>749</v>
      </c>
      <c r="C71" s="374">
        <f>ProyIng!F54</f>
        <v>0</v>
      </c>
      <c r="D71" s="369"/>
      <c r="E71" s="370"/>
      <c r="F71" s="370"/>
      <c r="G71" s="370"/>
      <c r="H71" s="370"/>
      <c r="I71" s="626">
        <f>SUM(C71:H71)</f>
        <v>0</v>
      </c>
    </row>
    <row r="72" spans="1:9" x14ac:dyDescent="0.2">
      <c r="A72" s="37">
        <v>22202</v>
      </c>
      <c r="B72" s="38" t="s">
        <v>697</v>
      </c>
      <c r="C72" s="374">
        <f>ProyIng!F55</f>
        <v>0</v>
      </c>
      <c r="D72" s="369"/>
      <c r="E72" s="370"/>
      <c r="F72" s="370"/>
      <c r="G72" s="370"/>
      <c r="H72" s="370"/>
      <c r="I72" s="626">
        <f>SUM(C72:H72)</f>
        <v>0</v>
      </c>
    </row>
    <row r="73" spans="1:9" x14ac:dyDescent="0.2">
      <c r="A73" s="37">
        <v>22205</v>
      </c>
      <c r="B73" s="38" t="s">
        <v>972</v>
      </c>
      <c r="C73" s="374">
        <f>ProyIng!F56</f>
        <v>22500</v>
      </c>
      <c r="D73" s="369"/>
      <c r="E73" s="370"/>
      <c r="F73" s="370"/>
      <c r="G73" s="370"/>
      <c r="H73" s="370"/>
      <c r="I73" s="626">
        <f>SUM(C73:H73)</f>
        <v>22500</v>
      </c>
    </row>
    <row r="74" spans="1:9" x14ac:dyDescent="0.2">
      <c r="A74" s="37">
        <v>22207</v>
      </c>
      <c r="B74" s="38" t="s">
        <v>912</v>
      </c>
      <c r="C74" s="505"/>
      <c r="D74" s="369"/>
      <c r="E74" s="370"/>
      <c r="F74" s="370"/>
      <c r="G74" s="370"/>
      <c r="H74" s="370"/>
      <c r="I74" s="371">
        <f>SUM(C74:H74)</f>
        <v>0</v>
      </c>
    </row>
    <row r="75" spans="1:9" x14ac:dyDescent="0.2">
      <c r="A75" s="37">
        <v>22207</v>
      </c>
      <c r="B75" s="38" t="s">
        <v>742</v>
      </c>
      <c r="C75" s="505">
        <v>0</v>
      </c>
      <c r="D75" s="774"/>
      <c r="E75" s="775"/>
      <c r="F75" s="775"/>
      <c r="G75" s="775"/>
      <c r="H75" s="775"/>
      <c r="I75" s="371">
        <f>C75</f>
        <v>0</v>
      </c>
    </row>
    <row r="76" spans="1:9" x14ac:dyDescent="0.2">
      <c r="A76" s="39">
        <v>313</v>
      </c>
      <c r="B76" s="40" t="s">
        <v>506</v>
      </c>
      <c r="C76" s="374">
        <f t="shared" ref="C76:I76" si="4">C77</f>
        <v>0</v>
      </c>
      <c r="D76" s="374">
        <f t="shared" si="4"/>
        <v>0</v>
      </c>
      <c r="E76" s="374">
        <f t="shared" si="4"/>
        <v>0</v>
      </c>
      <c r="F76" s="374">
        <f t="shared" si="4"/>
        <v>0</v>
      </c>
      <c r="G76" s="374"/>
      <c r="H76" s="374">
        <f t="shared" si="4"/>
        <v>0</v>
      </c>
      <c r="I76" s="374">
        <f t="shared" si="4"/>
        <v>0</v>
      </c>
    </row>
    <row r="77" spans="1:9" x14ac:dyDescent="0.2">
      <c r="A77" s="37">
        <v>31308</v>
      </c>
      <c r="B77" s="38" t="s">
        <v>367</v>
      </c>
      <c r="C77" s="368"/>
      <c r="D77" s="369"/>
      <c r="E77" s="370"/>
      <c r="F77" s="370"/>
      <c r="G77" s="370"/>
      <c r="H77" s="628"/>
      <c r="I77" s="371">
        <f>SUM(C77:H77)</f>
        <v>0</v>
      </c>
    </row>
    <row r="78" spans="1:9" x14ac:dyDescent="0.2">
      <c r="A78" s="39">
        <v>32</v>
      </c>
      <c r="B78" s="40" t="s">
        <v>43</v>
      </c>
      <c r="C78" s="543">
        <f t="shared" ref="C78:I78" si="5">C79+C82</f>
        <v>514403.91000000003</v>
      </c>
      <c r="D78" s="167">
        <f t="shared" si="5"/>
        <v>391944</v>
      </c>
      <c r="E78" s="543">
        <f t="shared" si="5"/>
        <v>0</v>
      </c>
      <c r="F78" s="167">
        <f t="shared" si="5"/>
        <v>112184.43</v>
      </c>
      <c r="G78" s="167"/>
      <c r="H78" s="543">
        <f t="shared" si="5"/>
        <v>0</v>
      </c>
      <c r="I78" s="167">
        <f t="shared" si="5"/>
        <v>1018532.34</v>
      </c>
    </row>
    <row r="79" spans="1:9" x14ac:dyDescent="0.2">
      <c r="A79" s="39">
        <v>321</v>
      </c>
      <c r="B79" s="40" t="s">
        <v>44</v>
      </c>
      <c r="C79" s="543">
        <f t="shared" ref="C79:I79" si="6">+C80+C81</f>
        <v>349441.52</v>
      </c>
      <c r="D79" s="678">
        <f t="shared" si="6"/>
        <v>81944</v>
      </c>
      <c r="E79" s="544">
        <f t="shared" si="6"/>
        <v>0</v>
      </c>
      <c r="F79" s="678">
        <f t="shared" si="6"/>
        <v>112184.43</v>
      </c>
      <c r="G79" s="678"/>
      <c r="H79" s="544">
        <f t="shared" si="6"/>
        <v>0</v>
      </c>
      <c r="I79" s="679">
        <f t="shared" si="6"/>
        <v>543569.94999999995</v>
      </c>
    </row>
    <row r="80" spans="1:9" x14ac:dyDescent="0.2">
      <c r="A80" s="37">
        <v>32101</v>
      </c>
      <c r="B80" s="38" t="s">
        <v>45</v>
      </c>
      <c r="C80" s="508"/>
      <c r="D80" s="369"/>
      <c r="E80" s="547"/>
      <c r="F80" s="370"/>
      <c r="G80" s="370"/>
      <c r="H80" s="547"/>
      <c r="I80" s="371">
        <f>SUM(C80:H80)</f>
        <v>0</v>
      </c>
    </row>
    <row r="81" spans="1:10" x14ac:dyDescent="0.2">
      <c r="A81" s="41">
        <v>32102</v>
      </c>
      <c r="B81" s="42" t="s">
        <v>46</v>
      </c>
      <c r="C81" s="505">
        <f>SdoBcos!E28+SdoBcos!E29+SdoBcos!E30+SdoBcos!E31+SdoBcos!E37+SdoBcos!E36</f>
        <v>349441.52</v>
      </c>
      <c r="D81" s="375">
        <f>SdoBcos!E32</f>
        <v>81944</v>
      </c>
      <c r="E81" s="548"/>
      <c r="F81" s="376">
        <f>SdoBcos!E34</f>
        <v>112184.43</v>
      </c>
      <c r="G81" s="376"/>
      <c r="H81" s="548"/>
      <c r="I81" s="371">
        <f>SUM(C81:H81)</f>
        <v>543569.94999999995</v>
      </c>
      <c r="J81" s="43"/>
    </row>
    <row r="82" spans="1:10" x14ac:dyDescent="0.2">
      <c r="A82" s="39">
        <v>322</v>
      </c>
      <c r="B82" s="40" t="s">
        <v>693</v>
      </c>
      <c r="C82" s="543">
        <f t="shared" ref="C82:I82" si="7">+C83+C84</f>
        <v>164962.39000000001</v>
      </c>
      <c r="D82" s="544">
        <f t="shared" si="7"/>
        <v>310000</v>
      </c>
      <c r="E82" s="544">
        <f t="shared" si="7"/>
        <v>0</v>
      </c>
      <c r="F82" s="544">
        <f t="shared" si="7"/>
        <v>0</v>
      </c>
      <c r="G82" s="544"/>
      <c r="H82" s="544">
        <f t="shared" si="7"/>
        <v>0</v>
      </c>
      <c r="I82" s="545">
        <f t="shared" si="7"/>
        <v>474962.39</v>
      </c>
    </row>
    <row r="83" spans="1:10" x14ac:dyDescent="0.2">
      <c r="A83" s="37">
        <v>32201</v>
      </c>
      <c r="B83" s="38" t="s">
        <v>599</v>
      </c>
      <c r="C83" s="508">
        <f>SdoBcos!E41+SdoBcos!E42+SdoBcos!E43+SdoBcos!E44</f>
        <v>164962.39000000001</v>
      </c>
      <c r="D83" s="546">
        <f>SdoBcos!E46</f>
        <v>310000</v>
      </c>
      <c r="E83" s="547"/>
      <c r="F83" s="547"/>
      <c r="G83" s="547"/>
      <c r="H83" s="547"/>
      <c r="I83" s="506">
        <f>SUM(C83:H83)</f>
        <v>474962.39</v>
      </c>
    </row>
    <row r="84" spans="1:10" x14ac:dyDescent="0.2">
      <c r="A84" s="41"/>
      <c r="B84" s="42"/>
      <c r="C84" s="368"/>
      <c r="D84" s="375"/>
      <c r="E84" s="376"/>
      <c r="F84" s="376"/>
      <c r="G84" s="376"/>
      <c r="H84" s="376"/>
      <c r="I84" s="371">
        <f>SUM(C84:H84)</f>
        <v>0</v>
      </c>
      <c r="J84" s="43"/>
    </row>
    <row r="85" spans="1:10" ht="13.5" thickBot="1" x14ac:dyDescent="0.25">
      <c r="A85" s="1129" t="s">
        <v>25</v>
      </c>
      <c r="B85" s="1130"/>
      <c r="C85" s="781">
        <f>+C78+C69+C59+C76</f>
        <v>1940946.75</v>
      </c>
      <c r="D85" s="677">
        <f>D10+D22+D46+D78+D66</f>
        <v>2612164.7000000002</v>
      </c>
      <c r="E85" s="377">
        <f>E10+E22+E46+E78</f>
        <v>0</v>
      </c>
      <c r="F85" s="377">
        <f>F10+F22+F46+F78+F76</f>
        <v>112184.43</v>
      </c>
      <c r="G85" s="377"/>
      <c r="H85" s="377">
        <f>H64</f>
        <v>3000</v>
      </c>
      <c r="I85" s="778">
        <f>+I78+I69+I59+I46+I22+I10+I76+I66</f>
        <v>4668295.88</v>
      </c>
    </row>
    <row r="86" spans="1:10" ht="13.5" thickTop="1" x14ac:dyDescent="0.2">
      <c r="A86" s="44"/>
      <c r="I86" s="601">
        <f>ProyIng!F66-INGxFF!I85</f>
        <v>0</v>
      </c>
    </row>
    <row r="87" spans="1:10" x14ac:dyDescent="0.2">
      <c r="A87" s="44"/>
      <c r="D87" s="43"/>
      <c r="E87" s="43"/>
      <c r="F87" s="43"/>
      <c r="G87" s="43"/>
      <c r="H87" s="43"/>
      <c r="I87" s="45"/>
    </row>
    <row r="88" spans="1:10" x14ac:dyDescent="0.2">
      <c r="A88" s="44"/>
      <c r="D88" s="46"/>
      <c r="E88" s="46"/>
      <c r="F88" s="46"/>
      <c r="G88" s="46"/>
      <c r="H88" s="46"/>
    </row>
    <row r="89" spans="1:10" x14ac:dyDescent="0.2">
      <c r="D89" s="43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</row>
    <row r="91" spans="1:10" x14ac:dyDescent="0.2">
      <c r="A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</row>
    <row r="93" spans="1:10" x14ac:dyDescent="0.2">
      <c r="A93" s="48"/>
      <c r="B93" s="48"/>
      <c r="C93" s="48"/>
      <c r="D93" s="48"/>
      <c r="E93" s="48"/>
      <c r="F93" s="48"/>
      <c r="G93" s="48"/>
      <c r="H93" s="48"/>
      <c r="I93" s="48"/>
    </row>
    <row r="94" spans="1:10" x14ac:dyDescent="0.2">
      <c r="A94" s="48"/>
      <c r="B94" s="49"/>
      <c r="C94" s="49"/>
      <c r="D94" s="49"/>
      <c r="E94" s="49"/>
      <c r="F94" s="49"/>
      <c r="G94" s="49"/>
      <c r="H94" s="49"/>
      <c r="I94" s="49"/>
    </row>
    <row r="95" spans="1:10" x14ac:dyDescent="0.2">
      <c r="A95" s="50"/>
      <c r="B95" s="47"/>
      <c r="C95" s="47"/>
      <c r="D95" s="47"/>
      <c r="E95" s="47"/>
      <c r="F95" s="47"/>
      <c r="G95" s="47"/>
      <c r="H95" s="47"/>
      <c r="I95" s="47"/>
    </row>
    <row r="96" spans="1:10" x14ac:dyDescent="0.2">
      <c r="A96" s="50"/>
      <c r="B96" s="47"/>
      <c r="C96" s="47"/>
      <c r="D96" s="47"/>
      <c r="E96" s="47"/>
      <c r="F96" s="47"/>
      <c r="G96" s="47"/>
      <c r="H96" s="47"/>
      <c r="I96" s="47"/>
    </row>
    <row r="97" spans="1:9" x14ac:dyDescent="0.2">
      <c r="A97" s="50"/>
      <c r="B97" s="47"/>
      <c r="C97" s="47"/>
      <c r="D97" s="47"/>
      <c r="E97" s="47"/>
      <c r="F97" s="47"/>
      <c r="G97" s="47"/>
      <c r="H97" s="47"/>
      <c r="I97" s="47"/>
    </row>
    <row r="98" spans="1:9" x14ac:dyDescent="0.2">
      <c r="A98" s="50"/>
      <c r="B98" s="47"/>
      <c r="C98" s="47"/>
      <c r="D98" s="47"/>
      <c r="E98" s="47"/>
      <c r="F98" s="47"/>
      <c r="G98" s="47"/>
      <c r="H98" s="47"/>
      <c r="I98" s="47"/>
    </row>
    <row r="99" spans="1:9" x14ac:dyDescent="0.2">
      <c r="A99" s="50"/>
      <c r="B99" s="47"/>
      <c r="C99" s="47"/>
      <c r="D99" s="47"/>
      <c r="E99" s="47"/>
      <c r="F99" s="47"/>
      <c r="G99" s="47"/>
      <c r="H99" s="47"/>
      <c r="I99" s="47"/>
    </row>
    <row r="100" spans="1:9" x14ac:dyDescent="0.2">
      <c r="A100" s="50"/>
      <c r="B100" s="47"/>
      <c r="C100" s="47"/>
      <c r="D100" s="47"/>
      <c r="E100" s="47"/>
      <c r="F100" s="47"/>
      <c r="G100" s="47"/>
      <c r="H100" s="47"/>
      <c r="I100" s="47"/>
    </row>
    <row r="101" spans="1:9" x14ac:dyDescent="0.2">
      <c r="B101" s="47"/>
      <c r="C101" s="47"/>
      <c r="D101" s="47"/>
      <c r="E101" s="47"/>
      <c r="F101" s="47"/>
      <c r="G101" s="47"/>
      <c r="H101" s="47"/>
      <c r="I101" s="47"/>
    </row>
    <row r="102" spans="1:9" x14ac:dyDescent="0.2">
      <c r="B102" s="51"/>
      <c r="C102" s="51"/>
      <c r="D102" s="51"/>
      <c r="E102" s="51"/>
      <c r="F102" s="51"/>
      <c r="G102" s="51"/>
      <c r="H102" s="51"/>
      <c r="I102" s="51"/>
    </row>
    <row r="246" spans="1:9" x14ac:dyDescent="0.2">
      <c r="A246" s="52"/>
      <c r="B246" s="52"/>
      <c r="C246" s="52"/>
      <c r="D246" s="52"/>
      <c r="E246" s="52"/>
      <c r="F246" s="52"/>
      <c r="G246" s="52"/>
      <c r="H246" s="52"/>
      <c r="I246" s="52"/>
    </row>
    <row r="247" spans="1:9" x14ac:dyDescent="0.2">
      <c r="A247" s="52"/>
      <c r="B247" s="52"/>
      <c r="C247" s="52"/>
      <c r="D247" s="52"/>
      <c r="E247" s="52"/>
      <c r="F247" s="52"/>
      <c r="G247" s="52"/>
      <c r="H247" s="52"/>
      <c r="I247" s="52"/>
    </row>
  </sheetData>
  <mergeCells count="5">
    <mergeCell ref="A85:B85"/>
    <mergeCell ref="A1:I1"/>
    <mergeCell ref="A3:I3"/>
    <mergeCell ref="A5:I5"/>
    <mergeCell ref="A2:I2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scale="65" orientation="portrait" horizontalDpi="4294967294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/>
  <dimension ref="A1:G231"/>
  <sheetViews>
    <sheetView showGridLines="0" topLeftCell="A72" zoomScale="150" zoomScaleNormal="150" workbookViewId="0">
      <selection activeCell="B73" sqref="B73"/>
    </sheetView>
  </sheetViews>
  <sheetFormatPr baseColWidth="10" defaultColWidth="11.42578125" defaultRowHeight="12.75" x14ac:dyDescent="0.2"/>
  <cols>
    <col min="1" max="1" width="9.28515625" style="30" customWidth="1"/>
    <col min="2" max="2" width="40.42578125" style="30" customWidth="1"/>
    <col min="3" max="3" width="18.28515625" style="30" customWidth="1"/>
    <col min="4" max="4" width="17.85546875" style="30" customWidth="1"/>
    <col min="5" max="5" width="18" style="30" customWidth="1"/>
    <col min="6" max="6" width="11.42578125" style="30"/>
    <col min="7" max="7" width="12.42578125" style="30" bestFit="1" customWidth="1"/>
    <col min="8" max="16384" width="11.42578125" style="30"/>
  </cols>
  <sheetData>
    <row r="1" spans="1:5" x14ac:dyDescent="0.2">
      <c r="A1" s="1114" t="s">
        <v>26</v>
      </c>
      <c r="B1" s="1114"/>
      <c r="C1" s="1114"/>
      <c r="D1" s="1114"/>
      <c r="E1" s="1114"/>
    </row>
    <row r="2" spans="1:5" x14ac:dyDescent="0.2">
      <c r="A2" s="29"/>
      <c r="B2" s="1114" t="s">
        <v>61</v>
      </c>
      <c r="C2" s="1114"/>
      <c r="D2" s="1114"/>
      <c r="E2" s="29"/>
    </row>
    <row r="3" spans="1:5" x14ac:dyDescent="0.2">
      <c r="A3" s="1114" t="s">
        <v>27</v>
      </c>
      <c r="B3" s="1114"/>
      <c r="C3" s="1114"/>
      <c r="D3" s="1114"/>
      <c r="E3" s="1114"/>
    </row>
    <row r="4" spans="1:5" x14ac:dyDescent="0.2">
      <c r="A4" s="29"/>
      <c r="B4" s="29"/>
      <c r="C4" s="29"/>
      <c r="D4" s="29"/>
      <c r="E4" s="29"/>
    </row>
    <row r="5" spans="1:5" x14ac:dyDescent="0.2">
      <c r="A5" s="1131" t="s">
        <v>270</v>
      </c>
      <c r="B5" s="1131"/>
      <c r="C5" s="1131"/>
      <c r="D5" s="1131"/>
      <c r="E5" s="1131"/>
    </row>
    <row r="6" spans="1:5" x14ac:dyDescent="0.2">
      <c r="A6" s="31" t="s">
        <v>946</v>
      </c>
      <c r="B6" s="31"/>
      <c r="C6" s="31"/>
      <c r="D6" s="31"/>
      <c r="E6" s="31"/>
    </row>
    <row r="7" spans="1:5" x14ac:dyDescent="0.2">
      <c r="A7" s="31"/>
      <c r="B7" s="31"/>
      <c r="C7" s="31"/>
      <c r="D7" s="31"/>
      <c r="E7" s="31"/>
    </row>
    <row r="8" spans="1:5" ht="13.5" thickBot="1" x14ac:dyDescent="0.25">
      <c r="A8" s="1114" t="s">
        <v>57</v>
      </c>
      <c r="B8" s="1114"/>
      <c r="C8" s="1114"/>
      <c r="D8" s="1114"/>
      <c r="E8" s="1114"/>
    </row>
    <row r="9" spans="1:5" s="32" customFormat="1" ht="13.5" thickTop="1" thickBot="1" x14ac:dyDescent="0.25">
      <c r="A9" s="90" t="s">
        <v>58</v>
      </c>
      <c r="B9" s="91" t="s">
        <v>29</v>
      </c>
      <c r="C9" s="92" t="s">
        <v>239</v>
      </c>
      <c r="D9" s="92" t="s">
        <v>59</v>
      </c>
      <c r="E9" s="93" t="s">
        <v>31</v>
      </c>
    </row>
    <row r="10" spans="1:5" s="32" customFormat="1" thickTop="1" x14ac:dyDescent="0.2">
      <c r="A10" s="384">
        <v>11</v>
      </c>
      <c r="B10" s="385" t="s">
        <v>32</v>
      </c>
      <c r="C10" s="503"/>
      <c r="D10" s="503"/>
      <c r="E10" s="504">
        <f>+D11</f>
        <v>861420</v>
      </c>
    </row>
    <row r="11" spans="1:5" s="32" customFormat="1" ht="12" x14ac:dyDescent="0.2">
      <c r="A11" s="94">
        <v>118</v>
      </c>
      <c r="B11" s="95" t="s">
        <v>33</v>
      </c>
      <c r="C11" s="568"/>
      <c r="D11" s="683">
        <f>SUM(C12:C21)</f>
        <v>861420</v>
      </c>
      <c r="E11" s="569"/>
    </row>
    <row r="12" spans="1:5" s="32" customFormat="1" ht="12" x14ac:dyDescent="0.2">
      <c r="A12" s="383">
        <v>11801</v>
      </c>
      <c r="B12" s="28" t="s">
        <v>16</v>
      </c>
      <c r="C12" s="682">
        <f>INGxFF!D12</f>
        <v>648900</v>
      </c>
      <c r="D12" s="685"/>
      <c r="E12" s="570"/>
    </row>
    <row r="13" spans="1:5" s="32" customFormat="1" ht="12" x14ac:dyDescent="0.2">
      <c r="A13" s="383">
        <v>11802</v>
      </c>
      <c r="B13" s="28" t="s">
        <v>17</v>
      </c>
      <c r="C13" s="682">
        <f>INGxFF!D13</f>
        <v>1000</v>
      </c>
      <c r="D13" s="685"/>
      <c r="E13" s="690"/>
    </row>
    <row r="14" spans="1:5" s="32" customFormat="1" ht="12" x14ac:dyDescent="0.2">
      <c r="A14" s="383">
        <v>11803</v>
      </c>
      <c r="B14" s="28" t="s">
        <v>220</v>
      </c>
      <c r="C14" s="682">
        <f>INGxFF!D14</f>
        <v>118000</v>
      </c>
      <c r="D14" s="685"/>
      <c r="E14" s="690"/>
    </row>
    <row r="15" spans="1:5" s="32" customFormat="1" ht="12" x14ac:dyDescent="0.2">
      <c r="A15" s="383">
        <v>11804</v>
      </c>
      <c r="B15" s="28" t="s">
        <v>18</v>
      </c>
      <c r="C15" s="682">
        <f>INGxFF!D15</f>
        <v>25000</v>
      </c>
      <c r="D15" s="685"/>
      <c r="E15" s="690"/>
    </row>
    <row r="16" spans="1:5" s="32" customFormat="1" ht="12" x14ac:dyDescent="0.2">
      <c r="A16" s="383">
        <v>11806</v>
      </c>
      <c r="B16" s="28" t="s">
        <v>221</v>
      </c>
      <c r="C16" s="682">
        <f>INGxFF!D16</f>
        <v>250</v>
      </c>
      <c r="D16" s="685"/>
      <c r="E16" s="690"/>
    </row>
    <row r="17" spans="1:5" s="32" customFormat="1" ht="12" x14ac:dyDescent="0.2">
      <c r="A17" s="383">
        <v>11807</v>
      </c>
      <c r="B17" s="28" t="s">
        <v>222</v>
      </c>
      <c r="C17" s="682">
        <f>INGxFF!D17</f>
        <v>100</v>
      </c>
      <c r="D17" s="685"/>
      <c r="E17" s="690"/>
    </row>
    <row r="18" spans="1:5" s="32" customFormat="1" ht="12" x14ac:dyDescent="0.2">
      <c r="A18" s="383">
        <v>11808</v>
      </c>
      <c r="B18" s="28" t="s">
        <v>223</v>
      </c>
      <c r="C18" s="682">
        <f>INGxFF!D18</f>
        <v>170</v>
      </c>
      <c r="D18" s="685"/>
      <c r="E18" s="690"/>
    </row>
    <row r="19" spans="1:5" s="32" customFormat="1" ht="12" x14ac:dyDescent="0.2">
      <c r="A19" s="383">
        <v>11810</v>
      </c>
      <c r="B19" s="28" t="s">
        <v>224</v>
      </c>
      <c r="C19" s="682">
        <f>INGxFF!D19</f>
        <v>10000</v>
      </c>
      <c r="D19" s="684"/>
      <c r="E19" s="690"/>
    </row>
    <row r="20" spans="1:5" s="32" customFormat="1" ht="12" x14ac:dyDescent="0.2">
      <c r="A20" s="383">
        <v>11817</v>
      </c>
      <c r="B20" s="28" t="s">
        <v>225</v>
      </c>
      <c r="C20" s="682">
        <f>INGxFF!D20</f>
        <v>48000</v>
      </c>
      <c r="D20" s="685"/>
      <c r="E20" s="690"/>
    </row>
    <row r="21" spans="1:5" s="32" customFormat="1" ht="12" x14ac:dyDescent="0.2">
      <c r="A21" s="383">
        <v>11818</v>
      </c>
      <c r="B21" s="28" t="s">
        <v>226</v>
      </c>
      <c r="C21" s="682">
        <f>INGxFF!D21</f>
        <v>10000</v>
      </c>
      <c r="D21" s="685"/>
      <c r="E21" s="690"/>
    </row>
    <row r="22" spans="1:5" s="32" customFormat="1" ht="12" x14ac:dyDescent="0.2">
      <c r="A22" s="94">
        <v>12</v>
      </c>
      <c r="B22" s="100" t="s">
        <v>34</v>
      </c>
      <c r="C22" s="683"/>
      <c r="D22" s="685"/>
      <c r="E22" s="691">
        <f>D23</f>
        <v>1254400</v>
      </c>
    </row>
    <row r="23" spans="1:5" s="32" customFormat="1" ht="12" x14ac:dyDescent="0.2">
      <c r="A23" s="94">
        <v>121</v>
      </c>
      <c r="B23" s="100" t="s">
        <v>35</v>
      </c>
      <c r="C23" s="683"/>
      <c r="D23" s="684">
        <f>SUM(C24:C45)</f>
        <v>1254400</v>
      </c>
      <c r="E23" s="690"/>
    </row>
    <row r="24" spans="1:5" s="32" customFormat="1" ht="12" x14ac:dyDescent="0.2">
      <c r="A24" s="383">
        <v>12105</v>
      </c>
      <c r="B24" s="28" t="s">
        <v>227</v>
      </c>
      <c r="C24" s="682">
        <f>INGxFF!D24</f>
        <v>58000</v>
      </c>
      <c r="D24" s="684"/>
      <c r="E24" s="690"/>
    </row>
    <row r="25" spans="1:5" s="32" customFormat="1" ht="12" x14ac:dyDescent="0.2">
      <c r="A25" s="383">
        <v>12106</v>
      </c>
      <c r="B25" s="28" t="s">
        <v>228</v>
      </c>
      <c r="C25" s="682">
        <f>INGxFF!D25</f>
        <v>1800</v>
      </c>
      <c r="D25" s="685"/>
      <c r="E25" s="690"/>
    </row>
    <row r="26" spans="1:5" s="32" customFormat="1" ht="12" x14ac:dyDescent="0.2">
      <c r="A26" s="383">
        <v>12108</v>
      </c>
      <c r="B26" s="28" t="s">
        <v>201</v>
      </c>
      <c r="C26" s="682">
        <f>INGxFF!D26</f>
        <v>60000</v>
      </c>
      <c r="D26" s="685"/>
      <c r="E26" s="690"/>
    </row>
    <row r="27" spans="1:5" s="32" customFormat="1" ht="12" x14ac:dyDescent="0.2">
      <c r="A27" s="383">
        <v>12109</v>
      </c>
      <c r="B27" s="28" t="s">
        <v>218</v>
      </c>
      <c r="C27" s="682">
        <f>INGxFF!D27</f>
        <v>110000</v>
      </c>
      <c r="D27" s="685"/>
      <c r="E27" s="690"/>
    </row>
    <row r="28" spans="1:5" s="32" customFormat="1" ht="12" x14ac:dyDescent="0.2">
      <c r="A28" s="764">
        <f>ProyIng!A19</f>
        <v>12123</v>
      </c>
      <c r="B28" s="761" t="str">
        <f>ProyIng!B19</f>
        <v>Baños públicos</v>
      </c>
      <c r="C28" s="768">
        <f>INGxFF!D28</f>
        <v>35000</v>
      </c>
      <c r="D28" s="685"/>
      <c r="E28" s="690"/>
    </row>
    <row r="29" spans="1:5" s="32" customFormat="1" ht="12" x14ac:dyDescent="0.2">
      <c r="A29" s="383">
        <v>12122</v>
      </c>
      <c r="B29" s="28" t="s">
        <v>614</v>
      </c>
      <c r="C29" s="682">
        <f>INGxFF!D29</f>
        <v>0</v>
      </c>
      <c r="D29" s="685"/>
      <c r="E29" s="690"/>
    </row>
    <row r="30" spans="1:5" s="32" customFormat="1" ht="12" x14ac:dyDescent="0.2">
      <c r="A30" s="383">
        <v>12111</v>
      </c>
      <c r="B30" s="28" t="s">
        <v>19</v>
      </c>
      <c r="C30" s="682">
        <f>INGxFF!D30</f>
        <v>10500</v>
      </c>
      <c r="D30" s="685"/>
      <c r="E30" s="690"/>
    </row>
    <row r="31" spans="1:5" s="32" customFormat="1" ht="12" x14ac:dyDescent="0.2">
      <c r="A31" s="383">
        <v>12113</v>
      </c>
      <c r="B31" s="28" t="s">
        <v>581</v>
      </c>
      <c r="C31" s="682">
        <f>INGxFF!D31</f>
        <v>190000</v>
      </c>
      <c r="D31" s="685"/>
      <c r="E31" s="690"/>
    </row>
    <row r="32" spans="1:5" s="32" customFormat="1" ht="12" x14ac:dyDescent="0.2">
      <c r="A32" s="383">
        <v>12114</v>
      </c>
      <c r="B32" s="28" t="s">
        <v>20</v>
      </c>
      <c r="C32" s="682">
        <f>INGxFF!D32</f>
        <v>75000</v>
      </c>
      <c r="D32" s="685"/>
      <c r="E32" s="690"/>
    </row>
    <row r="33" spans="1:5" s="32" customFormat="1" ht="12" x14ac:dyDescent="0.2">
      <c r="A33" s="383">
        <v>12115</v>
      </c>
      <c r="B33" s="28" t="s">
        <v>435</v>
      </c>
      <c r="C33" s="682">
        <f>INGxFF!D33</f>
        <v>175000</v>
      </c>
      <c r="D33" s="685"/>
      <c r="E33" s="691"/>
    </row>
    <row r="34" spans="1:5" s="32" customFormat="1" ht="12" x14ac:dyDescent="0.2">
      <c r="A34" s="383">
        <v>12115</v>
      </c>
      <c r="B34" s="28" t="s">
        <v>436</v>
      </c>
      <c r="C34" s="682">
        <f>INGxFF!D34</f>
        <v>25000</v>
      </c>
      <c r="D34" s="684"/>
      <c r="E34" s="690"/>
    </row>
    <row r="35" spans="1:5" s="32" customFormat="1" ht="12" x14ac:dyDescent="0.2">
      <c r="A35" s="383">
        <v>12117</v>
      </c>
      <c r="B35" s="28" t="s">
        <v>231</v>
      </c>
      <c r="C35" s="682">
        <f>INGxFF!D35</f>
        <v>58000</v>
      </c>
      <c r="D35" s="685"/>
      <c r="E35" s="690"/>
    </row>
    <row r="36" spans="1:5" s="32" customFormat="1" ht="12" x14ac:dyDescent="0.2">
      <c r="A36" s="383">
        <v>12118</v>
      </c>
      <c r="B36" s="28" t="s">
        <v>232</v>
      </c>
      <c r="C36" s="682">
        <f>INGxFF!D36</f>
        <v>56000</v>
      </c>
      <c r="D36" s="685"/>
      <c r="E36" s="690"/>
    </row>
    <row r="37" spans="1:5" s="32" customFormat="1" ht="12" x14ac:dyDescent="0.2">
      <c r="A37" s="383">
        <v>12119</v>
      </c>
      <c r="B37" s="28" t="s">
        <v>430</v>
      </c>
      <c r="C37" s="682">
        <f>INGxFF!D37</f>
        <v>1500</v>
      </c>
      <c r="D37" s="684"/>
      <c r="E37" s="690"/>
    </row>
    <row r="38" spans="1:5" s="32" customFormat="1" ht="12" x14ac:dyDescent="0.2">
      <c r="A38" s="383">
        <v>12119</v>
      </c>
      <c r="B38" s="28" t="s">
        <v>219</v>
      </c>
      <c r="C38" s="682">
        <f>INGxFF!D38</f>
        <v>3900</v>
      </c>
      <c r="D38" s="685"/>
      <c r="E38" s="690"/>
    </row>
    <row r="39" spans="1:5" s="32" customFormat="1" ht="12" x14ac:dyDescent="0.2">
      <c r="A39" s="383">
        <v>12199</v>
      </c>
      <c r="B39" s="28" t="s">
        <v>21</v>
      </c>
      <c r="C39" s="682">
        <f>INGxFF!D39</f>
        <v>5000</v>
      </c>
      <c r="D39" s="684"/>
      <c r="E39" s="690"/>
    </row>
    <row r="40" spans="1:5" s="32" customFormat="1" ht="12" x14ac:dyDescent="0.2">
      <c r="A40" s="383">
        <f>ProyIng!A30</f>
        <v>12112</v>
      </c>
      <c r="B40" s="28" t="s">
        <v>431</v>
      </c>
      <c r="C40" s="682">
        <f>INGxFF!D40</f>
        <v>110000</v>
      </c>
      <c r="D40" s="685"/>
      <c r="E40" s="690"/>
    </row>
    <row r="41" spans="1:5" s="32" customFormat="1" ht="12" x14ac:dyDescent="0.2">
      <c r="A41" s="383">
        <v>12199</v>
      </c>
      <c r="B41" s="28" t="s">
        <v>278</v>
      </c>
      <c r="C41" s="682">
        <f>INGxFF!D41</f>
        <v>6000</v>
      </c>
      <c r="D41" s="685"/>
      <c r="E41" s="690"/>
    </row>
    <row r="42" spans="1:5" s="32" customFormat="1" ht="12" x14ac:dyDescent="0.2">
      <c r="A42" s="383">
        <v>12210</v>
      </c>
      <c r="B42" s="28" t="s">
        <v>233</v>
      </c>
      <c r="C42" s="682">
        <f>INGxFF!D42</f>
        <v>225000</v>
      </c>
      <c r="D42" s="685"/>
      <c r="E42" s="690"/>
    </row>
    <row r="43" spans="1:5" s="32" customFormat="1" ht="12" x14ac:dyDescent="0.2">
      <c r="A43" s="383">
        <v>12211</v>
      </c>
      <c r="B43" s="28" t="s">
        <v>22</v>
      </c>
      <c r="C43" s="682">
        <f>INGxFF!D43</f>
        <v>700</v>
      </c>
      <c r="D43" s="685"/>
      <c r="E43" s="690"/>
    </row>
    <row r="44" spans="1:5" s="32" customFormat="1" ht="12" x14ac:dyDescent="0.2">
      <c r="A44" s="383">
        <v>14201</v>
      </c>
      <c r="B44" s="28" t="s">
        <v>598</v>
      </c>
      <c r="C44" s="682">
        <f>INGxFF!D44</f>
        <v>30000</v>
      </c>
      <c r="D44" s="685"/>
      <c r="E44" s="691"/>
    </row>
    <row r="45" spans="1:5" s="32" customFormat="1" ht="12" x14ac:dyDescent="0.2">
      <c r="A45" s="383">
        <v>14299</v>
      </c>
      <c r="B45" s="28" t="s">
        <v>434</v>
      </c>
      <c r="C45" s="682">
        <f>INGxFF!D45</f>
        <v>18000</v>
      </c>
      <c r="D45" s="685"/>
      <c r="E45" s="691"/>
    </row>
    <row r="46" spans="1:5" s="32" customFormat="1" ht="12" x14ac:dyDescent="0.2">
      <c r="A46" s="94">
        <v>15</v>
      </c>
      <c r="B46" s="100" t="s">
        <v>36</v>
      </c>
      <c r="C46" s="683"/>
      <c r="D46" s="684"/>
      <c r="E46" s="691">
        <f>D47+D56+D53</f>
        <v>101400.7</v>
      </c>
    </row>
    <row r="47" spans="1:5" s="32" customFormat="1" ht="12" x14ac:dyDescent="0.2">
      <c r="A47" s="94">
        <v>153</v>
      </c>
      <c r="B47" s="100" t="s">
        <v>37</v>
      </c>
      <c r="C47" s="683"/>
      <c r="D47" s="684">
        <f>SUM(C48:C52)</f>
        <v>27400</v>
      </c>
      <c r="E47" s="690"/>
    </row>
    <row r="48" spans="1:5" s="32" customFormat="1" ht="12" x14ac:dyDescent="0.2">
      <c r="A48" s="96">
        <v>15301</v>
      </c>
      <c r="B48" s="97" t="s">
        <v>234</v>
      </c>
      <c r="C48" s="682">
        <f>INGxFF!D48</f>
        <v>12500</v>
      </c>
      <c r="D48" s="685"/>
      <c r="E48" s="690"/>
    </row>
    <row r="49" spans="1:6" s="32" customFormat="1" ht="12" x14ac:dyDescent="0.2">
      <c r="A49" s="96">
        <v>15302</v>
      </c>
      <c r="B49" s="97" t="s">
        <v>235</v>
      </c>
      <c r="C49" s="682">
        <f>INGxFF!D49</f>
        <v>9500</v>
      </c>
      <c r="D49" s="685"/>
      <c r="E49" s="691"/>
    </row>
    <row r="50" spans="1:6" s="32" customFormat="1" ht="12" x14ac:dyDescent="0.2">
      <c r="A50" s="96">
        <v>15310</v>
      </c>
      <c r="B50" s="97" t="s">
        <v>236</v>
      </c>
      <c r="C50" s="682">
        <f>INGxFF!D50</f>
        <v>2200</v>
      </c>
      <c r="D50" s="684"/>
      <c r="E50" s="690"/>
    </row>
    <row r="51" spans="1:6" s="32" customFormat="1" ht="12" x14ac:dyDescent="0.2">
      <c r="A51" s="96">
        <v>15312</v>
      </c>
      <c r="B51" s="97" t="s">
        <v>237</v>
      </c>
      <c r="C51" s="682">
        <f>INGxFF!D51</f>
        <v>200</v>
      </c>
      <c r="D51" s="685"/>
      <c r="E51" s="690"/>
    </row>
    <row r="52" spans="1:6" s="32" customFormat="1" ht="12" x14ac:dyDescent="0.2">
      <c r="A52" s="96">
        <v>15314</v>
      </c>
      <c r="B52" s="97" t="s">
        <v>238</v>
      </c>
      <c r="C52" s="682">
        <f>INGxFF!D52</f>
        <v>3000</v>
      </c>
      <c r="D52" s="685"/>
      <c r="E52" s="690"/>
    </row>
    <row r="53" spans="1:6" s="32" customFormat="1" ht="12" x14ac:dyDescent="0.2">
      <c r="A53" s="94">
        <v>154</v>
      </c>
      <c r="B53" s="100" t="s">
        <v>627</v>
      </c>
      <c r="C53" s="683"/>
      <c r="D53" s="684">
        <f>SUM(C54:C55)</f>
        <v>42000</v>
      </c>
      <c r="E53" s="690"/>
    </row>
    <row r="54" spans="1:6" s="32" customFormat="1" ht="12" x14ac:dyDescent="0.2">
      <c r="A54" s="96">
        <v>15401</v>
      </c>
      <c r="B54" s="97" t="s">
        <v>585</v>
      </c>
      <c r="C54" s="682">
        <f>INGxFF!D54</f>
        <v>12000</v>
      </c>
      <c r="D54" s="685"/>
      <c r="E54" s="690"/>
    </row>
    <row r="55" spans="1:6" s="32" customFormat="1" ht="12" x14ac:dyDescent="0.2">
      <c r="A55" s="96">
        <v>15402</v>
      </c>
      <c r="B55" s="97" t="s">
        <v>628</v>
      </c>
      <c r="C55" s="682">
        <f>INGxFF!D55</f>
        <v>30000</v>
      </c>
      <c r="D55" s="685"/>
      <c r="E55" s="690"/>
    </row>
    <row r="56" spans="1:6" s="32" customFormat="1" ht="12" x14ac:dyDescent="0.2">
      <c r="A56" s="94">
        <v>157</v>
      </c>
      <c r="B56" s="100" t="s">
        <v>38</v>
      </c>
      <c r="C56" s="683"/>
      <c r="D56" s="684">
        <f>SUM(C57:C58)</f>
        <v>32000.7</v>
      </c>
      <c r="E56" s="690"/>
      <c r="F56" s="101"/>
    </row>
    <row r="57" spans="1:6" s="32" customFormat="1" ht="12" x14ac:dyDescent="0.2">
      <c r="A57" s="99">
        <v>15703</v>
      </c>
      <c r="B57" s="98" t="s">
        <v>23</v>
      </c>
      <c r="C57" s="682">
        <f>INGxFF!D57</f>
        <v>0.7</v>
      </c>
      <c r="D57" s="686"/>
      <c r="E57" s="692"/>
    </row>
    <row r="58" spans="1:6" s="32" customFormat="1" ht="12" x14ac:dyDescent="0.2">
      <c r="A58" s="99">
        <v>15799</v>
      </c>
      <c r="B58" s="98" t="s">
        <v>24</v>
      </c>
      <c r="C58" s="682">
        <f>INGxFF!D58</f>
        <v>32000</v>
      </c>
      <c r="D58" s="685"/>
      <c r="E58" s="693"/>
    </row>
    <row r="59" spans="1:6" s="32" customFormat="1" ht="12" x14ac:dyDescent="0.2">
      <c r="A59" s="94">
        <v>16</v>
      </c>
      <c r="B59" s="100" t="s">
        <v>39</v>
      </c>
      <c r="C59" s="684"/>
      <c r="D59" s="685"/>
      <c r="E59" s="694">
        <f>D60+D64</f>
        <v>1407042.8399999999</v>
      </c>
    </row>
    <row r="60" spans="1:6" s="32" customFormat="1" ht="12" x14ac:dyDescent="0.2">
      <c r="A60" s="94">
        <v>162</v>
      </c>
      <c r="B60" s="100" t="s">
        <v>40</v>
      </c>
      <c r="C60" s="684"/>
      <c r="D60" s="684">
        <f>SUM(C61:C63)</f>
        <v>1404042.8399999999</v>
      </c>
      <c r="E60" s="693"/>
    </row>
    <row r="61" spans="1:6" s="32" customFormat="1" ht="12" x14ac:dyDescent="0.2">
      <c r="A61" s="99">
        <v>16201</v>
      </c>
      <c r="B61" s="98" t="s">
        <v>745</v>
      </c>
      <c r="C61" s="685">
        <f>INGxFF!C61</f>
        <v>0</v>
      </c>
      <c r="D61" s="687"/>
      <c r="E61" s="695"/>
    </row>
    <row r="62" spans="1:6" s="32" customFormat="1" ht="24" x14ac:dyDescent="0.2">
      <c r="A62" s="99">
        <v>1620701</v>
      </c>
      <c r="B62" s="1010" t="s">
        <v>847</v>
      </c>
      <c r="C62" s="685">
        <f>INGxFF!I62</f>
        <v>654654.84</v>
      </c>
      <c r="D62" s="687"/>
      <c r="E62" s="695"/>
    </row>
    <row r="63" spans="1:6" s="32" customFormat="1" ht="12" x14ac:dyDescent="0.2">
      <c r="A63" s="99">
        <v>1620703</v>
      </c>
      <c r="B63" s="1010" t="s">
        <v>910</v>
      </c>
      <c r="C63" s="685">
        <f>INGxFF!C63</f>
        <v>749388</v>
      </c>
      <c r="D63" s="687"/>
      <c r="E63" s="695"/>
    </row>
    <row r="64" spans="1:6" s="32" customFormat="1" ht="12" x14ac:dyDescent="0.2">
      <c r="A64" s="94">
        <v>163</v>
      </c>
      <c r="B64" s="100" t="s">
        <v>654</v>
      </c>
      <c r="C64" s="684"/>
      <c r="D64" s="688">
        <f>C65</f>
        <v>3000</v>
      </c>
      <c r="E64" s="695"/>
    </row>
    <row r="65" spans="1:5" s="32" customFormat="1" ht="12" x14ac:dyDescent="0.2">
      <c r="A65" s="99">
        <v>16301</v>
      </c>
      <c r="B65" s="98" t="s">
        <v>655</v>
      </c>
      <c r="C65" s="685">
        <f>INGxFF!H65</f>
        <v>3000</v>
      </c>
      <c r="D65" s="687"/>
      <c r="E65" s="695"/>
    </row>
    <row r="66" spans="1:5" s="32" customFormat="1" ht="12" x14ac:dyDescent="0.2">
      <c r="A66" s="94">
        <v>21</v>
      </c>
      <c r="B66" s="100" t="s">
        <v>768</v>
      </c>
      <c r="C66" s="684"/>
      <c r="D66" s="688"/>
      <c r="E66" s="696">
        <f>INGxFF!D66</f>
        <v>3000</v>
      </c>
    </row>
    <row r="67" spans="1:5" s="32" customFormat="1" ht="12" x14ac:dyDescent="0.2">
      <c r="A67" s="94">
        <v>211</v>
      </c>
      <c r="B67" s="100" t="s">
        <v>769</v>
      </c>
      <c r="C67" s="684"/>
      <c r="D67" s="688">
        <f>INGxFF!D67</f>
        <v>3000</v>
      </c>
      <c r="E67" s="696"/>
    </row>
    <row r="68" spans="1:5" s="32" customFormat="1" ht="12" x14ac:dyDescent="0.2">
      <c r="A68" s="99">
        <v>21101</v>
      </c>
      <c r="B68" s="98" t="s">
        <v>762</v>
      </c>
      <c r="C68" s="685">
        <f>INGxFF!D68</f>
        <v>3000</v>
      </c>
      <c r="D68" s="687"/>
      <c r="E68" s="695"/>
    </row>
    <row r="69" spans="1:5" s="32" customFormat="1" ht="12" x14ac:dyDescent="0.2">
      <c r="A69" s="94">
        <v>22</v>
      </c>
      <c r="B69" s="100" t="s">
        <v>41</v>
      </c>
      <c r="C69" s="684"/>
      <c r="D69" s="687"/>
      <c r="E69" s="696">
        <f>D70</f>
        <v>22500</v>
      </c>
    </row>
    <row r="70" spans="1:5" s="32" customFormat="1" ht="12" x14ac:dyDescent="0.2">
      <c r="A70" s="94">
        <v>222</v>
      </c>
      <c r="B70" s="100" t="s">
        <v>42</v>
      </c>
      <c r="C70" s="684"/>
      <c r="D70" s="689">
        <f>INGxFF!I70</f>
        <v>22500</v>
      </c>
      <c r="E70" s="697"/>
    </row>
    <row r="71" spans="1:5" s="32" customFormat="1" ht="12" x14ac:dyDescent="0.2">
      <c r="A71" s="99">
        <v>22201</v>
      </c>
      <c r="B71" s="98" t="s">
        <v>746</v>
      </c>
      <c r="C71" s="684">
        <f>INGxFF!C71</f>
        <v>0</v>
      </c>
      <c r="D71" s="689"/>
      <c r="E71" s="697"/>
    </row>
    <row r="72" spans="1:5" s="32" customFormat="1" ht="12" x14ac:dyDescent="0.2">
      <c r="A72" s="99">
        <v>22202</v>
      </c>
      <c r="B72" s="98" t="s">
        <v>747</v>
      </c>
      <c r="C72" s="684">
        <f>INGxFF!C72</f>
        <v>0</v>
      </c>
      <c r="D72" s="689"/>
      <c r="E72" s="697"/>
    </row>
    <row r="73" spans="1:5" s="32" customFormat="1" ht="12" x14ac:dyDescent="0.2">
      <c r="A73" s="99">
        <v>22205</v>
      </c>
      <c r="B73" s="98" t="s">
        <v>972</v>
      </c>
      <c r="C73" s="684">
        <f>INGxFF!C73</f>
        <v>22500</v>
      </c>
      <c r="D73" s="689"/>
      <c r="E73" s="697"/>
    </row>
    <row r="74" spans="1:5" s="32" customFormat="1" ht="12" x14ac:dyDescent="0.2">
      <c r="A74" s="99">
        <v>22207</v>
      </c>
      <c r="B74" s="98" t="s">
        <v>914</v>
      </c>
      <c r="C74" s="685">
        <f>INGxFF!C74</f>
        <v>0</v>
      </c>
      <c r="D74" s="688"/>
      <c r="E74" s="696"/>
    </row>
    <row r="75" spans="1:5" s="32" customFormat="1" ht="12" x14ac:dyDescent="0.2">
      <c r="A75" s="776">
        <v>22207</v>
      </c>
      <c r="B75" s="777" t="s">
        <v>748</v>
      </c>
      <c r="C75" s="685">
        <f>INGxFF!C75</f>
        <v>0</v>
      </c>
      <c r="D75" s="688"/>
      <c r="E75" s="696"/>
    </row>
    <row r="76" spans="1:5" s="32" customFormat="1" x14ac:dyDescent="0.2">
      <c r="A76" s="39">
        <v>313</v>
      </c>
      <c r="B76" s="40" t="s">
        <v>506</v>
      </c>
      <c r="C76" s="685"/>
      <c r="D76" s="688"/>
      <c r="E76" s="696">
        <f>C77</f>
        <v>0</v>
      </c>
    </row>
    <row r="77" spans="1:5" s="32" customFormat="1" x14ac:dyDescent="0.2">
      <c r="A77" s="37">
        <v>31308</v>
      </c>
      <c r="B77" s="38" t="s">
        <v>367</v>
      </c>
      <c r="C77" s="685">
        <f>INGxFF!I77</f>
        <v>0</v>
      </c>
      <c r="D77" s="688">
        <f>C77</f>
        <v>0</v>
      </c>
      <c r="E77" s="695"/>
    </row>
    <row r="78" spans="1:5" s="32" customFormat="1" ht="12" x14ac:dyDescent="0.2">
      <c r="A78" s="94">
        <v>32</v>
      </c>
      <c r="B78" s="100" t="s">
        <v>43</v>
      </c>
      <c r="C78" s="684"/>
      <c r="D78" s="687"/>
      <c r="E78" s="696">
        <f>SUM(D79:D82)</f>
        <v>1018532.34</v>
      </c>
    </row>
    <row r="79" spans="1:5" s="32" customFormat="1" ht="12" x14ac:dyDescent="0.2">
      <c r="A79" s="94">
        <v>321</v>
      </c>
      <c r="B79" s="100" t="s">
        <v>44</v>
      </c>
      <c r="C79" s="684"/>
      <c r="D79" s="688">
        <f>SUM(C81)</f>
        <v>543569.94999999995</v>
      </c>
      <c r="E79" s="572"/>
    </row>
    <row r="80" spans="1:5" s="32" customFormat="1" ht="12" x14ac:dyDescent="0.2">
      <c r="A80" s="99">
        <v>32101</v>
      </c>
      <c r="B80" s="98" t="s">
        <v>45</v>
      </c>
      <c r="C80" s="684"/>
      <c r="D80" s="688"/>
      <c r="E80" s="572"/>
    </row>
    <row r="81" spans="1:7" s="32" customFormat="1" ht="12" x14ac:dyDescent="0.2">
      <c r="A81" s="99">
        <v>32102</v>
      </c>
      <c r="B81" s="98" t="s">
        <v>46</v>
      </c>
      <c r="C81" s="685">
        <f>INGxFF!I81</f>
        <v>543569.94999999995</v>
      </c>
      <c r="D81" s="688"/>
      <c r="E81" s="572"/>
    </row>
    <row r="82" spans="1:7" s="32" customFormat="1" ht="12" x14ac:dyDescent="0.2">
      <c r="A82" s="94">
        <v>322</v>
      </c>
      <c r="B82" s="100" t="s">
        <v>679</v>
      </c>
      <c r="C82" s="684"/>
      <c r="D82" s="746">
        <f>SUM(C83)</f>
        <v>474962.39</v>
      </c>
      <c r="E82" s="747"/>
    </row>
    <row r="83" spans="1:7" s="32" customFormat="1" ht="12" x14ac:dyDescent="0.2">
      <c r="A83" s="99">
        <v>32201</v>
      </c>
      <c r="B83" s="98" t="s">
        <v>681</v>
      </c>
      <c r="C83" s="685">
        <f>INGxFF!I83</f>
        <v>474962.39</v>
      </c>
      <c r="D83" s="571"/>
      <c r="E83" s="572"/>
    </row>
    <row r="84" spans="1:7" s="32" customFormat="1" ht="17.25" customHeight="1" thickBot="1" x14ac:dyDescent="0.25">
      <c r="A84" s="1132" t="s">
        <v>25</v>
      </c>
      <c r="B84" s="1133"/>
      <c r="C84" s="680">
        <f>SUM(C12:C83)</f>
        <v>4668295.88</v>
      </c>
      <c r="D84" s="680">
        <f>D79+D70+D60+D56+D47+D23+D11+D77+D64+D53+D82</f>
        <v>4665295.88</v>
      </c>
      <c r="E84" s="681">
        <f>E78+E69+E59+E46+E22+E10+E76+E66</f>
        <v>4668295.88</v>
      </c>
    </row>
    <row r="85" spans="1:7" ht="13.5" thickTop="1" x14ac:dyDescent="0.2">
      <c r="B85" s="47"/>
      <c r="C85" s="47"/>
      <c r="D85" s="47"/>
      <c r="E85" s="47"/>
    </row>
    <row r="86" spans="1:7" x14ac:dyDescent="0.2">
      <c r="B86" s="51"/>
      <c r="C86" s="51"/>
      <c r="D86" s="51"/>
      <c r="E86" s="51"/>
    </row>
    <row r="87" spans="1:7" x14ac:dyDescent="0.2">
      <c r="C87" s="43">
        <f>E84-INGxFF!I85</f>
        <v>0</v>
      </c>
      <c r="G87" s="43"/>
    </row>
    <row r="230" spans="1:5" x14ac:dyDescent="0.2">
      <c r="A230" s="52"/>
      <c r="B230" s="52"/>
      <c r="C230" s="52"/>
      <c r="D230" s="52"/>
      <c r="E230" s="52"/>
    </row>
    <row r="231" spans="1:5" x14ac:dyDescent="0.2">
      <c r="A231" s="52"/>
      <c r="B231" s="52"/>
      <c r="C231" s="52"/>
      <c r="D231" s="52"/>
      <c r="E231" s="52"/>
    </row>
  </sheetData>
  <mergeCells count="6">
    <mergeCell ref="A84:B84"/>
    <mergeCell ref="A1:E1"/>
    <mergeCell ref="A3:E3"/>
    <mergeCell ref="A5:E5"/>
    <mergeCell ref="A8:E8"/>
    <mergeCell ref="B2:D2"/>
  </mergeCells>
  <phoneticPr fontId="0" type="noConversion"/>
  <printOptions horizontalCentered="1"/>
  <pageMargins left="0.43307086614173229" right="0.39370078740157483" top="0.82677165354330717" bottom="0.39370078740157483" header="0" footer="0"/>
  <pageSetup scale="75" orientation="portrait" horizontalDpi="4294967294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M47"/>
  <sheetViews>
    <sheetView showGridLines="0" topLeftCell="A23" zoomScaleNormal="100" workbookViewId="0">
      <selection activeCell="E43" sqref="E43"/>
    </sheetView>
  </sheetViews>
  <sheetFormatPr baseColWidth="10" defaultColWidth="15.7109375" defaultRowHeight="12.75" x14ac:dyDescent="0.2"/>
  <cols>
    <col min="1" max="1" width="3.85546875" style="30" customWidth="1"/>
    <col min="2" max="2" width="14.140625" style="434" customWidth="1"/>
    <col min="3" max="3" width="60.7109375" style="30" customWidth="1"/>
    <col min="4" max="4" width="15.5703125" style="86" bestFit="1" customWidth="1"/>
    <col min="5" max="5" width="22.7109375" style="30" bestFit="1" customWidth="1"/>
    <col min="6" max="10" width="15.7109375" style="30"/>
    <col min="11" max="12" width="16.85546875" style="30" customWidth="1"/>
    <col min="13" max="16384" width="15.7109375" style="30"/>
  </cols>
  <sheetData>
    <row r="1" spans="1:13" x14ac:dyDescent="0.2">
      <c r="B1" s="1114" t="s">
        <v>217</v>
      </c>
      <c r="C1" s="1114"/>
      <c r="D1" s="1114"/>
      <c r="E1" s="1114"/>
      <c r="F1" s="1114"/>
      <c r="G1" s="1114"/>
      <c r="H1" s="1114"/>
      <c r="I1" s="1114"/>
      <c r="J1" s="1114"/>
      <c r="K1" s="1114"/>
      <c r="L1" s="1114"/>
      <c r="M1" s="1114"/>
    </row>
    <row r="2" spans="1:13" ht="15" x14ac:dyDescent="0.25">
      <c r="B2" s="1140" t="s">
        <v>947</v>
      </c>
      <c r="C2" s="1140"/>
      <c r="D2" s="1140"/>
      <c r="E2" s="1140"/>
      <c r="F2" s="1140"/>
      <c r="G2" s="1140"/>
      <c r="H2" s="1140"/>
      <c r="I2" s="1140"/>
      <c r="J2" s="1140"/>
      <c r="K2" s="1140"/>
      <c r="L2" s="1140"/>
      <c r="M2" s="1140"/>
    </row>
    <row r="3" spans="1:13" ht="13.5" thickBot="1" x14ac:dyDescent="0.25"/>
    <row r="4" spans="1:13" ht="39.75" thickTop="1" thickBot="1" x14ac:dyDescent="0.25">
      <c r="A4" s="848" t="s">
        <v>66</v>
      </c>
      <c r="B4" s="849" t="s">
        <v>65</v>
      </c>
      <c r="C4" s="916" t="s">
        <v>64</v>
      </c>
      <c r="D4" s="1020" t="s">
        <v>711</v>
      </c>
      <c r="E4" s="917" t="s">
        <v>62</v>
      </c>
      <c r="F4" s="917" t="s">
        <v>392</v>
      </c>
      <c r="G4" s="917" t="s">
        <v>393</v>
      </c>
      <c r="H4" s="917" t="s">
        <v>712</v>
      </c>
      <c r="I4" s="917" t="s">
        <v>713</v>
      </c>
      <c r="J4" s="917" t="s">
        <v>916</v>
      </c>
      <c r="K4" s="917" t="s">
        <v>767</v>
      </c>
      <c r="L4" s="1090" t="s">
        <v>980</v>
      </c>
      <c r="M4" s="918" t="s">
        <v>698</v>
      </c>
    </row>
    <row r="5" spans="1:13" ht="15" customHeight="1" x14ac:dyDescent="0.2">
      <c r="A5" s="87">
        <v>1</v>
      </c>
      <c r="B5" s="915">
        <v>4740006733</v>
      </c>
      <c r="C5" s="921" t="s">
        <v>586</v>
      </c>
      <c r="D5" s="922">
        <f>SUM(E5:M5)</f>
        <v>10000</v>
      </c>
      <c r="E5" s="922">
        <v>10000</v>
      </c>
      <c r="F5" s="923"/>
      <c r="G5" s="923"/>
      <c r="H5" s="923"/>
      <c r="I5" s="923"/>
      <c r="J5" s="923"/>
      <c r="K5" s="923"/>
      <c r="L5" s="923"/>
      <c r="M5" s="923"/>
    </row>
    <row r="6" spans="1:13" ht="15" customHeight="1" x14ac:dyDescent="0.2">
      <c r="A6" s="88">
        <v>2</v>
      </c>
      <c r="B6" s="915">
        <v>4740008019</v>
      </c>
      <c r="C6" s="921" t="s">
        <v>587</v>
      </c>
      <c r="D6" s="922">
        <f t="shared" ref="D6:D25" si="0">SUM(E6:M6)</f>
        <v>3500</v>
      </c>
      <c r="E6" s="922">
        <v>3500</v>
      </c>
      <c r="F6" s="923"/>
      <c r="G6" s="921"/>
      <c r="H6" s="921"/>
      <c r="I6" s="921"/>
      <c r="J6" s="921"/>
      <c r="K6" s="921"/>
      <c r="L6" s="921"/>
      <c r="M6" s="698"/>
    </row>
    <row r="7" spans="1:13" ht="15" customHeight="1" x14ac:dyDescent="0.2">
      <c r="A7" s="88">
        <v>3</v>
      </c>
      <c r="B7" s="915">
        <v>4740017417</v>
      </c>
      <c r="C7" s="921" t="s">
        <v>588</v>
      </c>
      <c r="D7" s="922">
        <f t="shared" si="0"/>
        <v>5000</v>
      </c>
      <c r="E7" s="922">
        <v>5000</v>
      </c>
      <c r="F7" s="923"/>
      <c r="G7" s="921"/>
      <c r="H7" s="921"/>
      <c r="I7" s="921"/>
      <c r="J7" s="921"/>
      <c r="K7" s="921"/>
      <c r="L7" s="921"/>
      <c r="M7" s="922"/>
    </row>
    <row r="8" spans="1:13" ht="12.75" customHeight="1" x14ac:dyDescent="0.2">
      <c r="A8" s="88">
        <v>5</v>
      </c>
      <c r="B8" s="915">
        <v>4740020434</v>
      </c>
      <c r="C8" s="921" t="s">
        <v>589</v>
      </c>
      <c r="D8" s="922">
        <f t="shared" si="0"/>
        <v>50000</v>
      </c>
      <c r="E8" s="922">
        <v>50000</v>
      </c>
      <c r="F8" s="923"/>
      <c r="G8" s="921"/>
      <c r="H8" s="921"/>
      <c r="I8" s="921"/>
      <c r="J8" s="921"/>
      <c r="K8" s="921"/>
      <c r="L8" s="921"/>
      <c r="M8" s="698"/>
    </row>
    <row r="9" spans="1:13" ht="15" customHeight="1" x14ac:dyDescent="0.2">
      <c r="A9" s="88">
        <v>6</v>
      </c>
      <c r="B9" s="915">
        <v>4740020736</v>
      </c>
      <c r="C9" s="921" t="s">
        <v>590</v>
      </c>
      <c r="D9" s="922">
        <f t="shared" si="0"/>
        <v>7000</v>
      </c>
      <c r="E9" s="922">
        <v>7000</v>
      </c>
      <c r="F9" s="923"/>
      <c r="G9" s="921"/>
      <c r="H9" s="921"/>
      <c r="I9" s="921"/>
      <c r="J9" s="921"/>
      <c r="K9" s="921"/>
      <c r="L9" s="921"/>
      <c r="M9" s="922"/>
    </row>
    <row r="10" spans="1:13" ht="15" customHeight="1" thickBot="1" x14ac:dyDescent="0.25">
      <c r="A10" s="88">
        <v>8</v>
      </c>
      <c r="B10" s="915">
        <v>4740015910</v>
      </c>
      <c r="C10" s="921" t="s">
        <v>591</v>
      </c>
      <c r="D10" s="922">
        <f t="shared" si="0"/>
        <v>732</v>
      </c>
      <c r="E10" s="923"/>
      <c r="F10" s="922">
        <v>732</v>
      </c>
      <c r="G10" s="921"/>
      <c r="H10" s="921"/>
      <c r="I10" s="921"/>
      <c r="J10" s="921"/>
      <c r="K10" s="921"/>
      <c r="L10" s="921"/>
      <c r="M10" s="698"/>
    </row>
    <row r="11" spans="1:13" ht="15" customHeight="1" x14ac:dyDescent="0.2">
      <c r="A11" s="87">
        <v>10</v>
      </c>
      <c r="B11" s="915">
        <v>4740017409</v>
      </c>
      <c r="C11" s="921" t="s">
        <v>592</v>
      </c>
      <c r="D11" s="922">
        <f t="shared" si="0"/>
        <v>2626</v>
      </c>
      <c r="E11" s="923"/>
      <c r="F11" s="922">
        <v>2626</v>
      </c>
      <c r="G11" s="921"/>
      <c r="H11" s="921"/>
      <c r="I11" s="921"/>
      <c r="J11" s="921"/>
      <c r="K11" s="921"/>
      <c r="L11" s="921"/>
      <c r="M11" s="922"/>
    </row>
    <row r="12" spans="1:13" ht="15" customHeight="1" x14ac:dyDescent="0.2">
      <c r="A12" s="88">
        <v>12</v>
      </c>
      <c r="B12" s="915">
        <v>4740015902</v>
      </c>
      <c r="C12" s="921" t="s">
        <v>593</v>
      </c>
      <c r="D12" s="922">
        <f t="shared" si="0"/>
        <v>8693.52</v>
      </c>
      <c r="E12" s="923"/>
      <c r="F12" s="923"/>
      <c r="G12" s="924">
        <f>2500+6193.52</f>
        <v>8693.52</v>
      </c>
      <c r="H12" s="924"/>
      <c r="I12" s="924"/>
      <c r="J12" s="924"/>
      <c r="K12" s="921"/>
      <c r="L12" s="921"/>
      <c r="M12" s="698"/>
    </row>
    <row r="13" spans="1:13" ht="15" customHeight="1" x14ac:dyDescent="0.2">
      <c r="A13" s="88"/>
      <c r="B13" s="915"/>
      <c r="C13" s="921" t="s">
        <v>714</v>
      </c>
      <c r="D13" s="922">
        <f t="shared" si="0"/>
        <v>848</v>
      </c>
      <c r="E13" s="923"/>
      <c r="F13" s="923"/>
      <c r="G13" s="921"/>
      <c r="H13" s="924">
        <v>848</v>
      </c>
      <c r="I13" s="921"/>
      <c r="J13" s="921"/>
      <c r="K13" s="921"/>
      <c r="L13" s="921"/>
      <c r="M13" s="922"/>
    </row>
    <row r="14" spans="1:13" ht="15" customHeight="1" x14ac:dyDescent="0.2">
      <c r="A14" s="88"/>
      <c r="B14" s="915"/>
      <c r="C14" s="921" t="s">
        <v>728</v>
      </c>
      <c r="D14" s="922">
        <f>SUM(E14:M14)</f>
        <v>112276.43</v>
      </c>
      <c r="E14" s="923"/>
      <c r="F14" s="923"/>
      <c r="G14" s="1036">
        <v>92</v>
      </c>
      <c r="H14" s="924"/>
      <c r="I14" s="921"/>
      <c r="J14" s="921"/>
      <c r="K14" s="921"/>
      <c r="L14" s="921"/>
      <c r="M14" s="1035">
        <f>33811.92+78372.51</f>
        <v>112184.43</v>
      </c>
    </row>
    <row r="15" spans="1:13" ht="15" customHeight="1" x14ac:dyDescent="0.2">
      <c r="A15" s="88"/>
      <c r="B15" s="915"/>
      <c r="C15" s="921" t="s">
        <v>715</v>
      </c>
      <c r="D15" s="922">
        <f t="shared" si="0"/>
        <v>3950</v>
      </c>
      <c r="E15" s="923"/>
      <c r="F15" s="923"/>
      <c r="G15" s="921"/>
      <c r="H15" s="921"/>
      <c r="I15" s="924">
        <v>3950</v>
      </c>
      <c r="J15" s="924"/>
      <c r="K15" s="921"/>
      <c r="L15" s="921"/>
      <c r="M15" s="922"/>
    </row>
    <row r="16" spans="1:13" ht="15" customHeight="1" x14ac:dyDescent="0.2">
      <c r="A16" s="88"/>
      <c r="B16" s="915"/>
      <c r="C16" s="921" t="s">
        <v>765</v>
      </c>
      <c r="D16" s="922">
        <f t="shared" si="0"/>
        <v>190000</v>
      </c>
      <c r="E16" s="923"/>
      <c r="F16" s="923"/>
      <c r="G16" s="921"/>
      <c r="H16" s="921"/>
      <c r="I16" s="924"/>
      <c r="J16" s="924"/>
      <c r="K16" s="1109">
        <f>160000+30000</f>
        <v>190000</v>
      </c>
      <c r="L16" s="923"/>
      <c r="M16" s="922"/>
    </row>
    <row r="17" spans="1:13" ht="15" customHeight="1" x14ac:dyDescent="0.2">
      <c r="A17" s="88"/>
      <c r="B17" s="915"/>
      <c r="C17" s="921" t="s">
        <v>766</v>
      </c>
      <c r="D17" s="922">
        <f t="shared" si="0"/>
        <v>12200</v>
      </c>
      <c r="E17" s="923"/>
      <c r="F17" s="923"/>
      <c r="G17" s="921"/>
      <c r="H17" s="921"/>
      <c r="I17" s="924"/>
      <c r="J17" s="924"/>
      <c r="K17" s="1101">
        <v>12200</v>
      </c>
      <c r="L17" s="923"/>
      <c r="M17" s="922"/>
    </row>
    <row r="18" spans="1:13" ht="15" customHeight="1" x14ac:dyDescent="0.2">
      <c r="A18" s="88"/>
      <c r="B18" s="915"/>
      <c r="C18" s="921" t="s">
        <v>917</v>
      </c>
      <c r="D18" s="922">
        <f t="shared" si="0"/>
        <v>122300</v>
      </c>
      <c r="E18" s="923"/>
      <c r="F18" s="923"/>
      <c r="G18" s="921"/>
      <c r="H18" s="921"/>
      <c r="I18" s="924"/>
      <c r="J18" s="924">
        <f>64300+58000</f>
        <v>122300</v>
      </c>
      <c r="K18" s="923"/>
      <c r="L18" s="923"/>
      <c r="M18" s="922"/>
    </row>
    <row r="19" spans="1:13" ht="15" customHeight="1" x14ac:dyDescent="0.2">
      <c r="A19" s="88"/>
      <c r="B19" s="915" t="s">
        <v>594</v>
      </c>
      <c r="C19" s="921" t="s">
        <v>595</v>
      </c>
      <c r="D19" s="922">
        <f t="shared" si="0"/>
        <v>5300</v>
      </c>
      <c r="E19" s="923">
        <v>5300</v>
      </c>
      <c r="F19" s="923"/>
      <c r="G19" s="923"/>
      <c r="H19" s="923"/>
      <c r="I19" s="923"/>
      <c r="J19" s="923"/>
      <c r="K19" s="922"/>
      <c r="L19" s="922"/>
      <c r="M19" s="923"/>
    </row>
    <row r="20" spans="1:13" ht="15" customHeight="1" x14ac:dyDescent="0.2">
      <c r="A20" s="88"/>
      <c r="B20" s="915" t="s">
        <v>596</v>
      </c>
      <c r="C20" s="921" t="s">
        <v>595</v>
      </c>
      <c r="D20" s="922">
        <f t="shared" si="0"/>
        <v>530</v>
      </c>
      <c r="E20" s="923">
        <v>530</v>
      </c>
      <c r="F20" s="923"/>
      <c r="G20" s="923"/>
      <c r="H20" s="923"/>
      <c r="I20" s="923"/>
      <c r="J20" s="923"/>
      <c r="K20" s="922"/>
      <c r="L20" s="922"/>
      <c r="M20" s="923"/>
    </row>
    <row r="21" spans="1:13" ht="15" customHeight="1" x14ac:dyDescent="0.2">
      <c r="A21" s="88"/>
      <c r="B21" s="915"/>
      <c r="C21" s="921" t="s">
        <v>689</v>
      </c>
      <c r="D21" s="922">
        <f t="shared" si="0"/>
        <v>0</v>
      </c>
      <c r="E21" s="923">
        <v>0</v>
      </c>
      <c r="F21" s="923"/>
      <c r="G21" s="923"/>
      <c r="H21" s="923"/>
      <c r="I21" s="923"/>
      <c r="J21" s="923"/>
      <c r="K21" s="922"/>
      <c r="L21" s="922"/>
      <c r="M21" s="923"/>
    </row>
    <row r="22" spans="1:13" ht="15" customHeight="1" x14ac:dyDescent="0.2">
      <c r="A22" s="88"/>
      <c r="B22" s="915"/>
      <c r="C22" s="921" t="s">
        <v>690</v>
      </c>
      <c r="D22" s="922">
        <f t="shared" si="0"/>
        <v>4</v>
      </c>
      <c r="E22" s="923">
        <v>4</v>
      </c>
      <c r="F22" s="923"/>
      <c r="G22" s="923"/>
      <c r="H22" s="923"/>
      <c r="I22" s="923"/>
      <c r="J22" s="923"/>
      <c r="K22" s="922"/>
      <c r="L22" s="922"/>
      <c r="M22" s="923"/>
    </row>
    <row r="23" spans="1:13" ht="15" customHeight="1" x14ac:dyDescent="0.2">
      <c r="A23" s="88"/>
      <c r="B23" s="915"/>
      <c r="C23" s="921" t="s">
        <v>688</v>
      </c>
      <c r="D23" s="922">
        <f t="shared" si="0"/>
        <v>600</v>
      </c>
      <c r="E23" s="923">
        <v>600</v>
      </c>
      <c r="F23" s="923"/>
      <c r="G23" s="923"/>
      <c r="H23" s="923"/>
      <c r="I23" s="923"/>
      <c r="J23" s="923"/>
      <c r="K23" s="922"/>
      <c r="L23" s="922"/>
      <c r="M23" s="923"/>
    </row>
    <row r="24" spans="1:13" ht="15" customHeight="1" x14ac:dyDescent="0.2">
      <c r="A24" s="88"/>
      <c r="B24" s="915"/>
      <c r="C24" s="921" t="s">
        <v>979</v>
      </c>
      <c r="D24" s="922">
        <f t="shared" si="0"/>
        <v>8000</v>
      </c>
      <c r="E24" s="923"/>
      <c r="F24" s="923"/>
      <c r="G24" s="923"/>
      <c r="H24" s="923"/>
      <c r="I24" s="923"/>
      <c r="J24" s="923"/>
      <c r="K24" s="922"/>
      <c r="L24" s="922">
        <v>8000</v>
      </c>
      <c r="M24" s="923"/>
    </row>
    <row r="25" spans="1:13" ht="15" customHeight="1" thickBot="1" x14ac:dyDescent="0.25">
      <c r="A25" s="88"/>
      <c r="B25" s="915"/>
      <c r="C25" s="921" t="s">
        <v>678</v>
      </c>
      <c r="D25" s="922">
        <f t="shared" si="0"/>
        <v>10</v>
      </c>
      <c r="E25" s="923">
        <v>10</v>
      </c>
      <c r="F25" s="923"/>
      <c r="G25" s="923"/>
      <c r="H25" s="923"/>
      <c r="I25" s="923"/>
      <c r="J25" s="923"/>
      <c r="K25" s="922"/>
      <c r="L25" s="922"/>
      <c r="M25" s="923"/>
    </row>
    <row r="26" spans="1:13" ht="13.5" thickBot="1" x14ac:dyDescent="0.25">
      <c r="A26" s="89"/>
      <c r="B26" s="435">
        <v>32101</v>
      </c>
      <c r="C26" s="919" t="s">
        <v>682</v>
      </c>
      <c r="D26" s="920">
        <f t="shared" ref="D26:I26" si="1">SUM(D5:D25)</f>
        <v>543569.94999999995</v>
      </c>
      <c r="E26" s="1097">
        <f t="shared" si="1"/>
        <v>81944</v>
      </c>
      <c r="F26" s="1100">
        <f t="shared" si="1"/>
        <v>3358</v>
      </c>
      <c r="G26" s="1107">
        <f t="shared" si="1"/>
        <v>8785.52</v>
      </c>
      <c r="H26" s="1108">
        <f t="shared" si="1"/>
        <v>848</v>
      </c>
      <c r="I26" s="1108">
        <f t="shared" si="1"/>
        <v>3950</v>
      </c>
      <c r="J26" s="1108">
        <f t="shared" ref="J26:M26" si="2">SUM(J5:J25)</f>
        <v>122300</v>
      </c>
      <c r="K26" s="920">
        <f t="shared" si="2"/>
        <v>202200</v>
      </c>
      <c r="L26" s="1108">
        <f t="shared" si="2"/>
        <v>8000</v>
      </c>
      <c r="M26" s="1108">
        <f t="shared" si="2"/>
        <v>112184.43</v>
      </c>
    </row>
    <row r="27" spans="1:13" ht="14.25" thickTop="1" thickBot="1" x14ac:dyDescent="0.25"/>
    <row r="28" spans="1:13" x14ac:dyDescent="0.2">
      <c r="D28" s="750" t="s">
        <v>754</v>
      </c>
      <c r="E28" s="751">
        <f>K26</f>
        <v>202200</v>
      </c>
    </row>
    <row r="29" spans="1:13" x14ac:dyDescent="0.2">
      <c r="D29" s="896" t="s">
        <v>756</v>
      </c>
      <c r="E29" s="897">
        <f>F26</f>
        <v>3358</v>
      </c>
    </row>
    <row r="30" spans="1:13" x14ac:dyDescent="0.2">
      <c r="D30" s="896" t="s">
        <v>757</v>
      </c>
      <c r="E30" s="897">
        <f>G26+H26</f>
        <v>9633.52</v>
      </c>
      <c r="H30" s="893"/>
    </row>
    <row r="31" spans="1:13" x14ac:dyDescent="0.2">
      <c r="D31" s="896" t="s">
        <v>755</v>
      </c>
      <c r="E31" s="897">
        <f>L26</f>
        <v>8000</v>
      </c>
      <c r="F31" s="30" t="s">
        <v>702</v>
      </c>
    </row>
    <row r="32" spans="1:13" x14ac:dyDescent="0.2">
      <c r="D32" s="752" t="s">
        <v>750</v>
      </c>
      <c r="E32" s="753">
        <f>E26</f>
        <v>81944</v>
      </c>
      <c r="G32" s="30" t="s">
        <v>666</v>
      </c>
      <c r="M32" s="561"/>
    </row>
    <row r="33" spans="2:10" x14ac:dyDescent="0.2">
      <c r="D33" s="752" t="s">
        <v>751</v>
      </c>
      <c r="E33" s="753">
        <v>0</v>
      </c>
    </row>
    <row r="34" spans="2:10" x14ac:dyDescent="0.2">
      <c r="D34" s="752" t="s">
        <v>752</v>
      </c>
      <c r="E34" s="753">
        <f>M26</f>
        <v>112184.43</v>
      </c>
      <c r="G34" s="86"/>
      <c r="H34" s="86"/>
      <c r="I34" s="86"/>
      <c r="J34" s="86"/>
    </row>
    <row r="35" spans="2:10" x14ac:dyDescent="0.2">
      <c r="D35" s="752" t="s">
        <v>753</v>
      </c>
      <c r="E35" s="753">
        <v>0</v>
      </c>
    </row>
    <row r="36" spans="2:10" x14ac:dyDescent="0.2">
      <c r="D36" s="894" t="s">
        <v>918</v>
      </c>
      <c r="E36" s="753">
        <f>J26</f>
        <v>122300</v>
      </c>
    </row>
    <row r="37" spans="2:10" ht="13.5" thickBot="1" x14ac:dyDescent="0.25">
      <c r="D37" s="894" t="s">
        <v>755</v>
      </c>
      <c r="E37" s="895">
        <f>I26</f>
        <v>3950</v>
      </c>
    </row>
    <row r="38" spans="2:10" ht="13.5" thickBot="1" x14ac:dyDescent="0.25">
      <c r="D38" s="1105" t="s">
        <v>682</v>
      </c>
      <c r="E38" s="1104">
        <f>SUM(E28:E37)</f>
        <v>543569.94999999995</v>
      </c>
      <c r="G38" s="86"/>
      <c r="H38" s="86"/>
      <c r="I38" s="86"/>
      <c r="J38" s="86"/>
    </row>
    <row r="39" spans="2:10" ht="13.5" thickBot="1" x14ac:dyDescent="0.25">
      <c r="D39" s="756"/>
      <c r="E39" s="755"/>
      <c r="G39" s="86"/>
      <c r="H39" s="86"/>
      <c r="I39" s="86"/>
      <c r="J39" s="86"/>
    </row>
    <row r="40" spans="2:10" ht="13.5" thickBot="1" x14ac:dyDescent="0.25">
      <c r="B40" s="754">
        <v>322</v>
      </c>
      <c r="C40" s="1137" t="s">
        <v>679</v>
      </c>
      <c r="D40" s="1138"/>
      <c r="E40" s="1139"/>
    </row>
    <row r="41" spans="2:10" ht="13.5" thickBot="1" x14ac:dyDescent="0.25">
      <c r="B41" s="748"/>
      <c r="C41" s="1141" t="s">
        <v>683</v>
      </c>
      <c r="D41" s="1142"/>
      <c r="E41" s="779"/>
      <c r="F41" s="86"/>
    </row>
    <row r="42" spans="2:10" ht="13.5" thickBot="1" x14ac:dyDescent="0.25">
      <c r="B42" s="850"/>
      <c r="C42" s="851" t="s">
        <v>712</v>
      </c>
      <c r="D42" s="852"/>
      <c r="E42" s="779"/>
      <c r="F42" s="86"/>
    </row>
    <row r="43" spans="2:10" ht="15" x14ac:dyDescent="0.25">
      <c r="B43" s="749"/>
      <c r="C43" s="1125" t="s">
        <v>977</v>
      </c>
      <c r="D43" s="1134"/>
      <c r="E43" s="1110">
        <v>55853.25</v>
      </c>
      <c r="F43" s="30" t="s">
        <v>978</v>
      </c>
    </row>
    <row r="44" spans="2:10" x14ac:dyDescent="0.2">
      <c r="B44" s="749"/>
      <c r="C44" s="891" t="s">
        <v>968</v>
      </c>
      <c r="D44" s="892"/>
      <c r="E44" s="1102">
        <v>109109.14</v>
      </c>
      <c r="F44" s="30" t="s">
        <v>971</v>
      </c>
      <c r="H44" s="86"/>
    </row>
    <row r="45" spans="2:10" x14ac:dyDescent="0.2">
      <c r="B45" s="749"/>
      <c r="C45" s="1143" t="s">
        <v>83</v>
      </c>
      <c r="D45" s="1144"/>
      <c r="E45" s="780">
        <f>SUM(E41:E44)</f>
        <v>164962.39000000001</v>
      </c>
      <c r="H45" s="86"/>
    </row>
    <row r="46" spans="2:10" x14ac:dyDescent="0.2">
      <c r="B46" s="749"/>
      <c r="C46" s="1125" t="s">
        <v>137</v>
      </c>
      <c r="D46" s="1134"/>
      <c r="E46" s="1098">
        <v>310000</v>
      </c>
    </row>
    <row r="47" spans="2:10" ht="13.5" thickBot="1" x14ac:dyDescent="0.25">
      <c r="B47" s="757">
        <v>32201</v>
      </c>
      <c r="C47" s="1135" t="s">
        <v>684</v>
      </c>
      <c r="D47" s="1136"/>
      <c r="E47" s="1103">
        <f>SUM(E45:E46)</f>
        <v>474962.39</v>
      </c>
    </row>
  </sheetData>
  <mergeCells count="8">
    <mergeCell ref="C46:D46"/>
    <mergeCell ref="C47:D47"/>
    <mergeCell ref="C40:E40"/>
    <mergeCell ref="B2:M2"/>
    <mergeCell ref="B1:M1"/>
    <mergeCell ref="C41:D41"/>
    <mergeCell ref="C45:D45"/>
    <mergeCell ref="C43:D43"/>
  </mergeCells>
  <phoneticPr fontId="0" type="noConversion"/>
  <printOptions horizontalCentered="1" verticalCentered="1"/>
  <pageMargins left="0.43307086614173229" right="0.51181102362204722" top="0.98425196850393704" bottom="0.98425196850393704" header="0" footer="0"/>
  <pageSetup scale="75" orientation="landscape" horizontalDpi="4294967294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/>
  <dimension ref="A1:U248"/>
  <sheetViews>
    <sheetView showGridLines="0" topLeftCell="A73" zoomScale="148" zoomScaleNormal="148" zoomScaleSheetLayoutView="100" workbookViewId="0">
      <selection sqref="A1:P1"/>
    </sheetView>
  </sheetViews>
  <sheetFormatPr baseColWidth="10" defaultColWidth="11.42578125" defaultRowHeight="12.75" x14ac:dyDescent="0.2"/>
  <cols>
    <col min="1" max="1" width="5.42578125" style="30" customWidth="1"/>
    <col min="2" max="2" width="32.140625" style="52" bestFit="1" customWidth="1"/>
    <col min="3" max="3" width="25" style="32" bestFit="1" customWidth="1"/>
    <col min="4" max="4" width="7.42578125" style="30" customWidth="1"/>
    <col min="5" max="5" width="7.42578125" style="44" customWidth="1"/>
    <col min="6" max="6" width="5.7109375" style="44" hidden="1" customWidth="1"/>
    <col min="7" max="7" width="12.42578125" style="181" bestFit="1" customWidth="1"/>
    <col min="8" max="8" width="12.140625" style="44" bestFit="1" customWidth="1"/>
    <col min="9" max="9" width="13.85546875" style="30" bestFit="1" customWidth="1"/>
    <col min="10" max="10" width="17.85546875" style="30" bestFit="1" customWidth="1"/>
    <col min="11" max="11" width="13.85546875" style="30" bestFit="1" customWidth="1"/>
    <col min="12" max="12" width="8.42578125" style="30" customWidth="1"/>
    <col min="13" max="13" width="12.42578125" style="30" bestFit="1" customWidth="1"/>
    <col min="14" max="14" width="6.42578125" style="30" bestFit="1" customWidth="1"/>
    <col min="15" max="15" width="12.42578125" style="30" bestFit="1" customWidth="1"/>
    <col min="16" max="16" width="14" style="30" bestFit="1" customWidth="1"/>
    <col min="17" max="17" width="9.7109375" style="30" customWidth="1"/>
    <col min="18" max="18" width="14" style="30" bestFit="1" customWidth="1"/>
    <col min="19" max="16384" width="11.42578125" style="30"/>
  </cols>
  <sheetData>
    <row r="1" spans="1:21" ht="20.25" customHeight="1" x14ac:dyDescent="0.3">
      <c r="A1" s="1171" t="s">
        <v>268</v>
      </c>
      <c r="B1" s="1171"/>
      <c r="C1" s="1171"/>
      <c r="D1" s="1171"/>
      <c r="E1" s="1171"/>
      <c r="F1" s="1171"/>
      <c r="G1" s="1171"/>
      <c r="H1" s="1171"/>
      <c r="I1" s="1171"/>
      <c r="J1" s="1171"/>
      <c r="K1" s="1171"/>
      <c r="L1" s="1171"/>
      <c r="M1" s="1171"/>
      <c r="N1" s="1171"/>
      <c r="O1" s="1171"/>
      <c r="P1" s="1171"/>
    </row>
    <row r="2" spans="1:21" ht="14.25" customHeight="1" x14ac:dyDescent="0.25">
      <c r="A2" s="1172" t="s">
        <v>948</v>
      </c>
      <c r="B2" s="1172"/>
      <c r="C2" s="1172"/>
      <c r="D2" s="1172"/>
      <c r="E2" s="1172"/>
      <c r="F2" s="1172"/>
      <c r="G2" s="1172"/>
      <c r="H2" s="1172"/>
      <c r="I2" s="1172"/>
      <c r="J2" s="1172"/>
      <c r="K2" s="1172"/>
      <c r="L2" s="1172"/>
      <c r="M2" s="1172"/>
      <c r="N2" s="1172"/>
      <c r="O2" s="1172"/>
      <c r="P2" s="1172"/>
    </row>
    <row r="3" spans="1:21" ht="15.75" x14ac:dyDescent="0.25">
      <c r="A3" s="1172" t="s">
        <v>72</v>
      </c>
      <c r="B3" s="1172"/>
      <c r="C3" s="1172"/>
      <c r="D3" s="1172"/>
      <c r="E3" s="1172"/>
      <c r="F3" s="1172"/>
      <c r="G3" s="1172"/>
      <c r="H3" s="1172"/>
      <c r="I3" s="1172"/>
      <c r="J3" s="1172"/>
      <c r="K3" s="1172"/>
      <c r="L3" s="1172"/>
      <c r="M3" s="1172"/>
      <c r="N3" s="1172"/>
      <c r="O3" s="1172"/>
      <c r="P3" s="1172"/>
    </row>
    <row r="4" spans="1:21" ht="5.25" customHeight="1" thickBot="1" x14ac:dyDescent="0.3">
      <c r="A4" s="495">
        <v>305</v>
      </c>
      <c r="B4" s="496">
        <v>1.1499999999999999</v>
      </c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</row>
    <row r="5" spans="1:21" s="52" customFormat="1" ht="18" customHeight="1" thickTop="1" thickBot="1" x14ac:dyDescent="0.25">
      <c r="A5" s="1162" t="s">
        <v>73</v>
      </c>
      <c r="B5" s="1165" t="s">
        <v>74</v>
      </c>
      <c r="C5" s="1168" t="s">
        <v>75</v>
      </c>
      <c r="D5" s="1146" t="s">
        <v>87</v>
      </c>
      <c r="E5" s="1146" t="s">
        <v>85</v>
      </c>
      <c r="F5" s="1146" t="s">
        <v>86</v>
      </c>
      <c r="G5" s="1149" t="s">
        <v>76</v>
      </c>
      <c r="H5" s="1150"/>
      <c r="I5" s="1151"/>
      <c r="J5" s="1146" t="s">
        <v>77</v>
      </c>
      <c r="K5" s="1156" t="s">
        <v>78</v>
      </c>
      <c r="L5" s="1156"/>
      <c r="M5" s="1156"/>
      <c r="N5" s="1156"/>
      <c r="O5" s="1156"/>
      <c r="P5" s="1157" t="s">
        <v>31</v>
      </c>
    </row>
    <row r="6" spans="1:21" s="52" customFormat="1" ht="11.25" customHeight="1" thickBot="1" x14ac:dyDescent="0.25">
      <c r="A6" s="1163"/>
      <c r="B6" s="1166"/>
      <c r="C6" s="1169"/>
      <c r="D6" s="1147"/>
      <c r="E6" s="1147"/>
      <c r="F6" s="1147"/>
      <c r="G6" s="1152"/>
      <c r="H6" s="1153"/>
      <c r="I6" s="1154"/>
      <c r="J6" s="1155"/>
      <c r="K6" s="102" t="s">
        <v>79</v>
      </c>
      <c r="L6" s="1160" t="s">
        <v>80</v>
      </c>
      <c r="M6" s="1161"/>
      <c r="N6" s="1161"/>
      <c r="O6" s="1161"/>
      <c r="P6" s="1158"/>
    </row>
    <row r="7" spans="1:21" s="52" customFormat="1" ht="34.5" thickBot="1" x14ac:dyDescent="0.25">
      <c r="A7" s="1163"/>
      <c r="B7" s="1166"/>
      <c r="C7" s="1169"/>
      <c r="D7" s="1147"/>
      <c r="E7" s="1147"/>
      <c r="F7" s="1147"/>
      <c r="G7" s="386" t="s">
        <v>275</v>
      </c>
      <c r="H7" s="387" t="s">
        <v>276</v>
      </c>
      <c r="I7" s="387" t="s">
        <v>277</v>
      </c>
      <c r="J7" s="105" t="s">
        <v>81</v>
      </c>
      <c r="K7" s="661" t="s">
        <v>940</v>
      </c>
      <c r="L7" s="106" t="s">
        <v>271</v>
      </c>
      <c r="M7" s="387" t="s">
        <v>631</v>
      </c>
      <c r="N7" s="106" t="s">
        <v>629</v>
      </c>
      <c r="O7" s="107" t="s">
        <v>25</v>
      </c>
      <c r="P7" s="1158"/>
    </row>
    <row r="8" spans="1:21" s="52" customFormat="1" thickTop="1" thickBot="1" x14ac:dyDescent="0.25">
      <c r="A8" s="388">
        <v>1</v>
      </c>
      <c r="B8" s="389" t="s">
        <v>241</v>
      </c>
      <c r="C8" s="389" t="s">
        <v>283</v>
      </c>
      <c r="D8" s="390">
        <v>1</v>
      </c>
      <c r="E8" s="391" t="s">
        <v>3</v>
      </c>
      <c r="F8" s="391"/>
      <c r="G8" s="783">
        <v>5040</v>
      </c>
      <c r="H8" s="783">
        <f>D8*G8</f>
        <v>5040</v>
      </c>
      <c r="I8" s="783">
        <f>+H8*12</f>
        <v>60480</v>
      </c>
      <c r="J8" s="563">
        <f>305*D8</f>
        <v>305</v>
      </c>
      <c r="K8" s="784">
        <f>+I8*8.75%</f>
        <v>5292</v>
      </c>
      <c r="L8" s="783"/>
      <c r="M8" s="785">
        <f>IF(G8&gt;1000,1000*8.5%*12,G8*8.5%*12*D8)</f>
        <v>1020</v>
      </c>
      <c r="N8" s="783"/>
      <c r="O8" s="783">
        <f>SUM(L8:N8)</f>
        <v>1020</v>
      </c>
      <c r="P8" s="786">
        <f>SUM(I8:N8)</f>
        <v>67097</v>
      </c>
      <c r="Q8" s="114"/>
      <c r="R8" s="114"/>
      <c r="S8" s="114"/>
      <c r="T8" s="114"/>
      <c r="U8" s="114"/>
    </row>
    <row r="9" spans="1:21" s="52" customFormat="1" thickTop="1" thickBot="1" x14ac:dyDescent="0.25">
      <c r="A9" s="115">
        <v>2</v>
      </c>
      <c r="B9" s="116" t="s">
        <v>240</v>
      </c>
      <c r="C9" s="116" t="s">
        <v>283</v>
      </c>
      <c r="D9" s="117">
        <v>1</v>
      </c>
      <c r="E9" s="118" t="s">
        <v>3</v>
      </c>
      <c r="F9" s="118"/>
      <c r="G9" s="787">
        <v>750</v>
      </c>
      <c r="H9" s="787">
        <f>D9*G9</f>
        <v>750</v>
      </c>
      <c r="I9" s="787">
        <f>+H9*12</f>
        <v>9000</v>
      </c>
      <c r="J9" s="563">
        <f>305*D9</f>
        <v>305</v>
      </c>
      <c r="K9" s="784">
        <f t="shared" ref="K9:K12" si="0">+I9*8.75%</f>
        <v>787.5</v>
      </c>
      <c r="L9" s="787"/>
      <c r="M9" s="785">
        <f>IF(G9&gt;1000,1000*8.5%*12,G9*8.5%*12*D9)</f>
        <v>765.00000000000011</v>
      </c>
      <c r="N9" s="787"/>
      <c r="O9" s="787">
        <f>SUM(L9:N9)</f>
        <v>765.00000000000011</v>
      </c>
      <c r="P9" s="786">
        <f>SUM(I9:N9)</f>
        <v>10857.5</v>
      </c>
      <c r="Q9" s="114"/>
      <c r="R9" s="114"/>
      <c r="S9" s="114"/>
      <c r="T9" s="114"/>
      <c r="U9" s="114"/>
    </row>
    <row r="10" spans="1:21" s="52" customFormat="1" thickTop="1" thickBot="1" x14ac:dyDescent="0.25">
      <c r="A10" s="115">
        <v>3</v>
      </c>
      <c r="B10" s="116" t="s">
        <v>860</v>
      </c>
      <c r="C10" s="116" t="s">
        <v>283</v>
      </c>
      <c r="D10" s="117">
        <v>2</v>
      </c>
      <c r="E10" s="118" t="s">
        <v>3</v>
      </c>
      <c r="F10" s="118"/>
      <c r="G10" s="787"/>
      <c r="H10" s="787">
        <f>D10*G10</f>
        <v>0</v>
      </c>
      <c r="I10" s="787">
        <f>+H10*12</f>
        <v>0</v>
      </c>
      <c r="J10" s="563"/>
      <c r="K10" s="784">
        <f t="shared" si="0"/>
        <v>0</v>
      </c>
      <c r="L10" s="787"/>
      <c r="M10" s="785">
        <f>IF(G10&gt;1000,1000*8.5%*12,G10*8.5%*12*D10)</f>
        <v>0</v>
      </c>
      <c r="N10" s="787"/>
      <c r="O10" s="787">
        <f>SUM(L10:N10)</f>
        <v>0</v>
      </c>
      <c r="P10" s="786">
        <f>SUM(I10:N10)</f>
        <v>0</v>
      </c>
      <c r="Q10" s="114"/>
      <c r="R10" s="114"/>
      <c r="S10" s="114"/>
      <c r="T10" s="114"/>
      <c r="U10" s="114"/>
    </row>
    <row r="11" spans="1:21" s="52" customFormat="1" thickTop="1" thickBot="1" x14ac:dyDescent="0.25">
      <c r="A11" s="115">
        <v>4</v>
      </c>
      <c r="B11" s="116" t="s">
        <v>504</v>
      </c>
      <c r="C11" s="116" t="s">
        <v>283</v>
      </c>
      <c r="D11" s="117">
        <v>2</v>
      </c>
      <c r="E11" s="118" t="s">
        <v>3</v>
      </c>
      <c r="F11" s="118"/>
      <c r="G11" s="787">
        <v>500</v>
      </c>
      <c r="H11" s="787">
        <f>D11*G11</f>
        <v>1000</v>
      </c>
      <c r="I11" s="787">
        <f>+H11*12</f>
        <v>12000</v>
      </c>
      <c r="J11" s="563">
        <f>305*D11</f>
        <v>610</v>
      </c>
      <c r="K11" s="784">
        <f t="shared" si="0"/>
        <v>1050</v>
      </c>
      <c r="L11" s="787"/>
      <c r="M11" s="785">
        <f>IF(G11&gt;1000,1000*8.5%*12,G11*8.5%*12*D11)</f>
        <v>1020</v>
      </c>
      <c r="N11" s="787"/>
      <c r="O11" s="787">
        <f>SUM(L11:N11)</f>
        <v>1020</v>
      </c>
      <c r="P11" s="786">
        <f>SUM(I11:N11)</f>
        <v>14680</v>
      </c>
      <c r="Q11" s="114"/>
      <c r="R11" s="114"/>
      <c r="S11" s="114"/>
      <c r="T11" s="114"/>
      <c r="U11" s="114"/>
    </row>
    <row r="12" spans="1:21" s="52" customFormat="1" ht="12" thickTop="1" x14ac:dyDescent="0.2">
      <c r="A12" s="115">
        <v>5</v>
      </c>
      <c r="B12" s="116" t="s">
        <v>722</v>
      </c>
      <c r="C12" s="116" t="s">
        <v>283</v>
      </c>
      <c r="D12" s="117">
        <v>1</v>
      </c>
      <c r="E12" s="118" t="s">
        <v>3</v>
      </c>
      <c r="F12" s="118"/>
      <c r="G12" s="787"/>
      <c r="H12" s="787">
        <f>D12*G12</f>
        <v>0</v>
      </c>
      <c r="I12" s="787">
        <f>+H12*12</f>
        <v>0</v>
      </c>
      <c r="J12" s="563"/>
      <c r="K12" s="784">
        <f t="shared" si="0"/>
        <v>0</v>
      </c>
      <c r="L12" s="787"/>
      <c r="M12" s="785">
        <f>IF(G12&gt;1000,1000*8.5%*12,G12*8.5%*12*D12)</f>
        <v>0</v>
      </c>
      <c r="N12" s="787"/>
      <c r="O12" s="787">
        <f>SUM(L12:N12)</f>
        <v>0</v>
      </c>
      <c r="P12" s="786">
        <f>SUM(I12:N12)</f>
        <v>0</v>
      </c>
      <c r="Q12" s="114"/>
      <c r="R12" s="114"/>
      <c r="S12" s="114"/>
      <c r="T12" s="114"/>
      <c r="U12" s="114"/>
    </row>
    <row r="13" spans="1:21" s="52" customFormat="1" ht="11.25" x14ac:dyDescent="0.2">
      <c r="A13" s="115"/>
      <c r="B13" s="121" t="s">
        <v>409</v>
      </c>
      <c r="C13" s="116" t="s">
        <v>242</v>
      </c>
      <c r="D13" s="443"/>
      <c r="E13" s="623"/>
      <c r="F13" s="623"/>
      <c r="G13" s="789">
        <f>SUM(G8:G12)</f>
        <v>6290</v>
      </c>
      <c r="H13" s="789">
        <f t="shared" ref="H13:P13" si="1">SUM(H8:H12)</f>
        <v>6790</v>
      </c>
      <c r="I13" s="789">
        <f t="shared" si="1"/>
        <v>81480</v>
      </c>
      <c r="J13" s="789">
        <f t="shared" si="1"/>
        <v>1220</v>
      </c>
      <c r="K13" s="789">
        <f t="shared" si="1"/>
        <v>7129.5</v>
      </c>
      <c r="L13" s="789">
        <f t="shared" si="1"/>
        <v>0</v>
      </c>
      <c r="M13" s="789">
        <f t="shared" si="1"/>
        <v>2805</v>
      </c>
      <c r="N13" s="789">
        <f t="shared" si="1"/>
        <v>0</v>
      </c>
      <c r="O13" s="789">
        <f t="shared" si="1"/>
        <v>2805</v>
      </c>
      <c r="P13" s="789">
        <f t="shared" si="1"/>
        <v>92634.5</v>
      </c>
      <c r="Q13" s="114"/>
      <c r="R13" s="114"/>
      <c r="S13" s="114"/>
      <c r="T13" s="114"/>
      <c r="U13" s="114"/>
    </row>
    <row r="14" spans="1:21" s="52" customFormat="1" ht="11.25" x14ac:dyDescent="0.2">
      <c r="A14" s="115">
        <v>6</v>
      </c>
      <c r="B14" s="116" t="s">
        <v>243</v>
      </c>
      <c r="C14" s="116" t="s">
        <v>244</v>
      </c>
      <c r="D14" s="117">
        <v>1</v>
      </c>
      <c r="E14" s="118" t="s">
        <v>3</v>
      </c>
      <c r="F14" s="118"/>
      <c r="G14" s="787">
        <v>1500</v>
      </c>
      <c r="H14" s="787">
        <f>D14*G14</f>
        <v>1500</v>
      </c>
      <c r="I14" s="787">
        <f>+H14*12</f>
        <v>18000</v>
      </c>
      <c r="J14" s="563">
        <f>305*D14</f>
        <v>305</v>
      </c>
      <c r="K14" s="787">
        <f>+I14*8.75%</f>
        <v>1575</v>
      </c>
      <c r="L14" s="787"/>
      <c r="M14" s="784">
        <f>IF(G14&gt;1000,1000*8.5%*12,G14*8.5%*12*D14)</f>
        <v>1020</v>
      </c>
      <c r="N14" s="787"/>
      <c r="O14" s="787">
        <f>SUM(L14:N14)</f>
        <v>1020</v>
      </c>
      <c r="P14" s="788">
        <f>SUM(I14:N14)</f>
        <v>20900</v>
      </c>
      <c r="Q14" s="114"/>
      <c r="R14" s="114"/>
      <c r="S14" s="114"/>
      <c r="T14" s="114"/>
      <c r="U14" s="114"/>
    </row>
    <row r="15" spans="1:21" s="125" customFormat="1" ht="11.25" x14ac:dyDescent="0.2">
      <c r="A15" s="115">
        <v>7</v>
      </c>
      <c r="B15" s="116" t="s">
        <v>572</v>
      </c>
      <c r="C15" s="116" t="s">
        <v>244</v>
      </c>
      <c r="D15" s="117">
        <v>1</v>
      </c>
      <c r="E15" s="118" t="s">
        <v>3</v>
      </c>
      <c r="F15" s="118"/>
      <c r="G15" s="787">
        <v>650</v>
      </c>
      <c r="H15" s="787">
        <f>D15*G15</f>
        <v>650</v>
      </c>
      <c r="I15" s="787">
        <f>+H15*12</f>
        <v>7800</v>
      </c>
      <c r="J15" s="563">
        <f>305*D15</f>
        <v>305</v>
      </c>
      <c r="K15" s="787">
        <f>+I15*8.75%</f>
        <v>682.5</v>
      </c>
      <c r="L15" s="789"/>
      <c r="M15" s="784">
        <f>IF(G15&gt;1000,1000*8.5%*12,G15*8.5%*12*D15)</f>
        <v>663.00000000000011</v>
      </c>
      <c r="N15" s="787"/>
      <c r="O15" s="787">
        <f>SUM(L15:N15)</f>
        <v>663.00000000000011</v>
      </c>
      <c r="P15" s="788">
        <f>SUM(I15:N15)</f>
        <v>9450.5</v>
      </c>
      <c r="Q15" s="114"/>
      <c r="R15" s="114"/>
      <c r="S15" s="114"/>
      <c r="T15" s="124"/>
      <c r="U15" s="124"/>
    </row>
    <row r="16" spans="1:21" s="52" customFormat="1" ht="11.25" x14ac:dyDescent="0.2">
      <c r="A16" s="115"/>
      <c r="B16" s="121" t="s">
        <v>410</v>
      </c>
      <c r="C16" s="116"/>
      <c r="D16" s="117"/>
      <c r="E16" s="118"/>
      <c r="F16" s="118"/>
      <c r="G16" s="789">
        <f>SUM(G14:G15)</f>
        <v>2150</v>
      </c>
      <c r="H16" s="789">
        <f t="shared" ref="H16:O16" si="2">SUM(H14:H15)</f>
        <v>2150</v>
      </c>
      <c r="I16" s="789">
        <f t="shared" si="2"/>
        <v>25800</v>
      </c>
      <c r="J16" s="789">
        <f t="shared" si="2"/>
        <v>610</v>
      </c>
      <c r="K16" s="789">
        <f t="shared" si="2"/>
        <v>2257.5</v>
      </c>
      <c r="L16" s="789">
        <f t="shared" si="2"/>
        <v>0</v>
      </c>
      <c r="M16" s="789">
        <f t="shared" si="2"/>
        <v>1683</v>
      </c>
      <c r="N16" s="789">
        <f t="shared" si="2"/>
        <v>0</v>
      </c>
      <c r="O16" s="789">
        <f t="shared" si="2"/>
        <v>1683</v>
      </c>
      <c r="P16" s="789">
        <f>SUM(P14:P15)</f>
        <v>30350.5</v>
      </c>
      <c r="Q16" s="114"/>
      <c r="R16" s="114"/>
      <c r="S16" s="114"/>
      <c r="T16" s="114"/>
      <c r="U16" s="114"/>
    </row>
    <row r="17" spans="1:21" s="52" customFormat="1" ht="11.25" x14ac:dyDescent="0.2">
      <c r="A17" s="115">
        <v>8</v>
      </c>
      <c r="B17" s="116" t="s">
        <v>245</v>
      </c>
      <c r="C17" s="116" t="s">
        <v>246</v>
      </c>
      <c r="D17" s="117">
        <v>1</v>
      </c>
      <c r="E17" s="118" t="s">
        <v>3</v>
      </c>
      <c r="F17" s="118"/>
      <c r="G17" s="787">
        <v>750</v>
      </c>
      <c r="H17" s="787">
        <f>D17*G17</f>
        <v>750</v>
      </c>
      <c r="I17" s="787">
        <f>+H17*12</f>
        <v>9000</v>
      </c>
      <c r="J17" s="787">
        <v>305</v>
      </c>
      <c r="K17" s="787">
        <f>+I17*8.75%</f>
        <v>787.5</v>
      </c>
      <c r="L17" s="787"/>
      <c r="M17" s="784">
        <f>IF(G17&gt;1000,1000*8.5%*12,G17*8.5%*12*D17)</f>
        <v>765.00000000000011</v>
      </c>
      <c r="N17" s="787"/>
      <c r="O17" s="787">
        <f>SUM(L17:N17)</f>
        <v>765.00000000000011</v>
      </c>
      <c r="P17" s="788">
        <f>SUM(I17:N17)</f>
        <v>10857.5</v>
      </c>
      <c r="Q17" s="114"/>
      <c r="R17" s="114"/>
      <c r="S17" s="114"/>
      <c r="T17" s="114"/>
      <c r="U17" s="114"/>
    </row>
    <row r="18" spans="1:21" s="52" customFormat="1" ht="11.25" x14ac:dyDescent="0.2">
      <c r="A18" s="115"/>
      <c r="B18" s="121" t="s">
        <v>410</v>
      </c>
      <c r="C18" s="116"/>
      <c r="D18" s="117"/>
      <c r="E18" s="118"/>
      <c r="F18" s="118"/>
      <c r="G18" s="789">
        <f>G17</f>
        <v>750</v>
      </c>
      <c r="H18" s="789">
        <f t="shared" ref="H18:P18" si="3">H17</f>
        <v>750</v>
      </c>
      <c r="I18" s="789">
        <f t="shared" si="3"/>
        <v>9000</v>
      </c>
      <c r="J18" s="789">
        <f t="shared" si="3"/>
        <v>305</v>
      </c>
      <c r="K18" s="789">
        <f t="shared" si="3"/>
        <v>787.5</v>
      </c>
      <c r="L18" s="789">
        <f t="shared" si="3"/>
        <v>0</v>
      </c>
      <c r="M18" s="789">
        <f t="shared" si="3"/>
        <v>765.00000000000011</v>
      </c>
      <c r="N18" s="789">
        <f t="shared" si="3"/>
        <v>0</v>
      </c>
      <c r="O18" s="789">
        <f t="shared" si="3"/>
        <v>765.00000000000011</v>
      </c>
      <c r="P18" s="789">
        <f t="shared" si="3"/>
        <v>10857.5</v>
      </c>
      <c r="Q18" s="114"/>
      <c r="R18" s="114"/>
      <c r="S18" s="114"/>
      <c r="T18" s="114"/>
      <c r="U18" s="114"/>
    </row>
    <row r="19" spans="1:21" s="125" customFormat="1" ht="11.25" x14ac:dyDescent="0.2">
      <c r="A19" s="115">
        <v>9</v>
      </c>
      <c r="B19" s="116" t="s">
        <v>247</v>
      </c>
      <c r="C19" s="116" t="s">
        <v>248</v>
      </c>
      <c r="D19" s="117">
        <v>1</v>
      </c>
      <c r="E19" s="118" t="s">
        <v>3</v>
      </c>
      <c r="F19" s="118"/>
      <c r="G19" s="787">
        <v>1485</v>
      </c>
      <c r="H19" s="787">
        <f>D19*G19</f>
        <v>1485</v>
      </c>
      <c r="I19" s="787">
        <f>+H19*12</f>
        <v>17820</v>
      </c>
      <c r="J19" s="563">
        <f>305*D19</f>
        <v>305</v>
      </c>
      <c r="K19" s="787">
        <f>+I19*8.75%</f>
        <v>1559.25</v>
      </c>
      <c r="L19" s="789"/>
      <c r="M19" s="784">
        <f>IF(G19&gt;1000,1000*8.5%*12,G19*8.5%*12*D19)</f>
        <v>1020</v>
      </c>
      <c r="N19" s="787"/>
      <c r="O19" s="787">
        <f>SUM(L19:N19)</f>
        <v>1020</v>
      </c>
      <c r="P19" s="788">
        <f>SUM(I19:N19)</f>
        <v>20704.25</v>
      </c>
      <c r="Q19" s="114"/>
      <c r="R19" s="114"/>
      <c r="S19" s="114"/>
      <c r="T19" s="124"/>
      <c r="U19" s="124"/>
    </row>
    <row r="20" spans="1:21" s="125" customFormat="1" ht="11.25" x14ac:dyDescent="0.2">
      <c r="A20" s="115">
        <v>10</v>
      </c>
      <c r="B20" s="116" t="s">
        <v>484</v>
      </c>
      <c r="C20" s="116" t="s">
        <v>248</v>
      </c>
      <c r="D20" s="117">
        <v>1</v>
      </c>
      <c r="E20" s="118" t="s">
        <v>3</v>
      </c>
      <c r="F20" s="118"/>
      <c r="G20" s="787">
        <v>800</v>
      </c>
      <c r="H20" s="787">
        <f>D20*G20</f>
        <v>800</v>
      </c>
      <c r="I20" s="787">
        <f>+H20*12</f>
        <v>9600</v>
      </c>
      <c r="J20" s="563">
        <f>305*D20</f>
        <v>305</v>
      </c>
      <c r="K20" s="787">
        <f>+I20*8.75%</f>
        <v>840</v>
      </c>
      <c r="L20" s="789"/>
      <c r="M20" s="784">
        <f>IF(G20&gt;1000,1000*8.5%*12,G20*8.5%*12*D20)</f>
        <v>816</v>
      </c>
      <c r="N20" s="787"/>
      <c r="O20" s="787">
        <f>SUM(L20:N20)</f>
        <v>816</v>
      </c>
      <c r="P20" s="788">
        <f>SUM(I20:N20)</f>
        <v>11561</v>
      </c>
      <c r="Q20" s="114"/>
      <c r="R20" s="114"/>
      <c r="S20" s="114"/>
      <c r="T20" s="124"/>
      <c r="U20" s="124"/>
    </row>
    <row r="21" spans="1:21" s="52" customFormat="1" ht="11.25" x14ac:dyDescent="0.2">
      <c r="A21" s="115"/>
      <c r="B21" s="121" t="s">
        <v>410</v>
      </c>
      <c r="C21" s="116"/>
      <c r="D21" s="117"/>
      <c r="E21" s="118"/>
      <c r="F21" s="118"/>
      <c r="G21" s="789">
        <f>SUM(G19:G20)</f>
        <v>2285</v>
      </c>
      <c r="H21" s="789">
        <f t="shared" ref="H21:P21" si="4">SUM(H19:H20)</f>
        <v>2285</v>
      </c>
      <c r="I21" s="789">
        <f t="shared" si="4"/>
        <v>27420</v>
      </c>
      <c r="J21" s="789">
        <f t="shared" si="4"/>
        <v>610</v>
      </c>
      <c r="K21" s="789">
        <f t="shared" si="4"/>
        <v>2399.25</v>
      </c>
      <c r="L21" s="789">
        <f t="shared" si="4"/>
        <v>0</v>
      </c>
      <c r="M21" s="789">
        <f t="shared" si="4"/>
        <v>1836</v>
      </c>
      <c r="N21" s="789">
        <f t="shared" si="4"/>
        <v>0</v>
      </c>
      <c r="O21" s="789">
        <f t="shared" si="4"/>
        <v>1836</v>
      </c>
      <c r="P21" s="789">
        <f t="shared" si="4"/>
        <v>32265.25</v>
      </c>
      <c r="Q21" s="114"/>
      <c r="R21" s="114"/>
      <c r="S21" s="114"/>
      <c r="T21" s="114"/>
      <c r="U21" s="114"/>
    </row>
    <row r="22" spans="1:21" s="52" customFormat="1" ht="11.25" x14ac:dyDescent="0.2">
      <c r="A22" s="115">
        <v>11</v>
      </c>
      <c r="B22" s="116" t="s">
        <v>717</v>
      </c>
      <c r="C22" s="116" t="s">
        <v>699</v>
      </c>
      <c r="D22" s="117">
        <v>2</v>
      </c>
      <c r="E22" s="118" t="s">
        <v>3</v>
      </c>
      <c r="F22" s="118"/>
      <c r="G22" s="787">
        <v>450</v>
      </c>
      <c r="H22" s="787">
        <f>G22*D22</f>
        <v>900</v>
      </c>
      <c r="I22" s="787">
        <f>H22*12</f>
        <v>10800</v>
      </c>
      <c r="J22" s="563">
        <f>305*D22</f>
        <v>610</v>
      </c>
      <c r="K22" s="787">
        <f>+I22*8.75%</f>
        <v>944.99999999999989</v>
      </c>
      <c r="L22" s="787"/>
      <c r="M22" s="784">
        <f>IF(G22&gt;1000,1000*8.5%*12,G22*8.5%*12*D22)</f>
        <v>918</v>
      </c>
      <c r="N22" s="787"/>
      <c r="O22" s="787">
        <f>SUM(L22:N22)</f>
        <v>918</v>
      </c>
      <c r="P22" s="788">
        <f>SUM(I22:N22)</f>
        <v>13273</v>
      </c>
      <c r="Q22" s="114"/>
      <c r="R22" s="114"/>
      <c r="S22" s="114"/>
      <c r="T22" s="114"/>
      <c r="U22" s="114"/>
    </row>
    <row r="23" spans="1:21" s="52" customFormat="1" ht="11.25" x14ac:dyDescent="0.2">
      <c r="A23" s="267"/>
      <c r="B23" s="121" t="s">
        <v>410</v>
      </c>
      <c r="C23" s="121"/>
      <c r="D23" s="443"/>
      <c r="E23" s="623"/>
      <c r="F23" s="623"/>
      <c r="G23" s="789">
        <f>SUM(G22)</f>
        <v>450</v>
      </c>
      <c r="H23" s="789">
        <f t="shared" ref="H23:O23" si="5">SUM(H22)</f>
        <v>900</v>
      </c>
      <c r="I23" s="789">
        <f t="shared" si="5"/>
        <v>10800</v>
      </c>
      <c r="J23" s="789">
        <f t="shared" si="5"/>
        <v>610</v>
      </c>
      <c r="K23" s="789">
        <f t="shared" si="5"/>
        <v>944.99999999999989</v>
      </c>
      <c r="L23" s="789">
        <f t="shared" si="5"/>
        <v>0</v>
      </c>
      <c r="M23" s="789">
        <f t="shared" si="5"/>
        <v>918</v>
      </c>
      <c r="N23" s="789">
        <f t="shared" si="5"/>
        <v>0</v>
      </c>
      <c r="O23" s="789">
        <f t="shared" si="5"/>
        <v>918</v>
      </c>
      <c r="P23" s="789">
        <f>SUM(P22)</f>
        <v>13273</v>
      </c>
      <c r="Q23" s="114"/>
      <c r="R23" s="114"/>
      <c r="S23" s="114"/>
      <c r="T23" s="114"/>
      <c r="U23" s="114"/>
    </row>
    <row r="24" spans="1:21" s="52" customFormat="1" ht="11.25" x14ac:dyDescent="0.2">
      <c r="A24" s="115">
        <v>12</v>
      </c>
      <c r="B24" s="116" t="s">
        <v>249</v>
      </c>
      <c r="C24" s="116" t="s">
        <v>250</v>
      </c>
      <c r="D24" s="117">
        <v>1</v>
      </c>
      <c r="E24" s="118" t="s">
        <v>3</v>
      </c>
      <c r="F24" s="118"/>
      <c r="G24" s="787">
        <v>850</v>
      </c>
      <c r="H24" s="787">
        <f>D24*G24</f>
        <v>850</v>
      </c>
      <c r="I24" s="787">
        <f>+H24*12</f>
        <v>10200</v>
      </c>
      <c r="J24" s="563">
        <f>305*D24</f>
        <v>305</v>
      </c>
      <c r="K24" s="787">
        <f>+I24*8.75%</f>
        <v>892.5</v>
      </c>
      <c r="L24" s="787"/>
      <c r="M24" s="784">
        <f>IF(G24&gt;1000,1000*8.5%*12,G24*8.5%*12*D24)</f>
        <v>867</v>
      </c>
      <c r="N24" s="787"/>
      <c r="O24" s="787">
        <f>SUM(L24:N24)</f>
        <v>867</v>
      </c>
      <c r="P24" s="788">
        <f>SUM(I24:N24)</f>
        <v>12264.5</v>
      </c>
      <c r="Q24" s="114"/>
      <c r="R24" s="114"/>
      <c r="S24" s="114"/>
      <c r="T24" s="114"/>
      <c r="U24" s="114"/>
    </row>
    <row r="25" spans="1:21" s="52" customFormat="1" ht="11.25" x14ac:dyDescent="0.2">
      <c r="A25" s="115">
        <v>13</v>
      </c>
      <c r="B25" s="116" t="s">
        <v>672</v>
      </c>
      <c r="C25" s="116" t="s">
        <v>250</v>
      </c>
      <c r="D25" s="117">
        <v>1</v>
      </c>
      <c r="E25" s="118" t="s">
        <v>3</v>
      </c>
      <c r="F25" s="118"/>
      <c r="G25" s="787">
        <v>507</v>
      </c>
      <c r="H25" s="787">
        <f>D25*G25</f>
        <v>507</v>
      </c>
      <c r="I25" s="787">
        <f>+H25*12</f>
        <v>6084</v>
      </c>
      <c r="J25" s="563">
        <f>305*D25</f>
        <v>305</v>
      </c>
      <c r="K25" s="787">
        <f>+I25*8.75%</f>
        <v>532.35</v>
      </c>
      <c r="L25" s="787"/>
      <c r="M25" s="784">
        <f>IF(G25&gt;1000,1000*8.5%*12,G25*8.5%*12*D25)</f>
        <v>517.1400000000001</v>
      </c>
      <c r="N25" s="787"/>
      <c r="O25" s="787">
        <f>SUM(L25:N25)</f>
        <v>517.1400000000001</v>
      </c>
      <c r="P25" s="788">
        <f>SUM(I25:N25)</f>
        <v>7438.4900000000007</v>
      </c>
      <c r="Q25" s="114"/>
      <c r="R25" s="114"/>
      <c r="S25" s="114"/>
      <c r="T25" s="114"/>
      <c r="U25" s="114"/>
    </row>
    <row r="26" spans="1:21" s="52" customFormat="1" ht="11.25" x14ac:dyDescent="0.2">
      <c r="A26" s="115"/>
      <c r="B26" s="121" t="s">
        <v>410</v>
      </c>
      <c r="C26" s="116"/>
      <c r="D26" s="117"/>
      <c r="E26" s="118"/>
      <c r="F26" s="118"/>
      <c r="G26" s="789">
        <f>SUM(G24:G25)</f>
        <v>1357</v>
      </c>
      <c r="H26" s="789">
        <f t="shared" ref="H26:P26" si="6">SUM(H24:H25)</f>
        <v>1357</v>
      </c>
      <c r="I26" s="789">
        <f t="shared" si="6"/>
        <v>16284</v>
      </c>
      <c r="J26" s="789">
        <f t="shared" si="6"/>
        <v>610</v>
      </c>
      <c r="K26" s="789">
        <f t="shared" si="6"/>
        <v>1424.85</v>
      </c>
      <c r="L26" s="789">
        <f t="shared" si="6"/>
        <v>0</v>
      </c>
      <c r="M26" s="789">
        <f t="shared" si="6"/>
        <v>1384.14</v>
      </c>
      <c r="N26" s="789">
        <f t="shared" si="6"/>
        <v>0</v>
      </c>
      <c r="O26" s="789">
        <f t="shared" si="6"/>
        <v>1384.14</v>
      </c>
      <c r="P26" s="789">
        <f t="shared" si="6"/>
        <v>19702.990000000002</v>
      </c>
      <c r="Q26" s="114"/>
      <c r="R26" s="114"/>
      <c r="S26" s="114"/>
      <c r="T26" s="114"/>
      <c r="U26" s="114"/>
    </row>
    <row r="27" spans="1:21" s="52" customFormat="1" ht="11.25" x14ac:dyDescent="0.2">
      <c r="A27" s="115">
        <v>14</v>
      </c>
      <c r="B27" s="116" t="s">
        <v>543</v>
      </c>
      <c r="C27" s="116" t="s">
        <v>544</v>
      </c>
      <c r="D27" s="117">
        <v>1</v>
      </c>
      <c r="E27" s="118"/>
      <c r="F27" s="118"/>
      <c r="G27" s="787">
        <v>450</v>
      </c>
      <c r="H27" s="787">
        <f>D27*G27</f>
        <v>450</v>
      </c>
      <c r="I27" s="787">
        <f>+H27*12</f>
        <v>5400</v>
      </c>
      <c r="J27" s="563">
        <f>305*D27</f>
        <v>305</v>
      </c>
      <c r="K27" s="787">
        <f>+I27*8.75%</f>
        <v>472.49999999999994</v>
      </c>
      <c r="L27" s="789">
        <f>SUM(L25:L26)</f>
        <v>0</v>
      </c>
      <c r="M27" s="784">
        <f>IF(G27&gt;1000,1000*8.5%*12,G27*8.5%*12*D27)</f>
        <v>459</v>
      </c>
      <c r="N27" s="787"/>
      <c r="O27" s="787">
        <f>SUM(L27:N27)</f>
        <v>459</v>
      </c>
      <c r="P27" s="788">
        <f>SUM(I27:N27)</f>
        <v>6636.5</v>
      </c>
      <c r="Q27" s="114"/>
      <c r="R27" s="114"/>
      <c r="S27" s="114"/>
      <c r="T27" s="114"/>
      <c r="U27" s="114"/>
    </row>
    <row r="28" spans="1:21" s="125" customFormat="1" ht="11.25" x14ac:dyDescent="0.2">
      <c r="A28" s="115">
        <v>15</v>
      </c>
      <c r="B28" s="116" t="s">
        <v>718</v>
      </c>
      <c r="C28" s="116" t="s">
        <v>544</v>
      </c>
      <c r="D28" s="117">
        <v>1</v>
      </c>
      <c r="E28" s="118" t="s">
        <v>3</v>
      </c>
      <c r="F28" s="118"/>
      <c r="G28" s="787">
        <v>400</v>
      </c>
      <c r="H28" s="787">
        <f>D28*G28</f>
        <v>400</v>
      </c>
      <c r="I28" s="787">
        <f>+H28*12</f>
        <v>4800</v>
      </c>
      <c r="J28" s="563">
        <f>305*D28</f>
        <v>305</v>
      </c>
      <c r="K28" s="787">
        <f t="shared" ref="K28:K29" si="7">+I28*8.75%</f>
        <v>420</v>
      </c>
      <c r="L28" s="789">
        <f>SUM(L26:L27)</f>
        <v>0</v>
      </c>
      <c r="M28" s="784">
        <f>IF(G28&gt;1000,1000*8.5%*12,G28*8.5%*12*D28)</f>
        <v>408</v>
      </c>
      <c r="N28" s="787"/>
      <c r="O28" s="787">
        <f>SUM(L28:N28)</f>
        <v>408</v>
      </c>
      <c r="P28" s="788">
        <f>SUM(I28:N28)</f>
        <v>5933</v>
      </c>
      <c r="Q28" s="114"/>
      <c r="R28" s="114"/>
      <c r="S28" s="114"/>
      <c r="T28" s="124"/>
      <c r="U28" s="124"/>
    </row>
    <row r="29" spans="1:21" s="125" customFormat="1" ht="11.25" x14ac:dyDescent="0.2">
      <c r="A29" s="115">
        <v>16</v>
      </c>
      <c r="B29" s="116" t="s">
        <v>718</v>
      </c>
      <c r="C29" s="116" t="s">
        <v>544</v>
      </c>
      <c r="D29" s="117">
        <v>1</v>
      </c>
      <c r="E29" s="118" t="s">
        <v>3</v>
      </c>
      <c r="F29" s="118"/>
      <c r="G29" s="787">
        <v>365</v>
      </c>
      <c r="H29" s="787">
        <f>D29*G29</f>
        <v>365</v>
      </c>
      <c r="I29" s="787">
        <f>+H29*12</f>
        <v>4380</v>
      </c>
      <c r="J29" s="563">
        <f>305*D29</f>
        <v>305</v>
      </c>
      <c r="K29" s="787">
        <f t="shared" si="7"/>
        <v>383.25</v>
      </c>
      <c r="L29" s="789">
        <f>SUM(L27:L28)</f>
        <v>0</v>
      </c>
      <c r="M29" s="784">
        <f>IF(G29&gt;1000,1000*8.5%*12,G29*8.5%*12*D29)</f>
        <v>372.3</v>
      </c>
      <c r="N29" s="787"/>
      <c r="O29" s="787">
        <f>SUM(L29:N29)</f>
        <v>372.3</v>
      </c>
      <c r="P29" s="788">
        <f>SUM(I29:N29)</f>
        <v>5440.55</v>
      </c>
      <c r="Q29" s="114"/>
      <c r="R29" s="114"/>
      <c r="S29" s="114"/>
      <c r="T29" s="124"/>
      <c r="U29" s="124"/>
    </row>
    <row r="30" spans="1:21" s="52" customFormat="1" ht="11.25" x14ac:dyDescent="0.2">
      <c r="A30" s="115"/>
      <c r="B30" s="121" t="s">
        <v>410</v>
      </c>
      <c r="C30" s="116"/>
      <c r="D30" s="117"/>
      <c r="E30" s="118"/>
      <c r="F30" s="118"/>
      <c r="G30" s="789">
        <f>SUM(G27:G29)</f>
        <v>1215</v>
      </c>
      <c r="H30" s="789">
        <f>SUM(H27:H29)</f>
        <v>1215</v>
      </c>
      <c r="I30" s="789">
        <f t="shared" ref="I30:P30" si="8">SUM(I27:I29)</f>
        <v>14580</v>
      </c>
      <c r="J30" s="789">
        <f t="shared" si="8"/>
        <v>915</v>
      </c>
      <c r="K30" s="789">
        <f t="shared" si="8"/>
        <v>1275.75</v>
      </c>
      <c r="L30" s="789">
        <f t="shared" si="8"/>
        <v>0</v>
      </c>
      <c r="M30" s="789">
        <f t="shared" si="8"/>
        <v>1239.3</v>
      </c>
      <c r="N30" s="789">
        <f t="shared" si="8"/>
        <v>0</v>
      </c>
      <c r="O30" s="789">
        <f t="shared" si="8"/>
        <v>1239.3</v>
      </c>
      <c r="P30" s="789">
        <f t="shared" si="8"/>
        <v>18010.05</v>
      </c>
      <c r="Q30" s="114"/>
      <c r="R30" s="114"/>
      <c r="S30" s="114"/>
      <c r="T30" s="114"/>
      <c r="U30" s="114"/>
    </row>
    <row r="31" spans="1:21" s="125" customFormat="1" ht="11.25" x14ac:dyDescent="0.2">
      <c r="A31" s="115">
        <v>17</v>
      </c>
      <c r="B31" s="116" t="s">
        <v>551</v>
      </c>
      <c r="C31" s="116" t="s">
        <v>552</v>
      </c>
      <c r="D31" s="117">
        <v>1</v>
      </c>
      <c r="E31" s="118" t="s">
        <v>3</v>
      </c>
      <c r="F31" s="118"/>
      <c r="G31" s="787">
        <v>400</v>
      </c>
      <c r="H31" s="787">
        <f>D31*G31</f>
        <v>400</v>
      </c>
      <c r="I31" s="787">
        <f>+H31*12</f>
        <v>4800</v>
      </c>
      <c r="J31" s="563">
        <f>305*D31</f>
        <v>305</v>
      </c>
      <c r="K31" s="787">
        <f>+I31*8.75%</f>
        <v>420</v>
      </c>
      <c r="L31" s="787"/>
      <c r="M31" s="784">
        <f>IF(G31&gt;1000,1000*8.5%*12,G31*8.5%*12*D31)</f>
        <v>408</v>
      </c>
      <c r="N31" s="787"/>
      <c r="O31" s="787">
        <f>SUM(L31:N31)</f>
        <v>408</v>
      </c>
      <c r="P31" s="788">
        <f>SUM(I31:N31)</f>
        <v>5933</v>
      </c>
      <c r="Q31" s="114"/>
      <c r="R31" s="114"/>
      <c r="S31" s="114"/>
      <c r="T31" s="124"/>
      <c r="U31" s="124"/>
    </row>
    <row r="32" spans="1:21" s="52" customFormat="1" ht="11.25" x14ac:dyDescent="0.2">
      <c r="A32" s="115"/>
      <c r="B32" s="121" t="s">
        <v>410</v>
      </c>
      <c r="C32" s="116"/>
      <c r="D32" s="117"/>
      <c r="E32" s="118"/>
      <c r="F32" s="118"/>
      <c r="G32" s="789">
        <f t="shared" ref="G32:P32" si="9">SUM(G31:G31)</f>
        <v>400</v>
      </c>
      <c r="H32" s="789">
        <f t="shared" si="9"/>
        <v>400</v>
      </c>
      <c r="I32" s="789">
        <f t="shared" si="9"/>
        <v>4800</v>
      </c>
      <c r="J32" s="789">
        <f t="shared" si="9"/>
        <v>305</v>
      </c>
      <c r="K32" s="789">
        <f t="shared" si="9"/>
        <v>420</v>
      </c>
      <c r="L32" s="789">
        <f t="shared" si="9"/>
        <v>0</v>
      </c>
      <c r="M32" s="789">
        <f t="shared" si="9"/>
        <v>408</v>
      </c>
      <c r="N32" s="789">
        <f t="shared" si="9"/>
        <v>0</v>
      </c>
      <c r="O32" s="789">
        <f t="shared" si="9"/>
        <v>408</v>
      </c>
      <c r="P32" s="789">
        <f t="shared" si="9"/>
        <v>5933</v>
      </c>
      <c r="Q32" s="114"/>
      <c r="R32" s="114"/>
      <c r="S32" s="114"/>
      <c r="T32" s="114"/>
      <c r="U32" s="114"/>
    </row>
    <row r="33" spans="1:21" s="52" customFormat="1" ht="11.25" x14ac:dyDescent="0.2">
      <c r="A33" s="115">
        <v>18</v>
      </c>
      <c r="B33" s="116" t="s">
        <v>640</v>
      </c>
      <c r="C33" s="116" t="s">
        <v>637</v>
      </c>
      <c r="D33" s="117">
        <v>1</v>
      </c>
      <c r="E33" s="118" t="s">
        <v>3</v>
      </c>
      <c r="F33" s="118"/>
      <c r="G33" s="787">
        <v>500</v>
      </c>
      <c r="H33" s="787">
        <f>D33*G33</f>
        <v>500</v>
      </c>
      <c r="I33" s="787">
        <f>H33*12</f>
        <v>6000</v>
      </c>
      <c r="J33" s="563">
        <f>305*D33</f>
        <v>305</v>
      </c>
      <c r="K33" s="787">
        <f>+I33*8.75%</f>
        <v>525</v>
      </c>
      <c r="L33" s="787"/>
      <c r="M33" s="784">
        <f>IF(G33&gt;1000,1000*8.5%*12,G33*8.5%*12*D33)</f>
        <v>510</v>
      </c>
      <c r="N33" s="787"/>
      <c r="O33" s="787">
        <f>SUM(L33:N33)</f>
        <v>510</v>
      </c>
      <c r="P33" s="788">
        <f>SUM(I33:N33)</f>
        <v>7340</v>
      </c>
      <c r="Q33" s="114"/>
      <c r="R33" s="114"/>
      <c r="S33" s="114"/>
      <c r="T33" s="114"/>
      <c r="U33" s="114"/>
    </row>
    <row r="34" spans="1:21" s="52" customFormat="1" ht="11.25" x14ac:dyDescent="0.2">
      <c r="A34" s="115"/>
      <c r="B34" s="121" t="s">
        <v>639</v>
      </c>
      <c r="C34" s="116"/>
      <c r="D34" s="117"/>
      <c r="E34" s="118"/>
      <c r="F34" s="118"/>
      <c r="G34" s="789">
        <f>SUM(G33)</f>
        <v>500</v>
      </c>
      <c r="H34" s="789">
        <f t="shared" ref="H34:P34" si="10">SUM(H33)</f>
        <v>500</v>
      </c>
      <c r="I34" s="789">
        <f t="shared" si="10"/>
        <v>6000</v>
      </c>
      <c r="J34" s="789">
        <f t="shared" si="10"/>
        <v>305</v>
      </c>
      <c r="K34" s="789">
        <f t="shared" si="10"/>
        <v>525</v>
      </c>
      <c r="L34" s="789">
        <f t="shared" si="10"/>
        <v>0</v>
      </c>
      <c r="M34" s="789">
        <f t="shared" si="10"/>
        <v>510</v>
      </c>
      <c r="N34" s="789">
        <f t="shared" si="10"/>
        <v>0</v>
      </c>
      <c r="O34" s="789">
        <f t="shared" si="10"/>
        <v>510</v>
      </c>
      <c r="P34" s="789">
        <f t="shared" si="10"/>
        <v>7340</v>
      </c>
      <c r="Q34" s="114"/>
      <c r="R34" s="114"/>
      <c r="S34" s="114"/>
      <c r="T34" s="114"/>
      <c r="U34" s="114"/>
    </row>
    <row r="35" spans="1:21" s="52" customFormat="1" ht="11.25" x14ac:dyDescent="0.2">
      <c r="A35" s="115">
        <v>19</v>
      </c>
      <c r="B35" s="116" t="s">
        <v>642</v>
      </c>
      <c r="C35" s="116" t="s">
        <v>641</v>
      </c>
      <c r="D35" s="117">
        <v>1</v>
      </c>
      <c r="E35" s="118" t="s">
        <v>3</v>
      </c>
      <c r="F35" s="118"/>
      <c r="G35" s="787">
        <v>400</v>
      </c>
      <c r="H35" s="787">
        <f>D35*G35</f>
        <v>400</v>
      </c>
      <c r="I35" s="787">
        <f>H35*12</f>
        <v>4800</v>
      </c>
      <c r="J35" s="563">
        <f>305*D35</f>
        <v>305</v>
      </c>
      <c r="K35" s="787">
        <f>+I35*8.75%</f>
        <v>420</v>
      </c>
      <c r="L35" s="787"/>
      <c r="M35" s="784">
        <f>IF(G35&gt;1000,1000*8.5%*12,G35*8.5%*12*D35)</f>
        <v>408</v>
      </c>
      <c r="N35" s="787"/>
      <c r="O35" s="787">
        <f>SUM(L35:N35)</f>
        <v>408</v>
      </c>
      <c r="P35" s="788">
        <f>SUM(I35:N35)</f>
        <v>5933</v>
      </c>
      <c r="Q35" s="114"/>
      <c r="R35" s="114"/>
      <c r="S35" s="114"/>
      <c r="T35" s="114"/>
      <c r="U35" s="114"/>
    </row>
    <row r="36" spans="1:21" s="52" customFormat="1" ht="11.25" x14ac:dyDescent="0.2">
      <c r="A36" s="115"/>
      <c r="B36" s="121" t="s">
        <v>639</v>
      </c>
      <c r="C36" s="116"/>
      <c r="D36" s="117"/>
      <c r="E36" s="118"/>
      <c r="F36" s="118"/>
      <c r="G36" s="789">
        <f>SUM(G35)</f>
        <v>400</v>
      </c>
      <c r="H36" s="789">
        <f t="shared" ref="H36:P36" si="11">SUM(H35)</f>
        <v>400</v>
      </c>
      <c r="I36" s="789">
        <f t="shared" si="11"/>
        <v>4800</v>
      </c>
      <c r="J36" s="789">
        <f t="shared" si="11"/>
        <v>305</v>
      </c>
      <c r="K36" s="789">
        <f t="shared" si="11"/>
        <v>420</v>
      </c>
      <c r="L36" s="789">
        <f t="shared" si="11"/>
        <v>0</v>
      </c>
      <c r="M36" s="789">
        <f t="shared" si="11"/>
        <v>408</v>
      </c>
      <c r="N36" s="789">
        <f t="shared" si="11"/>
        <v>0</v>
      </c>
      <c r="O36" s="789">
        <f t="shared" si="11"/>
        <v>408</v>
      </c>
      <c r="P36" s="789">
        <f t="shared" si="11"/>
        <v>5933</v>
      </c>
      <c r="Q36" s="114"/>
      <c r="R36" s="114"/>
      <c r="S36" s="114"/>
      <c r="T36" s="114"/>
      <c r="U36" s="114"/>
    </row>
    <row r="37" spans="1:21" s="52" customFormat="1" ht="12" thickBot="1" x14ac:dyDescent="0.25">
      <c r="A37" s="126"/>
      <c r="B37" s="127"/>
      <c r="C37" s="128"/>
      <c r="D37" s="129"/>
      <c r="E37" s="130"/>
      <c r="F37" s="130"/>
      <c r="G37" s="790"/>
      <c r="H37" s="790"/>
      <c r="I37" s="790"/>
      <c r="J37" s="791"/>
      <c r="K37" s="790"/>
      <c r="L37" s="790"/>
      <c r="M37" s="790"/>
      <c r="N37" s="790"/>
      <c r="O37" s="787">
        <f>SUM(L37:N37)</f>
        <v>0</v>
      </c>
      <c r="P37" s="792"/>
      <c r="Q37" s="114"/>
      <c r="R37" s="114"/>
      <c r="S37" s="114"/>
      <c r="T37" s="114"/>
      <c r="U37" s="114"/>
    </row>
    <row r="38" spans="1:21" s="52" customFormat="1" thickTop="1" thickBot="1" x14ac:dyDescent="0.25">
      <c r="A38" s="131"/>
      <c r="B38" s="132" t="s">
        <v>445</v>
      </c>
      <c r="C38" s="133"/>
      <c r="D38" s="134">
        <f>SUM(D8:D35)</f>
        <v>22</v>
      </c>
      <c r="E38" s="135"/>
      <c r="F38" s="135"/>
      <c r="G38" s="793">
        <f>G13+G16+G18+G21+G26+G30+G32+G34+G36+G23</f>
        <v>15797</v>
      </c>
      <c r="H38" s="793">
        <f t="shared" ref="H38:O38" si="12">H13+H16+H18+H21+H26+H30+H32+H34+H36+H23</f>
        <v>16747</v>
      </c>
      <c r="I38" s="793">
        <f t="shared" si="12"/>
        <v>200964</v>
      </c>
      <c r="J38" s="793">
        <f t="shared" si="12"/>
        <v>5795</v>
      </c>
      <c r="K38" s="793">
        <f t="shared" si="12"/>
        <v>17584.349999999999</v>
      </c>
      <c r="L38" s="793">
        <f t="shared" si="12"/>
        <v>0</v>
      </c>
      <c r="M38" s="793">
        <f t="shared" si="12"/>
        <v>11956.439999999999</v>
      </c>
      <c r="N38" s="793">
        <f t="shared" si="12"/>
        <v>0</v>
      </c>
      <c r="O38" s="793">
        <f t="shared" si="12"/>
        <v>11956.439999999999</v>
      </c>
      <c r="P38" s="793">
        <f>P13+P16+P18+P21+P26+P30+P32+P34+P36+P23</f>
        <v>236299.78999999998</v>
      </c>
      <c r="Q38" s="114"/>
      <c r="R38" s="114"/>
      <c r="S38" s="114">
        <f>P38+P127+P154+P210</f>
        <v>1569994.0999999999</v>
      </c>
      <c r="T38" s="114"/>
      <c r="U38" s="114"/>
    </row>
    <row r="39" spans="1:21" s="52" customFormat="1" ht="12" thickTop="1" x14ac:dyDescent="0.2">
      <c r="A39" s="392">
        <v>50</v>
      </c>
      <c r="B39" s="137"/>
      <c r="C39" s="138"/>
      <c r="D39" s="139"/>
      <c r="E39" s="140"/>
      <c r="F39" s="140"/>
      <c r="G39" s="141"/>
      <c r="H39" s="141"/>
      <c r="I39" s="141"/>
      <c r="J39" s="564"/>
      <c r="K39" s="141"/>
      <c r="L39" s="141"/>
      <c r="M39" s="141"/>
      <c r="N39" s="141"/>
      <c r="O39" s="141"/>
      <c r="P39" s="141"/>
      <c r="Q39" s="114"/>
      <c r="R39" s="114"/>
      <c r="S39" s="114"/>
      <c r="T39" s="114"/>
      <c r="U39" s="114"/>
    </row>
    <row r="40" spans="1:21" s="52" customFormat="1" ht="12" thickBot="1" x14ac:dyDescent="0.25">
      <c r="A40" s="50"/>
      <c r="B40" s="125"/>
      <c r="D40" s="142"/>
      <c r="E40" s="143"/>
      <c r="F40" s="143"/>
      <c r="G40" s="144"/>
      <c r="H40" s="144"/>
      <c r="I40" s="144"/>
      <c r="J40" s="565"/>
      <c r="K40" s="144"/>
      <c r="L40" s="144"/>
      <c r="M40" s="144"/>
      <c r="N40" s="144"/>
      <c r="O40" s="144"/>
      <c r="P40" s="144"/>
      <c r="Q40" s="114"/>
      <c r="R40" s="114"/>
      <c r="S40" s="114"/>
      <c r="T40" s="114"/>
      <c r="U40" s="114"/>
    </row>
    <row r="41" spans="1:21" s="52" customFormat="1" ht="18" customHeight="1" thickTop="1" thickBot="1" x14ac:dyDescent="0.25">
      <c r="A41" s="1162" t="s">
        <v>73</v>
      </c>
      <c r="B41" s="1165" t="s">
        <v>74</v>
      </c>
      <c r="C41" s="1168" t="s">
        <v>75</v>
      </c>
      <c r="D41" s="1146" t="s">
        <v>87</v>
      </c>
      <c r="E41" s="1146" t="s">
        <v>85</v>
      </c>
      <c r="F41" s="1146" t="s">
        <v>86</v>
      </c>
      <c r="G41" s="1149" t="s">
        <v>76</v>
      </c>
      <c r="H41" s="1150"/>
      <c r="I41" s="1151"/>
      <c r="J41" s="1174" t="s">
        <v>77</v>
      </c>
      <c r="K41" s="1156" t="s">
        <v>78</v>
      </c>
      <c r="L41" s="1156"/>
      <c r="M41" s="1156"/>
      <c r="N41" s="1156"/>
      <c r="O41" s="1156"/>
      <c r="P41" s="1157" t="s">
        <v>31</v>
      </c>
    </row>
    <row r="42" spans="1:21" s="52" customFormat="1" ht="11.25" customHeight="1" thickBot="1" x14ac:dyDescent="0.25">
      <c r="A42" s="1163"/>
      <c r="B42" s="1166"/>
      <c r="C42" s="1169"/>
      <c r="D42" s="1147"/>
      <c r="E42" s="1147"/>
      <c r="F42" s="1147"/>
      <c r="G42" s="1152"/>
      <c r="H42" s="1153"/>
      <c r="I42" s="1154"/>
      <c r="J42" s="1175"/>
      <c r="K42" s="102" t="s">
        <v>79</v>
      </c>
      <c r="L42" s="1160" t="s">
        <v>80</v>
      </c>
      <c r="M42" s="1161"/>
      <c r="N42" s="1161"/>
      <c r="O42" s="1161"/>
      <c r="P42" s="1158"/>
    </row>
    <row r="43" spans="1:21" s="52" customFormat="1" ht="34.5" thickBot="1" x14ac:dyDescent="0.25">
      <c r="A43" s="1164"/>
      <c r="B43" s="1167"/>
      <c r="C43" s="1170"/>
      <c r="D43" s="1148"/>
      <c r="E43" s="1148"/>
      <c r="F43" s="1148"/>
      <c r="G43" s="103" t="s">
        <v>275</v>
      </c>
      <c r="H43" s="104" t="s">
        <v>276</v>
      </c>
      <c r="I43" s="104" t="s">
        <v>277</v>
      </c>
      <c r="J43" s="566" t="s">
        <v>81</v>
      </c>
      <c r="K43" s="105" t="s">
        <v>940</v>
      </c>
      <c r="L43" s="106" t="s">
        <v>271</v>
      </c>
      <c r="M43" s="104" t="s">
        <v>631</v>
      </c>
      <c r="N43" s="106" t="s">
        <v>629</v>
      </c>
      <c r="O43" s="107" t="s">
        <v>25</v>
      </c>
      <c r="P43" s="1159"/>
    </row>
    <row r="44" spans="1:21" s="52" customFormat="1" ht="12" thickTop="1" x14ac:dyDescent="0.2">
      <c r="A44" s="115">
        <v>20</v>
      </c>
      <c r="B44" s="116" t="s">
        <v>546</v>
      </c>
      <c r="C44" s="116" t="s">
        <v>547</v>
      </c>
      <c r="D44" s="117">
        <v>1</v>
      </c>
      <c r="E44" s="118" t="s">
        <v>4</v>
      </c>
      <c r="F44" s="118"/>
      <c r="G44" s="794">
        <v>800</v>
      </c>
      <c r="H44" s="794">
        <f>D44*G44</f>
        <v>800</v>
      </c>
      <c r="I44" s="795">
        <f>+H44*12</f>
        <v>9600</v>
      </c>
      <c r="J44" s="563">
        <f>305*D44</f>
        <v>305</v>
      </c>
      <c r="K44" s="795">
        <f>ROUND((I44*8.75%),0)</f>
        <v>840</v>
      </c>
      <c r="L44" s="795"/>
      <c r="M44" s="796">
        <f>IF(G44&gt;1000,1000*8.5%*12,G44*8.5%*12*D44)</f>
        <v>816</v>
      </c>
      <c r="N44" s="795"/>
      <c r="O44" s="795">
        <f>SUM(L44:N44)</f>
        <v>816</v>
      </c>
      <c r="P44" s="797">
        <f>SUM(I44:N44)</f>
        <v>11561</v>
      </c>
      <c r="Q44" s="114"/>
      <c r="R44" s="114"/>
      <c r="S44" s="114"/>
      <c r="T44" s="114"/>
      <c r="U44" s="114"/>
    </row>
    <row r="45" spans="1:21" s="52" customFormat="1" ht="11.25" x14ac:dyDescent="0.2">
      <c r="A45" s="115"/>
      <c r="B45" s="121" t="s">
        <v>410</v>
      </c>
      <c r="C45" s="116"/>
      <c r="D45" s="117"/>
      <c r="E45" s="118"/>
      <c r="F45" s="118"/>
      <c r="G45" s="798">
        <f>SUM(G44:G44)</f>
        <v>800</v>
      </c>
      <c r="H45" s="798">
        <f t="shared" ref="H45:P45" si="13">SUM(H44:H44)</f>
        <v>800</v>
      </c>
      <c r="I45" s="798">
        <f t="shared" si="13"/>
        <v>9600</v>
      </c>
      <c r="J45" s="798">
        <f t="shared" si="13"/>
        <v>305</v>
      </c>
      <c r="K45" s="798">
        <f t="shared" si="13"/>
        <v>840</v>
      </c>
      <c r="L45" s="798">
        <f t="shared" si="13"/>
        <v>0</v>
      </c>
      <c r="M45" s="798">
        <f t="shared" si="13"/>
        <v>816</v>
      </c>
      <c r="N45" s="798">
        <f t="shared" si="13"/>
        <v>0</v>
      </c>
      <c r="O45" s="798">
        <f t="shared" si="13"/>
        <v>816</v>
      </c>
      <c r="P45" s="798">
        <f t="shared" si="13"/>
        <v>11561</v>
      </c>
      <c r="Q45" s="114"/>
      <c r="R45" s="114"/>
      <c r="S45" s="114"/>
      <c r="T45" s="114"/>
      <c r="U45" s="114"/>
    </row>
    <row r="46" spans="1:21" s="52" customFormat="1" ht="11.25" x14ac:dyDescent="0.2">
      <c r="A46" s="115">
        <v>21</v>
      </c>
      <c r="B46" s="116" t="s">
        <v>549</v>
      </c>
      <c r="C46" s="116" t="s">
        <v>550</v>
      </c>
      <c r="D46" s="117">
        <v>1</v>
      </c>
      <c r="E46" s="118" t="s">
        <v>4</v>
      </c>
      <c r="F46" s="118"/>
      <c r="G46" s="794">
        <v>1500</v>
      </c>
      <c r="H46" s="794">
        <f>D46*G46</f>
        <v>1500</v>
      </c>
      <c r="I46" s="795">
        <f>+H46*12</f>
        <v>18000</v>
      </c>
      <c r="J46" s="563">
        <f>305*D46</f>
        <v>305</v>
      </c>
      <c r="K46" s="795">
        <f>ROUND((I46*8.75%),0)</f>
        <v>1575</v>
      </c>
      <c r="L46" s="795"/>
      <c r="M46" s="796">
        <f>IF(G46&gt;1000,1000*8.5%*12,G46*8.5%*12*D46)</f>
        <v>1020</v>
      </c>
      <c r="N46" s="795"/>
      <c r="O46" s="795">
        <f>SUM(L46:N46)</f>
        <v>1020</v>
      </c>
      <c r="P46" s="797">
        <f>SUM(I46:N46)</f>
        <v>20900</v>
      </c>
      <c r="Q46" s="114"/>
      <c r="R46" s="114"/>
      <c r="S46" s="114"/>
      <c r="T46" s="114"/>
      <c r="U46" s="114"/>
    </row>
    <row r="47" spans="1:21" s="52" customFormat="1" ht="11.25" x14ac:dyDescent="0.2">
      <c r="A47" s="115">
        <v>22</v>
      </c>
      <c r="B47" s="116" t="s">
        <v>864</v>
      </c>
      <c r="C47" s="116" t="s">
        <v>550</v>
      </c>
      <c r="D47" s="117">
        <v>1</v>
      </c>
      <c r="E47" s="118" t="s">
        <v>4</v>
      </c>
      <c r="F47" s="118"/>
      <c r="G47" s="794">
        <v>850</v>
      </c>
      <c r="H47" s="794">
        <f>D47*G47</f>
        <v>850</v>
      </c>
      <c r="I47" s="795">
        <f>+H47*12</f>
        <v>10200</v>
      </c>
      <c r="J47" s="563">
        <f>305*D47</f>
        <v>305</v>
      </c>
      <c r="K47" s="795">
        <f>ROUND((I47*8.75%),0)</f>
        <v>893</v>
      </c>
      <c r="L47" s="795"/>
      <c r="M47" s="796">
        <f>IF(G47&gt;1000,1000*8.5%*12,G47*8.5%*12*D47)</f>
        <v>867</v>
      </c>
      <c r="N47" s="795"/>
      <c r="O47" s="795">
        <f>SUM(L47:N47)</f>
        <v>867</v>
      </c>
      <c r="P47" s="797">
        <f>SUM(I47:N47)</f>
        <v>12265</v>
      </c>
      <c r="Q47" s="114"/>
      <c r="R47" s="114"/>
      <c r="S47" s="114"/>
      <c r="T47" s="114"/>
      <c r="U47" s="114"/>
    </row>
    <row r="48" spans="1:21" s="52" customFormat="1" ht="11.25" x14ac:dyDescent="0.2">
      <c r="A48" s="115"/>
      <c r="B48" s="121" t="s">
        <v>410</v>
      </c>
      <c r="C48" s="116"/>
      <c r="D48" s="117"/>
      <c r="E48" s="118"/>
      <c r="F48" s="118"/>
      <c r="G48" s="798">
        <f>SUM(G46:G47)</f>
        <v>2350</v>
      </c>
      <c r="H48" s="798">
        <f>SUM(H46:H47)</f>
        <v>2350</v>
      </c>
      <c r="I48" s="798">
        <f t="shared" ref="I48:P48" si="14">SUM(I46:I47)</f>
        <v>28200</v>
      </c>
      <c r="J48" s="798">
        <f t="shared" si="14"/>
        <v>610</v>
      </c>
      <c r="K48" s="798">
        <f t="shared" si="14"/>
        <v>2468</v>
      </c>
      <c r="L48" s="798">
        <f t="shared" si="14"/>
        <v>0</v>
      </c>
      <c r="M48" s="798">
        <f t="shared" si="14"/>
        <v>1887</v>
      </c>
      <c r="N48" s="798">
        <f t="shared" si="14"/>
        <v>0</v>
      </c>
      <c r="O48" s="798">
        <f t="shared" si="14"/>
        <v>1887</v>
      </c>
      <c r="P48" s="798">
        <f t="shared" si="14"/>
        <v>33165</v>
      </c>
      <c r="Q48" s="114"/>
      <c r="R48" s="114"/>
      <c r="S48" s="114"/>
      <c r="T48" s="114"/>
      <c r="U48" s="114"/>
    </row>
    <row r="49" spans="1:21" s="52" customFormat="1" ht="11.25" x14ac:dyDescent="0.2">
      <c r="A49" s="115">
        <v>23</v>
      </c>
      <c r="B49" s="116" t="s">
        <v>416</v>
      </c>
      <c r="C49" s="116" t="s">
        <v>415</v>
      </c>
      <c r="D49" s="117">
        <v>1</v>
      </c>
      <c r="E49" s="118" t="s">
        <v>4</v>
      </c>
      <c r="F49" s="118"/>
      <c r="G49" s="794">
        <v>850</v>
      </c>
      <c r="H49" s="794">
        <f>D49*G49</f>
        <v>850</v>
      </c>
      <c r="I49" s="795">
        <f>+H49*12</f>
        <v>10200</v>
      </c>
      <c r="J49" s="563">
        <f>305*D49</f>
        <v>305</v>
      </c>
      <c r="K49" s="795">
        <f>ROUND((I49*8.75%),0)</f>
        <v>893</v>
      </c>
      <c r="L49" s="795"/>
      <c r="M49" s="796">
        <f>IF(G49&gt;1000,1000*8.5%*12,G49*8.5%*12*D49)</f>
        <v>867</v>
      </c>
      <c r="N49" s="795"/>
      <c r="O49" s="795">
        <f>SUM(L49:N49)</f>
        <v>867</v>
      </c>
      <c r="P49" s="797">
        <f>SUM(I49:N49)</f>
        <v>12265</v>
      </c>
      <c r="Q49" s="114"/>
      <c r="R49" s="114"/>
      <c r="S49" s="114"/>
      <c r="T49" s="114"/>
      <c r="U49" s="114"/>
    </row>
    <row r="50" spans="1:21" s="52" customFormat="1" ht="11.25" x14ac:dyDescent="0.2">
      <c r="A50" s="115">
        <v>24</v>
      </c>
      <c r="B50" s="116" t="s">
        <v>559</v>
      </c>
      <c r="C50" s="116" t="s">
        <v>415</v>
      </c>
      <c r="D50" s="117">
        <v>3</v>
      </c>
      <c r="E50" s="118" t="s">
        <v>4</v>
      </c>
      <c r="F50" s="118"/>
      <c r="G50" s="794">
        <v>400</v>
      </c>
      <c r="H50" s="794">
        <f>D50*G50</f>
        <v>1200</v>
      </c>
      <c r="I50" s="795">
        <f>+H50*12</f>
        <v>14400</v>
      </c>
      <c r="J50" s="563">
        <f>305*D50</f>
        <v>915</v>
      </c>
      <c r="K50" s="795">
        <f t="shared" ref="K50:K53" si="15">ROUND((I50*8.75%),0)</f>
        <v>1260</v>
      </c>
      <c r="L50" s="795"/>
      <c r="M50" s="796">
        <f>IF(G50&gt;1000,1000*8.5%*12,G50*8.5%*12*D50)</f>
        <v>1224</v>
      </c>
      <c r="N50" s="795"/>
      <c r="O50" s="795">
        <f>SUM(L50:N50)</f>
        <v>1224</v>
      </c>
      <c r="P50" s="797">
        <f>SUM(I50:N50)</f>
        <v>17799</v>
      </c>
      <c r="Q50" s="114"/>
      <c r="R50" s="114"/>
      <c r="S50" s="114"/>
      <c r="T50" s="114"/>
      <c r="U50" s="114"/>
    </row>
    <row r="51" spans="1:21" s="52" customFormat="1" ht="11.25" x14ac:dyDescent="0.2">
      <c r="A51" s="115">
        <v>25</v>
      </c>
      <c r="B51" s="116" t="s">
        <v>560</v>
      </c>
      <c r="C51" s="116" t="s">
        <v>415</v>
      </c>
      <c r="D51" s="117">
        <v>1</v>
      </c>
      <c r="E51" s="118" t="s">
        <v>4</v>
      </c>
      <c r="F51" s="118"/>
      <c r="G51" s="794">
        <v>507</v>
      </c>
      <c r="H51" s="794">
        <f>D51*G51</f>
        <v>507</v>
      </c>
      <c r="I51" s="795">
        <f>+H51*12</f>
        <v>6084</v>
      </c>
      <c r="J51" s="563">
        <f>305*D51</f>
        <v>305</v>
      </c>
      <c r="K51" s="795">
        <f t="shared" si="15"/>
        <v>532</v>
      </c>
      <c r="L51" s="795"/>
      <c r="M51" s="796">
        <f>IF(G51&gt;1000,1000*8.5%*12,G51*8.5%*12*D51)</f>
        <v>517.1400000000001</v>
      </c>
      <c r="N51" s="795"/>
      <c r="O51" s="795">
        <f>SUM(L51:N51)</f>
        <v>517.1400000000001</v>
      </c>
      <c r="P51" s="797">
        <f>SUM(I51:N51)</f>
        <v>7438.14</v>
      </c>
      <c r="Q51" s="114"/>
      <c r="R51" s="114"/>
      <c r="S51" s="114"/>
      <c r="T51" s="114"/>
      <c r="U51" s="114"/>
    </row>
    <row r="52" spans="1:21" s="52" customFormat="1" ht="11.25" x14ac:dyDescent="0.2">
      <c r="A52" s="115">
        <v>26</v>
      </c>
      <c r="B52" s="116" t="s">
        <v>417</v>
      </c>
      <c r="C52" s="116" t="s">
        <v>415</v>
      </c>
      <c r="D52" s="117">
        <v>1</v>
      </c>
      <c r="E52" s="118" t="s">
        <v>4</v>
      </c>
      <c r="F52" s="118"/>
      <c r="G52" s="794">
        <v>400</v>
      </c>
      <c r="H52" s="794">
        <f>D52*G52</f>
        <v>400</v>
      </c>
      <c r="I52" s="795">
        <f>+H52*12</f>
        <v>4800</v>
      </c>
      <c r="J52" s="563">
        <f>305*D52</f>
        <v>305</v>
      </c>
      <c r="K52" s="795">
        <f t="shared" si="15"/>
        <v>420</v>
      </c>
      <c r="L52" s="795"/>
      <c r="M52" s="796">
        <f>IF(G52&gt;1000,1000*8.5%*12,G52*8.5%*12*D52)</f>
        <v>408</v>
      </c>
      <c r="N52" s="795"/>
      <c r="O52" s="795">
        <f>SUM(L52:N52)</f>
        <v>408</v>
      </c>
      <c r="P52" s="797">
        <f>SUM(I52:N52)</f>
        <v>5933</v>
      </c>
      <c r="Q52" s="114"/>
      <c r="R52" s="114"/>
      <c r="S52" s="114"/>
      <c r="T52" s="114"/>
      <c r="U52" s="114"/>
    </row>
    <row r="53" spans="1:21" s="52" customFormat="1" ht="11.25" x14ac:dyDescent="0.2">
      <c r="A53" s="115">
        <v>27</v>
      </c>
      <c r="B53" s="116" t="s">
        <v>519</v>
      </c>
      <c r="C53" s="116" t="s">
        <v>415</v>
      </c>
      <c r="D53" s="117">
        <v>1</v>
      </c>
      <c r="E53" s="118" t="s">
        <v>4</v>
      </c>
      <c r="F53" s="118"/>
      <c r="G53" s="794">
        <v>365</v>
      </c>
      <c r="H53" s="794">
        <f>D53*G53</f>
        <v>365</v>
      </c>
      <c r="I53" s="795">
        <f>+H53*12</f>
        <v>4380</v>
      </c>
      <c r="J53" s="563">
        <f>305*D53</f>
        <v>305</v>
      </c>
      <c r="K53" s="795">
        <f t="shared" si="15"/>
        <v>383</v>
      </c>
      <c r="L53" s="795"/>
      <c r="M53" s="796">
        <f>IF(G53&gt;1000,1000*8.5%*12,G53*8.5%*12*D53)</f>
        <v>372.3</v>
      </c>
      <c r="N53" s="795"/>
      <c r="O53" s="795">
        <f>SUM(L53:N53)</f>
        <v>372.3</v>
      </c>
      <c r="P53" s="797">
        <f>SUM(I53:N53)</f>
        <v>5440.3</v>
      </c>
      <c r="Q53" s="114"/>
      <c r="R53" s="114"/>
      <c r="S53" s="114"/>
      <c r="T53" s="114"/>
      <c r="U53" s="114"/>
    </row>
    <row r="54" spans="1:21" s="52" customFormat="1" ht="11.25" x14ac:dyDescent="0.2">
      <c r="A54" s="115"/>
      <c r="B54" s="121" t="s">
        <v>410</v>
      </c>
      <c r="C54" s="116"/>
      <c r="D54" s="117"/>
      <c r="E54" s="118"/>
      <c r="F54" s="118"/>
      <c r="G54" s="798">
        <f>SUM(G49:G53)</f>
        <v>2522</v>
      </c>
      <c r="H54" s="798">
        <f>SUM(H49:H53)</f>
        <v>3322</v>
      </c>
      <c r="I54" s="798">
        <f t="shared" ref="I54:P54" si="16">SUM(I49:I53)</f>
        <v>39864</v>
      </c>
      <c r="J54" s="798">
        <f>SUM(J49:J53)</f>
        <v>2135</v>
      </c>
      <c r="K54" s="798">
        <f>SUM(K49:K53)</f>
        <v>3488</v>
      </c>
      <c r="L54" s="798">
        <f t="shared" si="16"/>
        <v>0</v>
      </c>
      <c r="M54" s="798">
        <f>SUM(M49:M53)</f>
        <v>3388.4400000000005</v>
      </c>
      <c r="N54" s="798">
        <f t="shared" si="16"/>
        <v>0</v>
      </c>
      <c r="O54" s="798">
        <f t="shared" si="16"/>
        <v>3388.4400000000005</v>
      </c>
      <c r="P54" s="798">
        <f t="shared" si="16"/>
        <v>48875.44</v>
      </c>
      <c r="Q54" s="114"/>
      <c r="R54" s="114"/>
      <c r="S54" s="114"/>
      <c r="T54" s="114"/>
      <c r="U54" s="114"/>
    </row>
    <row r="55" spans="1:21" s="125" customFormat="1" ht="11.25" x14ac:dyDescent="0.2">
      <c r="A55" s="115">
        <v>28</v>
      </c>
      <c r="B55" s="116" t="s">
        <v>259</v>
      </c>
      <c r="C55" s="116" t="s">
        <v>207</v>
      </c>
      <c r="D55" s="117">
        <v>1</v>
      </c>
      <c r="E55" s="118" t="s">
        <v>4</v>
      </c>
      <c r="F55" s="118"/>
      <c r="G55" s="794">
        <v>850</v>
      </c>
      <c r="H55" s="794">
        <f t="shared" ref="H55:H64" si="17">D55*G55</f>
        <v>850</v>
      </c>
      <c r="I55" s="795">
        <f t="shared" ref="I55:I64" si="18">+H55*12</f>
        <v>10200</v>
      </c>
      <c r="J55" s="563">
        <f t="shared" ref="J55:J64" si="19">305*D55</f>
        <v>305</v>
      </c>
      <c r="K55" s="795">
        <f>ROUND((I55*8.75%),0)</f>
        <v>893</v>
      </c>
      <c r="L55" s="799"/>
      <c r="M55" s="796">
        <f>IF(G55&gt;1000,1000*8.5%*12,G55*8.5%*12*D55)</f>
        <v>867</v>
      </c>
      <c r="N55" s="795"/>
      <c r="O55" s="795">
        <f>SUM(L55:N55)</f>
        <v>867</v>
      </c>
      <c r="P55" s="797">
        <f>SUM(I55:N55)</f>
        <v>12265</v>
      </c>
      <c r="Q55" s="114"/>
      <c r="R55" s="114"/>
      <c r="S55" s="114"/>
      <c r="T55" s="124"/>
      <c r="U55" s="124"/>
    </row>
    <row r="56" spans="1:21" s="52" customFormat="1" ht="11.25" x14ac:dyDescent="0.2">
      <c r="A56" s="115">
        <v>29</v>
      </c>
      <c r="B56" s="116" t="s">
        <v>868</v>
      </c>
      <c r="C56" s="116" t="s">
        <v>207</v>
      </c>
      <c r="D56" s="117">
        <v>1</v>
      </c>
      <c r="E56" s="118" t="s">
        <v>4</v>
      </c>
      <c r="F56" s="118"/>
      <c r="G56" s="794">
        <v>750</v>
      </c>
      <c r="H56" s="794">
        <f t="shared" si="17"/>
        <v>750</v>
      </c>
      <c r="I56" s="795">
        <f t="shared" si="18"/>
        <v>9000</v>
      </c>
      <c r="J56" s="563">
        <f t="shared" si="19"/>
        <v>305</v>
      </c>
      <c r="K56" s="795">
        <f t="shared" ref="K56:K64" si="20">ROUND((I56*8.75%),0)</f>
        <v>788</v>
      </c>
      <c r="L56" s="795"/>
      <c r="M56" s="796">
        <f t="shared" ref="M56:M64" si="21">IF(G56&gt;1000,1000*8.5%*12,G56*8.5%*12*D56)</f>
        <v>765.00000000000011</v>
      </c>
      <c r="N56" s="795"/>
      <c r="O56" s="795">
        <f t="shared" ref="O56:O64" si="22">SUM(L56:N56)</f>
        <v>765.00000000000011</v>
      </c>
      <c r="P56" s="797">
        <f t="shared" ref="P56:P64" si="23">SUM(I56:N56)</f>
        <v>10858</v>
      </c>
      <c r="Q56" s="114"/>
      <c r="R56" s="114"/>
      <c r="S56" s="114"/>
      <c r="T56" s="114"/>
      <c r="U56" s="114"/>
    </row>
    <row r="57" spans="1:21" s="52" customFormat="1" ht="11.25" x14ac:dyDescent="0.2">
      <c r="A57" s="115">
        <v>30</v>
      </c>
      <c r="B57" s="116" t="s">
        <v>869</v>
      </c>
      <c r="C57" s="116" t="s">
        <v>207</v>
      </c>
      <c r="D57" s="117">
        <v>1</v>
      </c>
      <c r="E57" s="118" t="s">
        <v>4</v>
      </c>
      <c r="F57" s="118"/>
      <c r="G57" s="794">
        <v>450</v>
      </c>
      <c r="H57" s="794">
        <f t="shared" si="17"/>
        <v>450</v>
      </c>
      <c r="I57" s="795">
        <f t="shared" si="18"/>
        <v>5400</v>
      </c>
      <c r="J57" s="563">
        <f t="shared" si="19"/>
        <v>305</v>
      </c>
      <c r="K57" s="795">
        <f t="shared" si="20"/>
        <v>473</v>
      </c>
      <c r="L57" s="795"/>
      <c r="M57" s="796">
        <f t="shared" si="21"/>
        <v>459</v>
      </c>
      <c r="N57" s="795"/>
      <c r="O57" s="795">
        <f t="shared" si="22"/>
        <v>459</v>
      </c>
      <c r="P57" s="797">
        <f t="shared" si="23"/>
        <v>6637</v>
      </c>
      <c r="Q57" s="114"/>
      <c r="R57" s="114"/>
      <c r="S57" s="114"/>
      <c r="T57" s="114"/>
      <c r="U57" s="114"/>
    </row>
    <row r="58" spans="1:21" s="52" customFormat="1" ht="11.25" x14ac:dyDescent="0.2">
      <c r="A58" s="115">
        <v>31</v>
      </c>
      <c r="B58" s="116" t="s">
        <v>870</v>
      </c>
      <c r="C58" s="116" t="s">
        <v>207</v>
      </c>
      <c r="D58" s="117">
        <v>1</v>
      </c>
      <c r="E58" s="118" t="s">
        <v>4</v>
      </c>
      <c r="F58" s="118"/>
      <c r="G58" s="794">
        <v>650</v>
      </c>
      <c r="H58" s="794">
        <f t="shared" si="17"/>
        <v>650</v>
      </c>
      <c r="I58" s="795">
        <f t="shared" si="18"/>
        <v>7800</v>
      </c>
      <c r="J58" s="563">
        <f t="shared" si="19"/>
        <v>305</v>
      </c>
      <c r="K58" s="795">
        <f t="shared" si="20"/>
        <v>683</v>
      </c>
      <c r="L58" s="795"/>
      <c r="M58" s="796">
        <f t="shared" si="21"/>
        <v>663.00000000000011</v>
      </c>
      <c r="N58" s="795"/>
      <c r="O58" s="795">
        <f t="shared" si="22"/>
        <v>663.00000000000011</v>
      </c>
      <c r="P58" s="797">
        <f t="shared" si="23"/>
        <v>9451</v>
      </c>
      <c r="Q58" s="114"/>
      <c r="R58" s="114"/>
      <c r="S58" s="114"/>
      <c r="T58" s="114"/>
      <c r="U58" s="114"/>
    </row>
    <row r="59" spans="1:21" s="52" customFormat="1" ht="11.25" x14ac:dyDescent="0.2">
      <c r="A59" s="115">
        <v>32</v>
      </c>
      <c r="B59" s="116" t="s">
        <v>861</v>
      </c>
      <c r="C59" s="116" t="s">
        <v>207</v>
      </c>
      <c r="D59" s="117">
        <v>1</v>
      </c>
      <c r="E59" s="118" t="s">
        <v>4</v>
      </c>
      <c r="F59" s="118"/>
      <c r="G59" s="794">
        <v>475</v>
      </c>
      <c r="H59" s="794">
        <f t="shared" si="17"/>
        <v>475</v>
      </c>
      <c r="I59" s="795">
        <f t="shared" si="18"/>
        <v>5700</v>
      </c>
      <c r="J59" s="563">
        <f t="shared" si="19"/>
        <v>305</v>
      </c>
      <c r="K59" s="795">
        <f t="shared" si="20"/>
        <v>499</v>
      </c>
      <c r="L59" s="795"/>
      <c r="M59" s="796">
        <f t="shared" si="21"/>
        <v>484.5</v>
      </c>
      <c r="N59" s="795"/>
      <c r="O59" s="795">
        <f t="shared" si="22"/>
        <v>484.5</v>
      </c>
      <c r="P59" s="797">
        <f t="shared" si="23"/>
        <v>6988.5</v>
      </c>
      <c r="Q59" s="114"/>
      <c r="R59" s="114"/>
      <c r="S59" s="114"/>
      <c r="T59" s="114"/>
      <c r="U59" s="114"/>
    </row>
    <row r="60" spans="1:21" s="52" customFormat="1" ht="11.25" x14ac:dyDescent="0.2">
      <c r="A60" s="115">
        <v>33</v>
      </c>
      <c r="B60" s="116" t="s">
        <v>260</v>
      </c>
      <c r="C60" s="116" t="s">
        <v>207</v>
      </c>
      <c r="D60" s="117">
        <v>2</v>
      </c>
      <c r="E60" s="118" t="s">
        <v>4</v>
      </c>
      <c r="F60" s="118"/>
      <c r="G60" s="794">
        <v>400</v>
      </c>
      <c r="H60" s="794">
        <f t="shared" si="17"/>
        <v>800</v>
      </c>
      <c r="I60" s="795">
        <f t="shared" si="18"/>
        <v>9600</v>
      </c>
      <c r="J60" s="563">
        <f t="shared" si="19"/>
        <v>610</v>
      </c>
      <c r="K60" s="795">
        <f t="shared" si="20"/>
        <v>840</v>
      </c>
      <c r="L60" s="795"/>
      <c r="M60" s="796">
        <f t="shared" si="21"/>
        <v>816</v>
      </c>
      <c r="N60" s="795"/>
      <c r="O60" s="795">
        <f t="shared" si="22"/>
        <v>816</v>
      </c>
      <c r="P60" s="797">
        <f t="shared" si="23"/>
        <v>11866</v>
      </c>
      <c r="Q60" s="114"/>
      <c r="R60" s="114"/>
      <c r="S60" s="114"/>
      <c r="T60" s="114"/>
      <c r="U60" s="114"/>
    </row>
    <row r="61" spans="1:21" s="52" customFormat="1" ht="11.25" x14ac:dyDescent="0.2">
      <c r="A61" s="115">
        <v>34</v>
      </c>
      <c r="B61" s="116" t="s">
        <v>871</v>
      </c>
      <c r="C61" s="116" t="s">
        <v>207</v>
      </c>
      <c r="D61" s="117">
        <v>1</v>
      </c>
      <c r="E61" s="118" t="s">
        <v>4</v>
      </c>
      <c r="F61" s="118"/>
      <c r="G61" s="794">
        <v>450</v>
      </c>
      <c r="H61" s="794">
        <f t="shared" si="17"/>
        <v>450</v>
      </c>
      <c r="I61" s="795">
        <f t="shared" si="18"/>
        <v>5400</v>
      </c>
      <c r="J61" s="563">
        <f t="shared" si="19"/>
        <v>305</v>
      </c>
      <c r="K61" s="795">
        <f t="shared" si="20"/>
        <v>473</v>
      </c>
      <c r="L61" s="795"/>
      <c r="M61" s="796">
        <f t="shared" si="21"/>
        <v>459</v>
      </c>
      <c r="N61" s="795"/>
      <c r="O61" s="795">
        <f t="shared" si="22"/>
        <v>459</v>
      </c>
      <c r="P61" s="797">
        <f t="shared" si="23"/>
        <v>6637</v>
      </c>
      <c r="Q61" s="114"/>
      <c r="R61" s="114"/>
      <c r="S61" s="114"/>
      <c r="T61" s="114"/>
      <c r="U61" s="114"/>
    </row>
    <row r="62" spans="1:21" s="52" customFormat="1" ht="11.25" x14ac:dyDescent="0.2">
      <c r="A62" s="115">
        <v>35</v>
      </c>
      <c r="B62" s="116" t="s">
        <v>872</v>
      </c>
      <c r="C62" s="116" t="s">
        <v>207</v>
      </c>
      <c r="D62" s="117">
        <v>1</v>
      </c>
      <c r="E62" s="118" t="s">
        <v>4</v>
      </c>
      <c r="F62" s="118"/>
      <c r="G62" s="794">
        <v>400</v>
      </c>
      <c r="H62" s="794">
        <f t="shared" si="17"/>
        <v>400</v>
      </c>
      <c r="I62" s="795">
        <f t="shared" si="18"/>
        <v>4800</v>
      </c>
      <c r="J62" s="563">
        <f t="shared" si="19"/>
        <v>305</v>
      </c>
      <c r="K62" s="795">
        <f t="shared" si="20"/>
        <v>420</v>
      </c>
      <c r="L62" s="795"/>
      <c r="M62" s="796">
        <f t="shared" si="21"/>
        <v>408</v>
      </c>
      <c r="N62" s="795"/>
      <c r="O62" s="795">
        <f t="shared" si="22"/>
        <v>408</v>
      </c>
      <c r="P62" s="797">
        <f t="shared" si="23"/>
        <v>5933</v>
      </c>
      <c r="Q62" s="114"/>
      <c r="R62" s="114"/>
      <c r="S62" s="114"/>
      <c r="T62" s="114"/>
      <c r="U62" s="114"/>
    </row>
    <row r="63" spans="1:21" s="52" customFormat="1" ht="11.25" x14ac:dyDescent="0.2">
      <c r="A63" s="115">
        <v>36</v>
      </c>
      <c r="B63" s="116" t="s">
        <v>873</v>
      </c>
      <c r="C63" s="116" t="s">
        <v>207</v>
      </c>
      <c r="D63" s="117">
        <v>1</v>
      </c>
      <c r="E63" s="118" t="s">
        <v>4</v>
      </c>
      <c r="F63" s="118"/>
      <c r="G63" s="794">
        <v>379</v>
      </c>
      <c r="H63" s="794">
        <f t="shared" si="17"/>
        <v>379</v>
      </c>
      <c r="I63" s="795">
        <f t="shared" si="18"/>
        <v>4548</v>
      </c>
      <c r="J63" s="563">
        <f t="shared" si="19"/>
        <v>305</v>
      </c>
      <c r="K63" s="795">
        <f t="shared" si="20"/>
        <v>398</v>
      </c>
      <c r="L63" s="795"/>
      <c r="M63" s="796">
        <f t="shared" si="21"/>
        <v>386.58000000000004</v>
      </c>
      <c r="N63" s="795"/>
      <c r="O63" s="795">
        <f t="shared" si="22"/>
        <v>386.58000000000004</v>
      </c>
      <c r="P63" s="797">
        <f t="shared" si="23"/>
        <v>5637.58</v>
      </c>
      <c r="Q63" s="114"/>
      <c r="R63" s="114"/>
      <c r="S63" s="114"/>
      <c r="T63" s="114"/>
      <c r="U63" s="114"/>
    </row>
    <row r="64" spans="1:21" s="52" customFormat="1" ht="12" customHeight="1" x14ac:dyDescent="0.2">
      <c r="A64" s="115">
        <v>37</v>
      </c>
      <c r="B64" s="116" t="s">
        <v>874</v>
      </c>
      <c r="C64" s="116" t="s">
        <v>207</v>
      </c>
      <c r="D64" s="117">
        <v>2</v>
      </c>
      <c r="E64" s="118" t="s">
        <v>4</v>
      </c>
      <c r="F64" s="118"/>
      <c r="G64" s="782">
        <v>365</v>
      </c>
      <c r="H64" s="782">
        <f t="shared" si="17"/>
        <v>730</v>
      </c>
      <c r="I64" s="800">
        <f t="shared" si="18"/>
        <v>8760</v>
      </c>
      <c r="J64" s="563">
        <f t="shared" si="19"/>
        <v>610</v>
      </c>
      <c r="K64" s="795">
        <f t="shared" si="20"/>
        <v>767</v>
      </c>
      <c r="L64" s="801"/>
      <c r="M64" s="796">
        <f t="shared" si="21"/>
        <v>744.6</v>
      </c>
      <c r="N64" s="800"/>
      <c r="O64" s="800">
        <f t="shared" si="22"/>
        <v>744.6</v>
      </c>
      <c r="P64" s="802">
        <f t="shared" si="23"/>
        <v>10881.6</v>
      </c>
      <c r="Q64" s="114"/>
      <c r="R64" s="114"/>
      <c r="S64" s="114"/>
      <c r="T64" s="114"/>
      <c r="U64" s="114"/>
    </row>
    <row r="65" spans="1:21" s="52" customFormat="1" ht="11.25" x14ac:dyDescent="0.2">
      <c r="A65" s="115"/>
      <c r="B65" s="121" t="s">
        <v>410</v>
      </c>
      <c r="C65" s="116"/>
      <c r="D65" s="117"/>
      <c r="E65" s="118"/>
      <c r="F65" s="118"/>
      <c r="G65" s="798">
        <f t="shared" ref="G65:P65" si="24">SUM(G55:G64)</f>
        <v>5169</v>
      </c>
      <c r="H65" s="798">
        <f t="shared" si="24"/>
        <v>5934</v>
      </c>
      <c r="I65" s="798">
        <f t="shared" si="24"/>
        <v>71208</v>
      </c>
      <c r="J65" s="798">
        <f t="shared" si="24"/>
        <v>3660</v>
      </c>
      <c r="K65" s="798">
        <f t="shared" si="24"/>
        <v>6234</v>
      </c>
      <c r="L65" s="798">
        <f t="shared" si="24"/>
        <v>0</v>
      </c>
      <c r="M65" s="798">
        <f t="shared" si="24"/>
        <v>6052.68</v>
      </c>
      <c r="N65" s="798">
        <f t="shared" si="24"/>
        <v>0</v>
      </c>
      <c r="O65" s="798">
        <f t="shared" si="24"/>
        <v>6052.68</v>
      </c>
      <c r="P65" s="798">
        <f t="shared" si="24"/>
        <v>87154.680000000008</v>
      </c>
      <c r="Q65" s="114"/>
      <c r="R65" s="114"/>
      <c r="S65" s="114"/>
      <c r="T65" s="114"/>
      <c r="U65" s="114"/>
    </row>
    <row r="66" spans="1:21" s="52" customFormat="1" ht="11.25" x14ac:dyDescent="0.2">
      <c r="A66" s="115">
        <v>38</v>
      </c>
      <c r="B66" s="116" t="s">
        <v>261</v>
      </c>
      <c r="C66" s="116" t="s">
        <v>182</v>
      </c>
      <c r="D66" s="117">
        <v>1</v>
      </c>
      <c r="E66" s="118" t="s">
        <v>4</v>
      </c>
      <c r="F66" s="118"/>
      <c r="G66" s="925">
        <v>850</v>
      </c>
      <c r="H66" s="794">
        <f>D66*G66</f>
        <v>850</v>
      </c>
      <c r="I66" s="795">
        <f>+H66*12</f>
        <v>10200</v>
      </c>
      <c r="J66" s="563">
        <f>305*D66</f>
        <v>305</v>
      </c>
      <c r="K66" s="795">
        <f>ROUND((I66*8.75%),0)</f>
        <v>893</v>
      </c>
      <c r="L66" s="795"/>
      <c r="M66" s="796">
        <f>IF(G66&gt;1000,1000*8.5%*12,G66*8.5%*12*D66)</f>
        <v>867</v>
      </c>
      <c r="N66" s="795"/>
      <c r="O66" s="795">
        <f>SUM(L66:N66)</f>
        <v>867</v>
      </c>
      <c r="P66" s="797">
        <f>SUM(I66:N66)</f>
        <v>12265</v>
      </c>
      <c r="Q66" s="114"/>
      <c r="R66" s="114"/>
      <c r="S66" s="114"/>
      <c r="T66" s="114"/>
      <c r="U66" s="114"/>
    </row>
    <row r="67" spans="1:21" s="125" customFormat="1" ht="11.25" x14ac:dyDescent="0.2">
      <c r="A67" s="115">
        <v>39</v>
      </c>
      <c r="B67" s="116" t="s">
        <v>262</v>
      </c>
      <c r="C67" s="116" t="s">
        <v>182</v>
      </c>
      <c r="D67" s="117">
        <v>1</v>
      </c>
      <c r="E67" s="118" t="s">
        <v>4</v>
      </c>
      <c r="F67" s="118"/>
      <c r="G67" s="794">
        <v>672</v>
      </c>
      <c r="H67" s="794">
        <f>D67*G67</f>
        <v>672</v>
      </c>
      <c r="I67" s="795">
        <f>+H67*12</f>
        <v>8064</v>
      </c>
      <c r="J67" s="563">
        <f>305*D67</f>
        <v>305</v>
      </c>
      <c r="K67" s="795">
        <f t="shared" ref="K67:K69" si="25">ROUND((I67*8.75%),0)</f>
        <v>706</v>
      </c>
      <c r="L67" s="799"/>
      <c r="M67" s="796">
        <f>IF(G67&gt;1000,1000*8.5%*12,G67*8.5%*12*D67)</f>
        <v>685.44</v>
      </c>
      <c r="N67" s="795"/>
      <c r="O67" s="795">
        <f>SUM(L67:N67)</f>
        <v>685.44</v>
      </c>
      <c r="P67" s="797">
        <f>SUM(I67:N67)</f>
        <v>9760.44</v>
      </c>
      <c r="Q67" s="114"/>
      <c r="R67" s="114"/>
      <c r="S67" s="114"/>
      <c r="T67" s="124"/>
      <c r="U67" s="124"/>
    </row>
    <row r="68" spans="1:21" s="125" customFormat="1" ht="11.25" x14ac:dyDescent="0.2">
      <c r="A68" s="115">
        <v>40</v>
      </c>
      <c r="B68" s="116" t="s">
        <v>720</v>
      </c>
      <c r="C68" s="116" t="s">
        <v>182</v>
      </c>
      <c r="D68" s="117">
        <v>1</v>
      </c>
      <c r="E68" s="118" t="s">
        <v>4</v>
      </c>
      <c r="F68" s="118"/>
      <c r="G68" s="794">
        <v>365</v>
      </c>
      <c r="H68" s="794">
        <v>365</v>
      </c>
      <c r="I68" s="795">
        <f>+H68*12</f>
        <v>4380</v>
      </c>
      <c r="J68" s="563">
        <f>305*D68</f>
        <v>305</v>
      </c>
      <c r="K68" s="795">
        <f t="shared" si="25"/>
        <v>383</v>
      </c>
      <c r="L68" s="799"/>
      <c r="M68" s="796">
        <f>IF(G68&gt;1000,1000*8.5%*12,G68*8.5%*12*D68)</f>
        <v>372.3</v>
      </c>
      <c r="N68" s="795"/>
      <c r="O68" s="795">
        <f>SUM(L68:N68)</f>
        <v>372.3</v>
      </c>
      <c r="P68" s="797">
        <f>SUM(I68:N68)</f>
        <v>5440.3</v>
      </c>
      <c r="Q68" s="114"/>
      <c r="R68" s="114"/>
      <c r="S68" s="114"/>
      <c r="T68" s="124"/>
      <c r="U68" s="124"/>
    </row>
    <row r="69" spans="1:21" s="125" customFormat="1" ht="11.25" x14ac:dyDescent="0.2">
      <c r="A69" s="115">
        <v>41</v>
      </c>
      <c r="B69" s="622" t="s">
        <v>721</v>
      </c>
      <c r="C69" s="116" t="s">
        <v>182</v>
      </c>
      <c r="D69" s="117">
        <v>1</v>
      </c>
      <c r="E69" s="118" t="s">
        <v>4</v>
      </c>
      <c r="F69" s="118"/>
      <c r="G69" s="925">
        <v>400</v>
      </c>
      <c r="H69" s="794">
        <f>D69*G69</f>
        <v>400</v>
      </c>
      <c r="I69" s="795">
        <f>H69*12</f>
        <v>4800</v>
      </c>
      <c r="J69" s="563">
        <f>305*D69</f>
        <v>305</v>
      </c>
      <c r="K69" s="795">
        <f t="shared" si="25"/>
        <v>420</v>
      </c>
      <c r="L69" s="799"/>
      <c r="M69" s="796">
        <f>IF(G69&gt;1000,1000*8.5%*12,G69*8.5%*12*D69)</f>
        <v>408</v>
      </c>
      <c r="N69" s="795"/>
      <c r="O69" s="795">
        <f>SUM(L69:N69)</f>
        <v>408</v>
      </c>
      <c r="P69" s="797">
        <f>SUM(I69:N69)</f>
        <v>5933</v>
      </c>
      <c r="Q69" s="114"/>
      <c r="R69" s="114"/>
      <c r="S69" s="114"/>
      <c r="T69" s="124"/>
      <c r="U69" s="124"/>
    </row>
    <row r="70" spans="1:21" s="52" customFormat="1" ht="11.25" x14ac:dyDescent="0.2">
      <c r="A70" s="115"/>
      <c r="B70" s="121" t="s">
        <v>410</v>
      </c>
      <c r="C70" s="116"/>
      <c r="D70" s="117"/>
      <c r="E70" s="118"/>
      <c r="F70" s="118"/>
      <c r="G70" s="798">
        <f>SUM(G66:G69)</f>
        <v>2287</v>
      </c>
      <c r="H70" s="798">
        <f>SUM(H66:H69)</f>
        <v>2287</v>
      </c>
      <c r="I70" s="798">
        <f t="shared" ref="I70:P70" si="26">SUM(I66:I69)</f>
        <v>27444</v>
      </c>
      <c r="J70" s="798">
        <f t="shared" si="26"/>
        <v>1220</v>
      </c>
      <c r="K70" s="798">
        <f>SUM(K66:K69)</f>
        <v>2402</v>
      </c>
      <c r="L70" s="798">
        <f t="shared" si="26"/>
        <v>0</v>
      </c>
      <c r="M70" s="798">
        <f t="shared" si="26"/>
        <v>2332.7399999999998</v>
      </c>
      <c r="N70" s="798">
        <f t="shared" si="26"/>
        <v>0</v>
      </c>
      <c r="O70" s="798">
        <f t="shared" si="26"/>
        <v>2332.7399999999998</v>
      </c>
      <c r="P70" s="798">
        <f t="shared" si="26"/>
        <v>33398.740000000005</v>
      </c>
      <c r="Q70" s="114"/>
      <c r="R70" s="114"/>
      <c r="S70" s="114"/>
      <c r="T70" s="114"/>
      <c r="U70" s="114"/>
    </row>
    <row r="71" spans="1:21" s="125" customFormat="1" ht="11.25" x14ac:dyDescent="0.2">
      <c r="A71" s="108">
        <v>42</v>
      </c>
      <c r="B71" s="83" t="s">
        <v>263</v>
      </c>
      <c r="C71" s="83" t="s">
        <v>206</v>
      </c>
      <c r="D71" s="109">
        <v>1</v>
      </c>
      <c r="E71" s="110" t="s">
        <v>4</v>
      </c>
      <c r="F71" s="110"/>
      <c r="G71" s="803">
        <v>850</v>
      </c>
      <c r="H71" s="803">
        <f>D71*G71</f>
        <v>850</v>
      </c>
      <c r="I71" s="796">
        <f>+H71*12</f>
        <v>10200</v>
      </c>
      <c r="J71" s="563">
        <f t="shared" ref="J71:J80" si="27">305*D71</f>
        <v>305</v>
      </c>
      <c r="K71" s="796">
        <f>ROUND((I71*8.75%),0)</f>
        <v>893</v>
      </c>
      <c r="L71" s="804"/>
      <c r="M71" s="796">
        <f>IF(G71&gt;1000,1000*8.5%*12,G71*8.5%*12*D71)</f>
        <v>867</v>
      </c>
      <c r="N71" s="796"/>
      <c r="O71" s="796">
        <f>SUM(L71:N71)</f>
        <v>867</v>
      </c>
      <c r="P71" s="805">
        <f>SUM(I71:N71)</f>
        <v>12265</v>
      </c>
      <c r="Q71" s="114"/>
      <c r="R71" s="114"/>
      <c r="S71" s="114"/>
      <c r="T71" s="124"/>
      <c r="U71" s="124"/>
    </row>
    <row r="72" spans="1:21" s="125" customFormat="1" ht="11.25" x14ac:dyDescent="0.2">
      <c r="A72" s="115">
        <v>43</v>
      </c>
      <c r="B72" s="116" t="s">
        <v>383</v>
      </c>
      <c r="C72" s="116" t="s">
        <v>206</v>
      </c>
      <c r="D72" s="117">
        <v>1</v>
      </c>
      <c r="E72" s="118" t="s">
        <v>4</v>
      </c>
      <c r="F72" s="118"/>
      <c r="G72" s="794">
        <v>450</v>
      </c>
      <c r="H72" s="794">
        <f>D72*G72</f>
        <v>450</v>
      </c>
      <c r="I72" s="795">
        <f>+H72*12</f>
        <v>5400</v>
      </c>
      <c r="J72" s="563">
        <f t="shared" si="27"/>
        <v>305</v>
      </c>
      <c r="K72" s="796">
        <f>ROUND((I72*8.75%),0)</f>
        <v>473</v>
      </c>
      <c r="L72" s="799"/>
      <c r="M72" s="796">
        <f>IF(G72&gt;1000,1000*8.5%*12,G72*8.5%*12*D72)</f>
        <v>459</v>
      </c>
      <c r="N72" s="795"/>
      <c r="O72" s="795">
        <f>SUM(L72:N72)</f>
        <v>459</v>
      </c>
      <c r="P72" s="797">
        <f>SUM(I72:N72)</f>
        <v>6637</v>
      </c>
      <c r="Q72" s="114"/>
      <c r="R72" s="114"/>
      <c r="S72" s="114"/>
      <c r="T72" s="124"/>
      <c r="U72" s="124"/>
    </row>
    <row r="73" spans="1:21" s="52" customFormat="1" ht="11.25" x14ac:dyDescent="0.2">
      <c r="A73" s="115"/>
      <c r="B73" s="121" t="s">
        <v>410</v>
      </c>
      <c r="C73" s="116"/>
      <c r="D73" s="117"/>
      <c r="E73" s="118"/>
      <c r="F73" s="118"/>
      <c r="G73" s="798">
        <f>SUM(G71:G72)</f>
        <v>1300</v>
      </c>
      <c r="H73" s="798">
        <f t="shared" ref="H73:P73" si="28">SUM(H71:H72)</f>
        <v>1300</v>
      </c>
      <c r="I73" s="798">
        <f t="shared" si="28"/>
        <v>15600</v>
      </c>
      <c r="J73" s="798">
        <f t="shared" si="28"/>
        <v>610</v>
      </c>
      <c r="K73" s="798">
        <f t="shared" si="28"/>
        <v>1366</v>
      </c>
      <c r="L73" s="798">
        <f t="shared" si="28"/>
        <v>0</v>
      </c>
      <c r="M73" s="798">
        <f t="shared" si="28"/>
        <v>1326</v>
      </c>
      <c r="N73" s="798">
        <f t="shared" si="28"/>
        <v>0</v>
      </c>
      <c r="O73" s="798">
        <f t="shared" si="28"/>
        <v>1326</v>
      </c>
      <c r="P73" s="798">
        <f t="shared" si="28"/>
        <v>18902</v>
      </c>
      <c r="Q73" s="114"/>
      <c r="R73" s="114"/>
      <c r="S73" s="114"/>
      <c r="T73" s="114"/>
      <c r="U73" s="114"/>
    </row>
    <row r="74" spans="1:21" s="125" customFormat="1" ht="11.25" x14ac:dyDescent="0.2">
      <c r="A74" s="115">
        <v>44</v>
      </c>
      <c r="B74" s="116" t="s">
        <v>501</v>
      </c>
      <c r="C74" s="116" t="s">
        <v>440</v>
      </c>
      <c r="D74" s="117">
        <v>1</v>
      </c>
      <c r="E74" s="118" t="s">
        <v>4</v>
      </c>
      <c r="F74" s="118"/>
      <c r="G74" s="794">
        <v>750</v>
      </c>
      <c r="H74" s="794">
        <f>D74*G74</f>
        <v>750</v>
      </c>
      <c r="I74" s="795">
        <f>+H74*12</f>
        <v>9000</v>
      </c>
      <c r="J74" s="563">
        <f t="shared" si="27"/>
        <v>305</v>
      </c>
      <c r="K74" s="795">
        <f>ROUND((I74*8.75%),0)</f>
        <v>788</v>
      </c>
      <c r="L74" s="799"/>
      <c r="M74" s="796">
        <f>IF(G74&gt;1000,1000*8.5%*12,G74*8.5%*12*D74)</f>
        <v>765.00000000000011</v>
      </c>
      <c r="N74" s="795"/>
      <c r="O74" s="795">
        <f>SUM(L74:N74)</f>
        <v>765.00000000000011</v>
      </c>
      <c r="P74" s="797">
        <f>SUM(I74:N74)</f>
        <v>10858</v>
      </c>
      <c r="Q74" s="114"/>
      <c r="R74" s="114"/>
      <c r="S74" s="114"/>
      <c r="T74" s="124"/>
      <c r="U74" s="124"/>
    </row>
    <row r="75" spans="1:21" s="125" customFormat="1" ht="11.25" x14ac:dyDescent="0.2">
      <c r="A75" s="115">
        <v>45</v>
      </c>
      <c r="B75" s="116" t="s">
        <v>865</v>
      </c>
      <c r="C75" s="116" t="s">
        <v>440</v>
      </c>
      <c r="D75" s="117">
        <v>1</v>
      </c>
      <c r="E75" s="118" t="s">
        <v>4</v>
      </c>
      <c r="F75" s="118"/>
      <c r="G75" s="794"/>
      <c r="H75" s="794">
        <f>D75*G75</f>
        <v>0</v>
      </c>
      <c r="I75" s="795">
        <f>+H75*12</f>
        <v>0</v>
      </c>
      <c r="J75" s="563"/>
      <c r="K75" s="795">
        <f>ROUND((I75*8.75%),0)</f>
        <v>0</v>
      </c>
      <c r="L75" s="799"/>
      <c r="M75" s="796">
        <f>IF(G75&gt;1000,1000*8.5%*12,G75*8.5%*12*D75)</f>
        <v>0</v>
      </c>
      <c r="N75" s="795"/>
      <c r="O75" s="795">
        <f>SUM(L75:N75)</f>
        <v>0</v>
      </c>
      <c r="P75" s="797">
        <f>SUM(I75:N75)</f>
        <v>0</v>
      </c>
      <c r="Q75" s="114"/>
      <c r="R75" s="114"/>
      <c r="S75" s="114"/>
      <c r="T75" s="124"/>
      <c r="U75" s="124"/>
    </row>
    <row r="76" spans="1:21" s="52" customFormat="1" ht="11.25" x14ac:dyDescent="0.2">
      <c r="A76" s="115"/>
      <c r="B76" s="121" t="s">
        <v>410</v>
      </c>
      <c r="C76" s="116"/>
      <c r="D76" s="117"/>
      <c r="E76" s="118"/>
      <c r="F76" s="118"/>
      <c r="G76" s="798">
        <f>SUM(G74:G75)</f>
        <v>750</v>
      </c>
      <c r="H76" s="798">
        <f t="shared" ref="H76:O76" si="29">SUM(H74:H75)</f>
        <v>750</v>
      </c>
      <c r="I76" s="798">
        <f t="shared" si="29"/>
        <v>9000</v>
      </c>
      <c r="J76" s="798">
        <f t="shared" si="29"/>
        <v>305</v>
      </c>
      <c r="K76" s="798">
        <f t="shared" si="29"/>
        <v>788</v>
      </c>
      <c r="L76" s="798">
        <f t="shared" si="29"/>
        <v>0</v>
      </c>
      <c r="M76" s="798">
        <f t="shared" si="29"/>
        <v>765.00000000000011</v>
      </c>
      <c r="N76" s="798">
        <f t="shared" si="29"/>
        <v>0</v>
      </c>
      <c r="O76" s="798">
        <f t="shared" si="29"/>
        <v>765.00000000000011</v>
      </c>
      <c r="P76" s="798">
        <f>SUM(P74:P75)</f>
        <v>10858</v>
      </c>
      <c r="Q76" s="114"/>
      <c r="R76" s="114"/>
      <c r="S76" s="114"/>
      <c r="T76" s="114"/>
      <c r="U76" s="114"/>
    </row>
    <row r="77" spans="1:21" s="125" customFormat="1" ht="11.25" x14ac:dyDescent="0.2">
      <c r="A77" s="108">
        <v>46</v>
      </c>
      <c r="B77" s="83" t="s">
        <v>700</v>
      </c>
      <c r="C77" s="83" t="s">
        <v>553</v>
      </c>
      <c r="D77" s="109">
        <v>1</v>
      </c>
      <c r="E77" s="110" t="s">
        <v>4</v>
      </c>
      <c r="F77" s="110"/>
      <c r="G77" s="803">
        <v>500</v>
      </c>
      <c r="H77" s="803">
        <f>D77*G77</f>
        <v>500</v>
      </c>
      <c r="I77" s="796">
        <f>+H77*12</f>
        <v>6000</v>
      </c>
      <c r="J77" s="563">
        <f t="shared" si="27"/>
        <v>305</v>
      </c>
      <c r="K77" s="796">
        <f>ROUND((I77*8.75%),0)</f>
        <v>525</v>
      </c>
      <c r="L77" s="804"/>
      <c r="M77" s="796">
        <f>IF(G77&gt;1000,1000*8.5%*12,G77*8.5%*12*D77)</f>
        <v>510</v>
      </c>
      <c r="N77" s="796"/>
      <c r="O77" s="796">
        <f>SUM(L77:N77)</f>
        <v>510</v>
      </c>
      <c r="P77" s="805">
        <f>SUM(I77:N77)</f>
        <v>7340</v>
      </c>
      <c r="Q77" s="114"/>
      <c r="R77" s="114"/>
      <c r="S77" s="114"/>
      <c r="T77" s="124"/>
      <c r="U77" s="124"/>
    </row>
    <row r="78" spans="1:21" s="125" customFormat="1" ht="11.25" x14ac:dyDescent="0.2">
      <c r="A78" s="115">
        <v>47</v>
      </c>
      <c r="B78" s="116" t="s">
        <v>866</v>
      </c>
      <c r="C78" s="83" t="s">
        <v>553</v>
      </c>
      <c r="D78" s="117">
        <v>1</v>
      </c>
      <c r="E78" s="118" t="s">
        <v>4</v>
      </c>
      <c r="F78" s="118"/>
      <c r="G78" s="794"/>
      <c r="H78" s="794">
        <f>D78*G78</f>
        <v>0</v>
      </c>
      <c r="I78" s="795">
        <f>+H78*12</f>
        <v>0</v>
      </c>
      <c r="J78" s="563"/>
      <c r="K78" s="796">
        <f t="shared" ref="K78:K80" si="30">ROUND((I78*8.75%),0)</f>
        <v>0</v>
      </c>
      <c r="L78" s="799"/>
      <c r="M78" s="796">
        <f>IF(G78&gt;1000,1000*8.5%*12,G78*8.5%*12*D78)</f>
        <v>0</v>
      </c>
      <c r="N78" s="795"/>
      <c r="O78" s="795">
        <f>SUM(L78:N78)</f>
        <v>0</v>
      </c>
      <c r="P78" s="797">
        <f>SUM(I78:N78)</f>
        <v>0</v>
      </c>
      <c r="Q78" s="114"/>
      <c r="R78" s="114"/>
      <c r="S78" s="114"/>
      <c r="T78" s="124"/>
      <c r="U78" s="124"/>
    </row>
    <row r="79" spans="1:21" s="125" customFormat="1" ht="11.25" x14ac:dyDescent="0.2">
      <c r="A79" s="108">
        <v>48</v>
      </c>
      <c r="B79" s="116" t="s">
        <v>548</v>
      </c>
      <c r="C79" s="83" t="s">
        <v>553</v>
      </c>
      <c r="D79" s="117">
        <v>2</v>
      </c>
      <c r="E79" s="118" t="s">
        <v>4</v>
      </c>
      <c r="F79" s="118"/>
      <c r="G79" s="794">
        <v>365</v>
      </c>
      <c r="H79" s="794">
        <f>D79*G79</f>
        <v>730</v>
      </c>
      <c r="I79" s="795">
        <f>+H79*12</f>
        <v>8760</v>
      </c>
      <c r="J79" s="563">
        <f t="shared" si="27"/>
        <v>610</v>
      </c>
      <c r="K79" s="796">
        <f t="shared" si="30"/>
        <v>767</v>
      </c>
      <c r="L79" s="799"/>
      <c r="M79" s="796">
        <f>IF(G79&gt;1000,1000*8.5%*12,G79*8.5%*12*D79)</f>
        <v>744.6</v>
      </c>
      <c r="N79" s="795"/>
      <c r="O79" s="795">
        <f>SUM(L79:N79)</f>
        <v>744.6</v>
      </c>
      <c r="P79" s="797">
        <f>SUM(I79:N79)</f>
        <v>10881.6</v>
      </c>
      <c r="Q79" s="114"/>
      <c r="R79" s="114"/>
      <c r="S79" s="114"/>
      <c r="T79" s="124"/>
      <c r="U79" s="124"/>
    </row>
    <row r="80" spans="1:21" s="125" customFormat="1" ht="11.25" x14ac:dyDescent="0.2">
      <c r="A80" s="115">
        <v>49</v>
      </c>
      <c r="B80" s="116" t="s">
        <v>867</v>
      </c>
      <c r="C80" s="83" t="s">
        <v>553</v>
      </c>
      <c r="D80" s="117">
        <v>1</v>
      </c>
      <c r="E80" s="118" t="s">
        <v>4</v>
      </c>
      <c r="F80" s="118"/>
      <c r="G80" s="794">
        <v>450</v>
      </c>
      <c r="H80" s="794">
        <f>D80*G80</f>
        <v>450</v>
      </c>
      <c r="I80" s="795">
        <f>+H80*12</f>
        <v>5400</v>
      </c>
      <c r="J80" s="563">
        <f t="shared" si="27"/>
        <v>305</v>
      </c>
      <c r="K80" s="796">
        <f t="shared" si="30"/>
        <v>473</v>
      </c>
      <c r="L80" s="799"/>
      <c r="M80" s="796">
        <f>IF(G80&gt;1000,1000*8.5%*12,G80*8.5%*12*D80)</f>
        <v>459</v>
      </c>
      <c r="N80" s="795"/>
      <c r="O80" s="795">
        <f>SUM(L80:N80)</f>
        <v>459</v>
      </c>
      <c r="P80" s="797">
        <f>SUM(I80:N80)</f>
        <v>6637</v>
      </c>
      <c r="Q80" s="114"/>
      <c r="R80" s="114"/>
      <c r="S80" s="114"/>
      <c r="T80" s="124"/>
      <c r="U80" s="124"/>
    </row>
    <row r="81" spans="1:21" s="52" customFormat="1" ht="11.25" x14ac:dyDescent="0.2">
      <c r="A81" s="115"/>
      <c r="B81" s="121" t="s">
        <v>410</v>
      </c>
      <c r="C81" s="116"/>
      <c r="D81" s="117"/>
      <c r="E81" s="118"/>
      <c r="F81" s="118"/>
      <c r="G81" s="798">
        <f>SUM(G77:G80)</f>
        <v>1315</v>
      </c>
      <c r="H81" s="798">
        <f t="shared" ref="H81:P81" si="31">SUM(H77:H80)</f>
        <v>1680</v>
      </c>
      <c r="I81" s="798">
        <f t="shared" si="31"/>
        <v>20160</v>
      </c>
      <c r="J81" s="798">
        <f t="shared" si="31"/>
        <v>1220</v>
      </c>
      <c r="K81" s="798">
        <f t="shared" si="31"/>
        <v>1765</v>
      </c>
      <c r="L81" s="798">
        <f t="shared" si="31"/>
        <v>0</v>
      </c>
      <c r="M81" s="798">
        <f t="shared" si="31"/>
        <v>1713.6</v>
      </c>
      <c r="N81" s="798">
        <f t="shared" si="31"/>
        <v>0</v>
      </c>
      <c r="O81" s="798">
        <f t="shared" si="31"/>
        <v>1713.6</v>
      </c>
      <c r="P81" s="798">
        <f t="shared" si="31"/>
        <v>24858.6</v>
      </c>
      <c r="Q81" s="114"/>
      <c r="R81" s="114"/>
      <c r="S81" s="114"/>
      <c r="T81" s="114"/>
      <c r="U81" s="114"/>
    </row>
    <row r="82" spans="1:21" s="125" customFormat="1" ht="11.25" x14ac:dyDescent="0.2">
      <c r="A82" s="108">
        <v>50</v>
      </c>
      <c r="B82" s="116" t="s">
        <v>617</v>
      </c>
      <c r="C82" s="116" t="s">
        <v>618</v>
      </c>
      <c r="D82" s="117">
        <v>1</v>
      </c>
      <c r="E82" s="118" t="s">
        <v>4</v>
      </c>
      <c r="F82" s="118"/>
      <c r="G82" s="794">
        <v>550</v>
      </c>
      <c r="H82" s="794">
        <f>D82*G82</f>
        <v>550</v>
      </c>
      <c r="I82" s="795">
        <f>+H82*12</f>
        <v>6600</v>
      </c>
      <c r="J82" s="563">
        <f t="shared" ref="J82:J94" si="32">305*D82</f>
        <v>305</v>
      </c>
      <c r="K82" s="795">
        <f>ROUND((I82*8.75%),0)</f>
        <v>578</v>
      </c>
      <c r="L82" s="799"/>
      <c r="M82" s="796">
        <f>IF(G82&gt;1000,1000*8.5%*12,G82*8.5%*12*D82)</f>
        <v>561</v>
      </c>
      <c r="N82" s="795"/>
      <c r="O82" s="795">
        <f>SUM(L82:N82)</f>
        <v>561</v>
      </c>
      <c r="P82" s="797">
        <f>SUM(I82:N82)</f>
        <v>8044</v>
      </c>
      <c r="Q82" s="114"/>
      <c r="R82" s="114"/>
      <c r="S82" s="114"/>
      <c r="T82" s="124"/>
      <c r="U82" s="124"/>
    </row>
    <row r="83" spans="1:21" s="125" customFormat="1" ht="11.25" x14ac:dyDescent="0.2">
      <c r="A83" s="115">
        <v>51</v>
      </c>
      <c r="B83" s="116" t="s">
        <v>619</v>
      </c>
      <c r="C83" s="116" t="s">
        <v>618</v>
      </c>
      <c r="D83" s="117">
        <v>1</v>
      </c>
      <c r="E83" s="118" t="s">
        <v>4</v>
      </c>
      <c r="F83" s="118"/>
      <c r="G83" s="794">
        <v>365</v>
      </c>
      <c r="H83" s="794">
        <f>D83*G83</f>
        <v>365</v>
      </c>
      <c r="I83" s="795">
        <f>+H83*12</f>
        <v>4380</v>
      </c>
      <c r="J83" s="563">
        <v>305</v>
      </c>
      <c r="K83" s="795">
        <f>ROUND((I83*8.75%),0)</f>
        <v>383</v>
      </c>
      <c r="L83" s="799"/>
      <c r="M83" s="796">
        <f>IF(G83&gt;1000,1000*8.5%*12,G83*8.5%*12*D83)</f>
        <v>372.3</v>
      </c>
      <c r="N83" s="795"/>
      <c r="O83" s="795">
        <f>SUM(L83:N83)</f>
        <v>372.3</v>
      </c>
      <c r="P83" s="797">
        <f>SUM(I83:N83)</f>
        <v>5440.3</v>
      </c>
      <c r="Q83" s="114"/>
      <c r="R83" s="114"/>
      <c r="S83" s="114"/>
      <c r="T83" s="124"/>
      <c r="U83" s="124"/>
    </row>
    <row r="84" spans="1:21" s="52" customFormat="1" ht="11.25" x14ac:dyDescent="0.2">
      <c r="A84" s="115"/>
      <c r="B84" s="121" t="s">
        <v>410</v>
      </c>
      <c r="C84" s="116"/>
      <c r="D84" s="117"/>
      <c r="E84" s="118"/>
      <c r="F84" s="118"/>
      <c r="G84" s="798">
        <f>SUM(G82:G83)</f>
        <v>915</v>
      </c>
      <c r="H84" s="798">
        <f t="shared" ref="H84:P84" si="33">SUM(H82:H83)</f>
        <v>915</v>
      </c>
      <c r="I84" s="798">
        <f t="shared" si="33"/>
        <v>10980</v>
      </c>
      <c r="J84" s="798">
        <f t="shared" si="33"/>
        <v>610</v>
      </c>
      <c r="K84" s="798">
        <f t="shared" si="33"/>
        <v>961</v>
      </c>
      <c r="L84" s="798">
        <f t="shared" si="33"/>
        <v>0</v>
      </c>
      <c r="M84" s="798">
        <f t="shared" si="33"/>
        <v>933.3</v>
      </c>
      <c r="N84" s="798">
        <f t="shared" si="33"/>
        <v>0</v>
      </c>
      <c r="O84" s="798">
        <f t="shared" si="33"/>
        <v>933.3</v>
      </c>
      <c r="P84" s="798">
        <f t="shared" si="33"/>
        <v>13484.3</v>
      </c>
      <c r="Q84" s="114"/>
      <c r="R84" s="114"/>
      <c r="S84" s="114"/>
      <c r="T84" s="114"/>
      <c r="U84" s="114"/>
    </row>
    <row r="85" spans="1:21" s="52" customFormat="1" ht="11.25" x14ac:dyDescent="0.2">
      <c r="A85" s="115">
        <v>52</v>
      </c>
      <c r="B85" s="116" t="s">
        <v>732</v>
      </c>
      <c r="C85" s="116" t="s">
        <v>735</v>
      </c>
      <c r="D85" s="117">
        <v>1</v>
      </c>
      <c r="E85" s="118" t="s">
        <v>4</v>
      </c>
      <c r="F85" s="118"/>
      <c r="G85" s="794">
        <v>800</v>
      </c>
      <c r="H85" s="794">
        <f>D85*G85</f>
        <v>800</v>
      </c>
      <c r="I85" s="795">
        <f>+H85*12</f>
        <v>9600</v>
      </c>
      <c r="J85" s="563">
        <f>305*D85</f>
        <v>305</v>
      </c>
      <c r="K85" s="795">
        <f>ROUND((I85*8.75%),0)</f>
        <v>840</v>
      </c>
      <c r="L85" s="799"/>
      <c r="M85" s="796">
        <f>IF(G85&gt;1000,1000*8.5%*12,G85*8.5%*12*D85)</f>
        <v>816</v>
      </c>
      <c r="N85" s="795"/>
      <c r="O85" s="795">
        <f>SUM(L85:N85)</f>
        <v>816</v>
      </c>
      <c r="P85" s="797">
        <f>SUM(I85:N85)</f>
        <v>11561</v>
      </c>
      <c r="Q85" s="114"/>
      <c r="R85" s="114"/>
      <c r="S85" s="114"/>
      <c r="T85" s="114"/>
      <c r="U85" s="114"/>
    </row>
    <row r="86" spans="1:21" s="52" customFormat="1" ht="11.25" x14ac:dyDescent="0.2">
      <c r="A86" s="115">
        <v>53</v>
      </c>
      <c r="B86" s="116" t="s">
        <v>733</v>
      </c>
      <c r="C86" s="116" t="s">
        <v>735</v>
      </c>
      <c r="D86" s="117">
        <v>1</v>
      </c>
      <c r="E86" s="118" t="s">
        <v>4</v>
      </c>
      <c r="F86" s="118"/>
      <c r="G86" s="1021"/>
      <c r="H86" s="794">
        <f>D86*G86</f>
        <v>0</v>
      </c>
      <c r="I86" s="795">
        <f>+H86*12</f>
        <v>0</v>
      </c>
      <c r="J86" s="563"/>
      <c r="K86" s="795">
        <f>ROUND((I86*8.75%),0)</f>
        <v>0</v>
      </c>
      <c r="L86" s="799"/>
      <c r="M86" s="796">
        <f>IF(G86&gt;1000,1000*8.5%*12,G86*8.5%*12*D86)</f>
        <v>0</v>
      </c>
      <c r="N86" s="795"/>
      <c r="O86" s="795">
        <f>SUM(L86:N86)</f>
        <v>0</v>
      </c>
      <c r="P86" s="797">
        <f>SUM(I86:N86)</f>
        <v>0</v>
      </c>
      <c r="Q86" s="114"/>
      <c r="R86" s="114"/>
      <c r="S86" s="114"/>
      <c r="T86" s="114"/>
      <c r="U86" s="114"/>
    </row>
    <row r="87" spans="1:21" s="52" customFormat="1" ht="11.25" x14ac:dyDescent="0.2">
      <c r="A87" s="115"/>
      <c r="B87" s="121" t="s">
        <v>734</v>
      </c>
      <c r="C87" s="116"/>
      <c r="D87" s="117"/>
      <c r="E87" s="118"/>
      <c r="F87" s="118"/>
      <c r="G87" s="798">
        <f>SUM(G85:G86)</f>
        <v>800</v>
      </c>
      <c r="H87" s="798">
        <f t="shared" ref="H87:O87" si="34">SUM(H85:H86)</f>
        <v>800</v>
      </c>
      <c r="I87" s="798">
        <f t="shared" si="34"/>
        <v>9600</v>
      </c>
      <c r="J87" s="798">
        <f t="shared" si="34"/>
        <v>305</v>
      </c>
      <c r="K87" s="798">
        <f t="shared" si="34"/>
        <v>840</v>
      </c>
      <c r="L87" s="798">
        <f t="shared" si="34"/>
        <v>0</v>
      </c>
      <c r="M87" s="798">
        <f t="shared" si="34"/>
        <v>816</v>
      </c>
      <c r="N87" s="798">
        <f t="shared" si="34"/>
        <v>0</v>
      </c>
      <c r="O87" s="798">
        <f t="shared" si="34"/>
        <v>816</v>
      </c>
      <c r="P87" s="798">
        <f>SUM(P85:P86)</f>
        <v>11561</v>
      </c>
      <c r="Q87" s="114"/>
      <c r="R87" s="114"/>
      <c r="S87" s="114"/>
      <c r="T87" s="114"/>
      <c r="U87" s="114"/>
    </row>
    <row r="88" spans="1:21" s="125" customFormat="1" ht="11.25" x14ac:dyDescent="0.2">
      <c r="A88" s="115">
        <v>54</v>
      </c>
      <c r="B88" s="116" t="s">
        <v>512</v>
      </c>
      <c r="C88" s="116" t="s">
        <v>513</v>
      </c>
      <c r="D88" s="117">
        <v>1</v>
      </c>
      <c r="E88" s="118" t="s">
        <v>4</v>
      </c>
      <c r="F88" s="118"/>
      <c r="G88" s="794">
        <v>700</v>
      </c>
      <c r="H88" s="794">
        <f>D88*G88</f>
        <v>700</v>
      </c>
      <c r="I88" s="795">
        <f>+H88*12</f>
        <v>8400</v>
      </c>
      <c r="J88" s="563">
        <f t="shared" si="32"/>
        <v>305</v>
      </c>
      <c r="K88" s="795">
        <f>ROUND((I88*8.75%),0)</f>
        <v>735</v>
      </c>
      <c r="L88" s="799"/>
      <c r="M88" s="796">
        <f>IF(G88&gt;1000,1000*8.5%*12,G88*8.5%*12*D88)</f>
        <v>714.00000000000011</v>
      </c>
      <c r="N88" s="795"/>
      <c r="O88" s="795">
        <f>SUM(L88:N88)</f>
        <v>714.00000000000011</v>
      </c>
      <c r="P88" s="797">
        <f>SUM(I88:N88)</f>
        <v>10154</v>
      </c>
      <c r="Q88" s="114"/>
      <c r="R88" s="114"/>
      <c r="S88" s="114"/>
      <c r="T88" s="124"/>
      <c r="U88" s="124"/>
    </row>
    <row r="89" spans="1:21" s="52" customFormat="1" ht="11.25" x14ac:dyDescent="0.2">
      <c r="A89" s="115"/>
      <c r="B89" s="121" t="s">
        <v>410</v>
      </c>
      <c r="C89" s="116"/>
      <c r="D89" s="117"/>
      <c r="E89" s="118"/>
      <c r="F89" s="118"/>
      <c r="G89" s="798">
        <f>G88</f>
        <v>700</v>
      </c>
      <c r="H89" s="798">
        <f t="shared" ref="H89:P89" si="35">H88</f>
        <v>700</v>
      </c>
      <c r="I89" s="798">
        <f t="shared" si="35"/>
        <v>8400</v>
      </c>
      <c r="J89" s="798">
        <f t="shared" si="35"/>
        <v>305</v>
      </c>
      <c r="K89" s="798">
        <f t="shared" si="35"/>
        <v>735</v>
      </c>
      <c r="L89" s="798">
        <f t="shared" si="35"/>
        <v>0</v>
      </c>
      <c r="M89" s="798">
        <f t="shared" si="35"/>
        <v>714.00000000000011</v>
      </c>
      <c r="N89" s="798">
        <f t="shared" si="35"/>
        <v>0</v>
      </c>
      <c r="O89" s="798">
        <f t="shared" si="35"/>
        <v>714.00000000000011</v>
      </c>
      <c r="P89" s="798">
        <f t="shared" si="35"/>
        <v>10154</v>
      </c>
      <c r="Q89" s="114"/>
      <c r="R89" s="114"/>
      <c r="S89" s="114"/>
      <c r="T89" s="114"/>
      <c r="U89" s="114"/>
    </row>
    <row r="90" spans="1:21" s="125" customFormat="1" ht="11.25" x14ac:dyDescent="0.2">
      <c r="A90" s="115">
        <v>55</v>
      </c>
      <c r="B90" s="116" t="s">
        <v>264</v>
      </c>
      <c r="C90" s="116" t="s">
        <v>558</v>
      </c>
      <c r="D90" s="117">
        <v>1</v>
      </c>
      <c r="E90" s="118" t="s">
        <v>4</v>
      </c>
      <c r="F90" s="118"/>
      <c r="G90" s="794">
        <v>1250</v>
      </c>
      <c r="H90" s="794">
        <f t="shared" ref="H90:H99" si="36">D90*G90</f>
        <v>1250</v>
      </c>
      <c r="I90" s="795">
        <f t="shared" ref="I90:I99" si="37">+H90*12</f>
        <v>15000</v>
      </c>
      <c r="J90" s="563">
        <f t="shared" si="32"/>
        <v>305</v>
      </c>
      <c r="K90" s="795">
        <f>ROUND((I90*8.75%),0)</f>
        <v>1313</v>
      </c>
      <c r="L90" s="795"/>
      <c r="M90" s="796">
        <f>IF(G90&gt;1000,1000*8.5%*12,G90*8.5%*12*D90)</f>
        <v>1020</v>
      </c>
      <c r="N90" s="795"/>
      <c r="O90" s="795">
        <f t="shared" ref="O90:O99" si="38">SUM(L90:N90)</f>
        <v>1020</v>
      </c>
      <c r="P90" s="797">
        <f t="shared" ref="P90:P99" si="39">SUM(I90:N90)</f>
        <v>17638</v>
      </c>
      <c r="Q90" s="114"/>
      <c r="R90" s="114"/>
      <c r="S90" s="114"/>
      <c r="T90" s="124"/>
      <c r="U90" s="124"/>
    </row>
    <row r="91" spans="1:21" s="125" customFormat="1" ht="11.25" x14ac:dyDescent="0.2">
      <c r="A91" s="115">
        <v>56</v>
      </c>
      <c r="B91" s="116" t="s">
        <v>584</v>
      </c>
      <c r="C91" s="116" t="s">
        <v>558</v>
      </c>
      <c r="D91" s="117">
        <v>1</v>
      </c>
      <c r="E91" s="118" t="s">
        <v>4</v>
      </c>
      <c r="F91" s="118"/>
      <c r="G91" s="794">
        <v>850</v>
      </c>
      <c r="H91" s="794">
        <f t="shared" si="36"/>
        <v>850</v>
      </c>
      <c r="I91" s="795">
        <f t="shared" si="37"/>
        <v>10200</v>
      </c>
      <c r="J91" s="563">
        <f t="shared" si="32"/>
        <v>305</v>
      </c>
      <c r="K91" s="795">
        <f t="shared" ref="K91:K99" si="40">ROUND((I91*8.75%),0)</f>
        <v>893</v>
      </c>
      <c r="L91" s="799"/>
      <c r="M91" s="796">
        <f t="shared" ref="M91:M99" si="41">IF(G91&gt;1000,1000*8.5%*12,G91*8.5%*12*D91)</f>
        <v>867</v>
      </c>
      <c r="N91" s="795"/>
      <c r="O91" s="795">
        <f t="shared" si="38"/>
        <v>867</v>
      </c>
      <c r="P91" s="797">
        <f>SUM(I91:N91)</f>
        <v>12265</v>
      </c>
      <c r="Q91" s="114"/>
      <c r="R91" s="114"/>
      <c r="S91" s="114"/>
      <c r="T91" s="124"/>
      <c r="U91" s="124"/>
    </row>
    <row r="92" spans="1:21" s="125" customFormat="1" ht="11.25" x14ac:dyDescent="0.2">
      <c r="A92" s="115">
        <v>57</v>
      </c>
      <c r="B92" s="116" t="s">
        <v>875</v>
      </c>
      <c r="C92" s="116" t="s">
        <v>558</v>
      </c>
      <c r="D92" s="117">
        <v>1</v>
      </c>
      <c r="E92" s="118" t="s">
        <v>4</v>
      </c>
      <c r="F92" s="118"/>
      <c r="G92" s="794">
        <v>700</v>
      </c>
      <c r="H92" s="794">
        <f t="shared" si="36"/>
        <v>700</v>
      </c>
      <c r="I92" s="795">
        <f t="shared" si="37"/>
        <v>8400</v>
      </c>
      <c r="J92" s="563">
        <f t="shared" si="32"/>
        <v>305</v>
      </c>
      <c r="K92" s="795">
        <f t="shared" si="40"/>
        <v>735</v>
      </c>
      <c r="L92" s="799"/>
      <c r="M92" s="796">
        <f t="shared" si="41"/>
        <v>714.00000000000011</v>
      </c>
      <c r="N92" s="795"/>
      <c r="O92" s="795">
        <f>SUM(L92:N92)</f>
        <v>714.00000000000011</v>
      </c>
      <c r="P92" s="797">
        <f>SUM(I92:N92)</f>
        <v>10154</v>
      </c>
      <c r="Q92" s="114"/>
      <c r="R92" s="114"/>
      <c r="S92" s="114"/>
      <c r="T92" s="124"/>
      <c r="U92" s="124"/>
    </row>
    <row r="93" spans="1:21" s="125" customFormat="1" ht="11.25" x14ac:dyDescent="0.2">
      <c r="A93" s="115">
        <v>58</v>
      </c>
      <c r="B93" s="116" t="s">
        <v>876</v>
      </c>
      <c r="C93" s="116" t="s">
        <v>558</v>
      </c>
      <c r="D93" s="117">
        <v>1</v>
      </c>
      <c r="E93" s="118" t="s">
        <v>4</v>
      </c>
      <c r="F93" s="118"/>
      <c r="G93" s="794">
        <v>650</v>
      </c>
      <c r="H93" s="794">
        <f t="shared" si="36"/>
        <v>650</v>
      </c>
      <c r="I93" s="795">
        <f t="shared" si="37"/>
        <v>7800</v>
      </c>
      <c r="J93" s="563">
        <f t="shared" si="32"/>
        <v>305</v>
      </c>
      <c r="K93" s="795">
        <f t="shared" si="40"/>
        <v>683</v>
      </c>
      <c r="L93" s="799"/>
      <c r="M93" s="796">
        <f t="shared" si="41"/>
        <v>663.00000000000011</v>
      </c>
      <c r="N93" s="795"/>
      <c r="O93" s="795">
        <f t="shared" si="38"/>
        <v>663.00000000000011</v>
      </c>
      <c r="P93" s="797">
        <f t="shared" si="39"/>
        <v>9451</v>
      </c>
      <c r="Q93" s="114"/>
      <c r="R93" s="114"/>
      <c r="S93" s="114"/>
      <c r="T93" s="124"/>
      <c r="U93" s="124"/>
    </row>
    <row r="94" spans="1:21" s="125" customFormat="1" ht="11.25" x14ac:dyDescent="0.2">
      <c r="A94" s="115">
        <v>59</v>
      </c>
      <c r="B94" s="116" t="s">
        <v>520</v>
      </c>
      <c r="C94" s="116" t="s">
        <v>558</v>
      </c>
      <c r="D94" s="117">
        <v>1</v>
      </c>
      <c r="E94" s="118" t="s">
        <v>4</v>
      </c>
      <c r="F94" s="118"/>
      <c r="G94" s="794">
        <v>400</v>
      </c>
      <c r="H94" s="794">
        <f t="shared" si="36"/>
        <v>400</v>
      </c>
      <c r="I94" s="795">
        <f t="shared" si="37"/>
        <v>4800</v>
      </c>
      <c r="J94" s="563">
        <f t="shared" si="32"/>
        <v>305</v>
      </c>
      <c r="K94" s="795">
        <f t="shared" si="40"/>
        <v>420</v>
      </c>
      <c r="L94" s="799"/>
      <c r="M94" s="796">
        <f t="shared" si="41"/>
        <v>408</v>
      </c>
      <c r="N94" s="795"/>
      <c r="O94" s="795">
        <f t="shared" si="38"/>
        <v>408</v>
      </c>
      <c r="P94" s="797">
        <f t="shared" si="39"/>
        <v>5933</v>
      </c>
      <c r="Q94" s="114"/>
      <c r="R94" s="114"/>
      <c r="S94" s="114"/>
      <c r="T94" s="124"/>
      <c r="U94" s="124"/>
    </row>
    <row r="95" spans="1:21" s="125" customFormat="1" ht="11.25" x14ac:dyDescent="0.2">
      <c r="A95" s="115">
        <v>60</v>
      </c>
      <c r="B95" s="116" t="s">
        <v>602</v>
      </c>
      <c r="C95" s="116" t="s">
        <v>558</v>
      </c>
      <c r="D95" s="117">
        <v>1</v>
      </c>
      <c r="E95" s="118" t="s">
        <v>4</v>
      </c>
      <c r="F95" s="118"/>
      <c r="G95" s="794">
        <v>365</v>
      </c>
      <c r="H95" s="794">
        <f t="shared" si="36"/>
        <v>365</v>
      </c>
      <c r="I95" s="795">
        <f t="shared" si="37"/>
        <v>4380</v>
      </c>
      <c r="J95" s="563">
        <f>305*D95</f>
        <v>305</v>
      </c>
      <c r="K95" s="795">
        <f t="shared" si="40"/>
        <v>383</v>
      </c>
      <c r="L95" s="799"/>
      <c r="M95" s="796">
        <f t="shared" si="41"/>
        <v>372.3</v>
      </c>
      <c r="N95" s="795"/>
      <c r="O95" s="795">
        <f t="shared" si="38"/>
        <v>372.3</v>
      </c>
      <c r="P95" s="797">
        <f>SUM(I95:N95)</f>
        <v>5440.3</v>
      </c>
      <c r="Q95" s="114"/>
      <c r="R95" s="114"/>
      <c r="S95" s="114"/>
      <c r="T95" s="124"/>
      <c r="U95" s="124"/>
    </row>
    <row r="96" spans="1:21" s="125" customFormat="1" ht="11.25" x14ac:dyDescent="0.2">
      <c r="A96" s="115">
        <v>61</v>
      </c>
      <c r="B96" s="116" t="s">
        <v>570</v>
      </c>
      <c r="C96" s="116" t="s">
        <v>558</v>
      </c>
      <c r="D96" s="117">
        <v>1</v>
      </c>
      <c r="E96" s="118" t="s">
        <v>4</v>
      </c>
      <c r="F96" s="118"/>
      <c r="G96" s="794">
        <v>550</v>
      </c>
      <c r="H96" s="794">
        <f t="shared" si="36"/>
        <v>550</v>
      </c>
      <c r="I96" s="795">
        <f t="shared" si="37"/>
        <v>6600</v>
      </c>
      <c r="J96" s="795">
        <v>305</v>
      </c>
      <c r="K96" s="795">
        <f t="shared" si="40"/>
        <v>578</v>
      </c>
      <c r="L96" s="799"/>
      <c r="M96" s="796">
        <f t="shared" si="41"/>
        <v>561</v>
      </c>
      <c r="N96" s="795"/>
      <c r="O96" s="795">
        <f t="shared" si="38"/>
        <v>561</v>
      </c>
      <c r="P96" s="797">
        <f t="shared" si="39"/>
        <v>8044</v>
      </c>
      <c r="Q96" s="114"/>
      <c r="R96" s="114"/>
      <c r="S96" s="114"/>
      <c r="T96" s="124"/>
      <c r="U96" s="124"/>
    </row>
    <row r="97" spans="1:21" s="125" customFormat="1" ht="11.25" x14ac:dyDescent="0.2">
      <c r="A97" s="115">
        <v>62</v>
      </c>
      <c r="B97" s="116" t="s">
        <v>853</v>
      </c>
      <c r="C97" s="116" t="s">
        <v>558</v>
      </c>
      <c r="D97" s="117">
        <v>1</v>
      </c>
      <c r="E97" s="118" t="s">
        <v>3</v>
      </c>
      <c r="F97" s="118"/>
      <c r="G97" s="794">
        <v>450</v>
      </c>
      <c r="H97" s="794">
        <f t="shared" si="36"/>
        <v>450</v>
      </c>
      <c r="I97" s="795">
        <f t="shared" si="37"/>
        <v>5400</v>
      </c>
      <c r="J97" s="795">
        <v>305</v>
      </c>
      <c r="K97" s="795">
        <f t="shared" si="40"/>
        <v>473</v>
      </c>
      <c r="L97" s="799"/>
      <c r="M97" s="796">
        <f t="shared" si="41"/>
        <v>459</v>
      </c>
      <c r="N97" s="795"/>
      <c r="O97" s="795">
        <f t="shared" si="38"/>
        <v>459</v>
      </c>
      <c r="P97" s="797">
        <f t="shared" si="39"/>
        <v>6637</v>
      </c>
      <c r="Q97" s="114"/>
      <c r="R97" s="114"/>
      <c r="S97" s="114"/>
      <c r="T97" s="124"/>
      <c r="U97" s="124"/>
    </row>
    <row r="98" spans="1:21" s="125" customFormat="1" ht="11.25" x14ac:dyDescent="0.2">
      <c r="A98" s="115">
        <v>63</v>
      </c>
      <c r="B98" s="116" t="s">
        <v>855</v>
      </c>
      <c r="C98" s="116" t="s">
        <v>558</v>
      </c>
      <c r="D98" s="117">
        <v>1</v>
      </c>
      <c r="E98" s="118" t="s">
        <v>3</v>
      </c>
      <c r="F98" s="118"/>
      <c r="G98" s="794">
        <v>365</v>
      </c>
      <c r="H98" s="794">
        <f t="shared" si="36"/>
        <v>365</v>
      </c>
      <c r="I98" s="795">
        <f t="shared" si="37"/>
        <v>4380</v>
      </c>
      <c r="J98" s="795">
        <v>305</v>
      </c>
      <c r="K98" s="795">
        <f t="shared" si="40"/>
        <v>383</v>
      </c>
      <c r="L98" s="799"/>
      <c r="M98" s="796">
        <f t="shared" si="41"/>
        <v>372.3</v>
      </c>
      <c r="N98" s="795"/>
      <c r="O98" s="795">
        <f t="shared" si="38"/>
        <v>372.3</v>
      </c>
      <c r="P98" s="797">
        <f t="shared" si="39"/>
        <v>5440.3</v>
      </c>
      <c r="Q98" s="114"/>
      <c r="R98" s="114"/>
      <c r="S98" s="114"/>
      <c r="T98" s="124"/>
      <c r="U98" s="124"/>
    </row>
    <row r="99" spans="1:21" s="125" customFormat="1" ht="11.25" x14ac:dyDescent="0.2">
      <c r="A99" s="115">
        <v>64</v>
      </c>
      <c r="B99" s="622" t="s">
        <v>856</v>
      </c>
      <c r="C99" s="116" t="s">
        <v>558</v>
      </c>
      <c r="D99" s="117">
        <v>1</v>
      </c>
      <c r="E99" s="118" t="s">
        <v>3</v>
      </c>
      <c r="F99" s="118"/>
      <c r="G99" s="794">
        <v>400</v>
      </c>
      <c r="H99" s="794">
        <f t="shared" si="36"/>
        <v>400</v>
      </c>
      <c r="I99" s="795">
        <f t="shared" si="37"/>
        <v>4800</v>
      </c>
      <c r="J99" s="795">
        <v>305</v>
      </c>
      <c r="K99" s="795">
        <f t="shared" si="40"/>
        <v>420</v>
      </c>
      <c r="L99" s="799"/>
      <c r="M99" s="796">
        <f t="shared" si="41"/>
        <v>408</v>
      </c>
      <c r="N99" s="795"/>
      <c r="O99" s="795">
        <f t="shared" si="38"/>
        <v>408</v>
      </c>
      <c r="P99" s="797">
        <f t="shared" si="39"/>
        <v>5933</v>
      </c>
      <c r="Q99" s="114"/>
      <c r="R99" s="114"/>
      <c r="S99" s="114"/>
      <c r="T99" s="124"/>
      <c r="U99" s="124"/>
    </row>
    <row r="100" spans="1:21" s="52" customFormat="1" ht="11.25" x14ac:dyDescent="0.2">
      <c r="A100" s="115"/>
      <c r="B100" s="121" t="s">
        <v>410</v>
      </c>
      <c r="C100" s="116"/>
      <c r="D100" s="117"/>
      <c r="E100" s="118"/>
      <c r="F100" s="118"/>
      <c r="G100" s="798">
        <f>SUM(G90:G99)</f>
        <v>5980</v>
      </c>
      <c r="H100" s="798">
        <f t="shared" ref="H100:P100" si="42">SUM(H90:H99)</f>
        <v>5980</v>
      </c>
      <c r="I100" s="798">
        <f t="shared" si="42"/>
        <v>71760</v>
      </c>
      <c r="J100" s="798">
        <f t="shared" si="42"/>
        <v>3050</v>
      </c>
      <c r="K100" s="798">
        <f t="shared" si="42"/>
        <v>6281</v>
      </c>
      <c r="L100" s="798">
        <f t="shared" si="42"/>
        <v>0</v>
      </c>
      <c r="M100" s="798">
        <f t="shared" si="42"/>
        <v>5844.6</v>
      </c>
      <c r="N100" s="798">
        <f t="shared" si="42"/>
        <v>0</v>
      </c>
      <c r="O100" s="798">
        <f t="shared" si="42"/>
        <v>5844.6</v>
      </c>
      <c r="P100" s="798">
        <f t="shared" si="42"/>
        <v>86935.6</v>
      </c>
      <c r="Q100" s="114"/>
      <c r="R100" s="114"/>
      <c r="S100" s="114"/>
      <c r="T100" s="114"/>
      <c r="U100" s="114"/>
    </row>
    <row r="101" spans="1:21" s="125" customFormat="1" ht="11.25" x14ac:dyDescent="0.2">
      <c r="A101" s="115">
        <v>65</v>
      </c>
      <c r="B101" s="116" t="s">
        <v>265</v>
      </c>
      <c r="C101" s="116" t="s">
        <v>554</v>
      </c>
      <c r="D101" s="117">
        <v>1</v>
      </c>
      <c r="E101" s="118" t="s">
        <v>466</v>
      </c>
      <c r="F101" s="118"/>
      <c r="G101" s="794">
        <v>850</v>
      </c>
      <c r="H101" s="794">
        <f t="shared" ref="H101:H111" si="43">D101*G101</f>
        <v>850</v>
      </c>
      <c r="I101" s="795">
        <f>+H101*12</f>
        <v>10200</v>
      </c>
      <c r="J101" s="563">
        <f>305*D101</f>
        <v>305</v>
      </c>
      <c r="K101" s="795">
        <f>+I101*8.75%</f>
        <v>892.5</v>
      </c>
      <c r="L101" s="799"/>
      <c r="M101" s="796">
        <f>IF(G101&gt;1000,1000*8.5%*12,G101*8.5%*12*D101)</f>
        <v>867</v>
      </c>
      <c r="N101" s="795"/>
      <c r="O101" s="795">
        <f>SUM(L101:N101)</f>
        <v>867</v>
      </c>
      <c r="P101" s="797">
        <f>SUM(I101:N101)</f>
        <v>12264.5</v>
      </c>
      <c r="Q101" s="114"/>
      <c r="R101" s="114"/>
      <c r="S101" s="114"/>
      <c r="T101" s="124"/>
      <c r="U101" s="124"/>
    </row>
    <row r="102" spans="1:21" s="125" customFormat="1" ht="11.25" x14ac:dyDescent="0.2">
      <c r="A102" s="115">
        <v>66</v>
      </c>
      <c r="B102" s="116" t="s">
        <v>724</v>
      </c>
      <c r="C102" s="116" t="s">
        <v>554</v>
      </c>
      <c r="D102" s="117">
        <v>1</v>
      </c>
      <c r="E102" s="118" t="s">
        <v>466</v>
      </c>
      <c r="F102" s="118"/>
      <c r="G102" s="794">
        <v>400</v>
      </c>
      <c r="H102" s="794">
        <f t="shared" si="43"/>
        <v>400</v>
      </c>
      <c r="I102" s="795">
        <f>+H102*12</f>
        <v>4800</v>
      </c>
      <c r="J102" s="563">
        <f t="shared" ref="J102:J111" si="44">305*D102</f>
        <v>305</v>
      </c>
      <c r="K102" s="795">
        <f t="shared" ref="K102:K114" si="45">+I102*8.75%</f>
        <v>420</v>
      </c>
      <c r="L102" s="799"/>
      <c r="M102" s="796">
        <f>IF(G102&gt;1000,1000*8.5%*12,G102*8.5%*12*D102)</f>
        <v>408</v>
      </c>
      <c r="N102" s="795"/>
      <c r="O102" s="795">
        <f>SUM(L102:N102)</f>
        <v>408</v>
      </c>
      <c r="P102" s="797">
        <f t="shared" ref="P102:P111" si="46">SUM(I102:N102)</f>
        <v>5933</v>
      </c>
      <c r="Q102" s="114"/>
      <c r="R102" s="114"/>
      <c r="S102" s="114"/>
      <c r="T102" s="124"/>
      <c r="U102" s="124"/>
    </row>
    <row r="103" spans="1:21" s="125" customFormat="1" ht="11.25" x14ac:dyDescent="0.2">
      <c r="A103" s="115">
        <v>67</v>
      </c>
      <c r="B103" s="116" t="s">
        <v>877</v>
      </c>
      <c r="C103" s="116" t="s">
        <v>554</v>
      </c>
      <c r="D103" s="117">
        <v>1</v>
      </c>
      <c r="E103" s="118" t="s">
        <v>466</v>
      </c>
      <c r="F103" s="118"/>
      <c r="G103" s="794">
        <v>480</v>
      </c>
      <c r="H103" s="794">
        <f t="shared" si="43"/>
        <v>480</v>
      </c>
      <c r="I103" s="795">
        <f>+H103*12</f>
        <v>5760</v>
      </c>
      <c r="J103" s="563">
        <f t="shared" si="44"/>
        <v>305</v>
      </c>
      <c r="K103" s="795">
        <f t="shared" si="45"/>
        <v>503.99999999999994</v>
      </c>
      <c r="L103" s="799"/>
      <c r="M103" s="796">
        <f>IF(G103&gt;1000,1000*8.5%*12,G103*8.5%*12*D103)</f>
        <v>489.6</v>
      </c>
      <c r="N103" s="795"/>
      <c r="O103" s="795">
        <f>SUM(L103:N103)</f>
        <v>489.6</v>
      </c>
      <c r="P103" s="797">
        <f t="shared" si="46"/>
        <v>7058.6</v>
      </c>
      <c r="Q103" s="114"/>
      <c r="R103" s="114"/>
      <c r="S103" s="114"/>
      <c r="T103" s="124"/>
      <c r="U103" s="124"/>
    </row>
    <row r="104" spans="1:21" s="125" customFormat="1" ht="11.25" x14ac:dyDescent="0.2">
      <c r="A104" s="115">
        <v>68</v>
      </c>
      <c r="B104" s="116" t="s">
        <v>878</v>
      </c>
      <c r="C104" s="116" t="s">
        <v>554</v>
      </c>
      <c r="D104" s="117">
        <v>2</v>
      </c>
      <c r="E104" s="118" t="s">
        <v>466</v>
      </c>
      <c r="F104" s="118"/>
      <c r="G104" s="794">
        <v>400</v>
      </c>
      <c r="H104" s="794">
        <f t="shared" si="43"/>
        <v>800</v>
      </c>
      <c r="I104" s="795">
        <f t="shared" ref="I104:I111" si="47">+H104*12</f>
        <v>9600</v>
      </c>
      <c r="J104" s="563">
        <f t="shared" si="44"/>
        <v>610</v>
      </c>
      <c r="K104" s="795">
        <f t="shared" si="45"/>
        <v>840</v>
      </c>
      <c r="L104" s="799"/>
      <c r="M104" s="796">
        <f t="shared" ref="M104:M114" si="48">IF(G104&gt;1000,1000*8.5%*12,G104*8.5%*12*D104)</f>
        <v>816</v>
      </c>
      <c r="N104" s="795"/>
      <c r="O104" s="795">
        <f t="shared" ref="O104:O114" si="49">SUM(L104:N104)</f>
        <v>816</v>
      </c>
      <c r="P104" s="797">
        <f t="shared" si="46"/>
        <v>11866</v>
      </c>
      <c r="Q104" s="114"/>
      <c r="R104" s="114"/>
      <c r="S104" s="114"/>
      <c r="T104" s="124"/>
      <c r="U104" s="124"/>
    </row>
    <row r="105" spans="1:21" s="125" customFormat="1" ht="11.25" x14ac:dyDescent="0.2">
      <c r="A105" s="115">
        <v>69</v>
      </c>
      <c r="B105" s="116" t="s">
        <v>879</v>
      </c>
      <c r="C105" s="116" t="s">
        <v>554</v>
      </c>
      <c r="D105" s="117">
        <v>2</v>
      </c>
      <c r="E105" s="118" t="s">
        <v>466</v>
      </c>
      <c r="F105" s="118"/>
      <c r="G105" s="794">
        <v>365</v>
      </c>
      <c r="H105" s="794">
        <f t="shared" si="43"/>
        <v>730</v>
      </c>
      <c r="I105" s="795">
        <f t="shared" si="47"/>
        <v>8760</v>
      </c>
      <c r="J105" s="563">
        <f t="shared" si="44"/>
        <v>610</v>
      </c>
      <c r="K105" s="795">
        <f t="shared" si="45"/>
        <v>766.5</v>
      </c>
      <c r="L105" s="799"/>
      <c r="M105" s="796">
        <f t="shared" si="48"/>
        <v>744.6</v>
      </c>
      <c r="N105" s="795"/>
      <c r="O105" s="795">
        <f t="shared" si="49"/>
        <v>744.6</v>
      </c>
      <c r="P105" s="797">
        <f t="shared" si="46"/>
        <v>10881.1</v>
      </c>
      <c r="Q105" s="114"/>
      <c r="R105" s="114"/>
      <c r="S105" s="114"/>
      <c r="T105" s="124"/>
      <c r="U105" s="124"/>
    </row>
    <row r="106" spans="1:21" s="125" customFormat="1" ht="11.25" x14ac:dyDescent="0.2">
      <c r="A106" s="115">
        <v>70</v>
      </c>
      <c r="B106" s="116" t="s">
        <v>719</v>
      </c>
      <c r="C106" s="116" t="s">
        <v>554</v>
      </c>
      <c r="D106" s="117">
        <v>1</v>
      </c>
      <c r="E106" s="118" t="s">
        <v>466</v>
      </c>
      <c r="F106" s="118"/>
      <c r="G106" s="794">
        <v>365</v>
      </c>
      <c r="H106" s="794">
        <f t="shared" si="43"/>
        <v>365</v>
      </c>
      <c r="I106" s="795">
        <f t="shared" si="47"/>
        <v>4380</v>
      </c>
      <c r="J106" s="563">
        <f t="shared" si="44"/>
        <v>305</v>
      </c>
      <c r="K106" s="795">
        <f t="shared" si="45"/>
        <v>383.25</v>
      </c>
      <c r="L106" s="799"/>
      <c r="M106" s="796">
        <f t="shared" si="48"/>
        <v>372.3</v>
      </c>
      <c r="N106" s="795"/>
      <c r="O106" s="795">
        <f t="shared" si="49"/>
        <v>372.3</v>
      </c>
      <c r="P106" s="797">
        <f t="shared" si="46"/>
        <v>5440.55</v>
      </c>
      <c r="Q106" s="114"/>
      <c r="R106" s="114"/>
      <c r="S106" s="114"/>
      <c r="T106" s="124"/>
      <c r="U106" s="124"/>
    </row>
    <row r="107" spans="1:21" s="125" customFormat="1" ht="11.25" x14ac:dyDescent="0.2">
      <c r="A107" s="115">
        <v>71</v>
      </c>
      <c r="B107" s="116" t="s">
        <v>880</v>
      </c>
      <c r="C107" s="116" t="s">
        <v>554</v>
      </c>
      <c r="D107" s="117">
        <v>1</v>
      </c>
      <c r="E107" s="118" t="s">
        <v>466</v>
      </c>
      <c r="F107" s="118"/>
      <c r="G107" s="794">
        <v>450</v>
      </c>
      <c r="H107" s="794">
        <f t="shared" si="43"/>
        <v>450</v>
      </c>
      <c r="I107" s="795">
        <f t="shared" si="47"/>
        <v>5400</v>
      </c>
      <c r="J107" s="563">
        <f t="shared" si="44"/>
        <v>305</v>
      </c>
      <c r="K107" s="795">
        <f t="shared" si="45"/>
        <v>472.49999999999994</v>
      </c>
      <c r="L107" s="799"/>
      <c r="M107" s="796">
        <f t="shared" si="48"/>
        <v>459</v>
      </c>
      <c r="N107" s="795"/>
      <c r="O107" s="795">
        <f t="shared" si="49"/>
        <v>459</v>
      </c>
      <c r="P107" s="797">
        <f t="shared" si="46"/>
        <v>6636.5</v>
      </c>
      <c r="Q107" s="114"/>
      <c r="R107" s="114"/>
      <c r="S107" s="114"/>
      <c r="T107" s="124"/>
      <c r="U107" s="124"/>
    </row>
    <row r="108" spans="1:21" s="125" customFormat="1" ht="11.25" x14ac:dyDescent="0.2">
      <c r="A108" s="115">
        <v>72</v>
      </c>
      <c r="B108" s="116" t="s">
        <v>723</v>
      </c>
      <c r="C108" s="116" t="s">
        <v>554</v>
      </c>
      <c r="D108" s="117">
        <v>1</v>
      </c>
      <c r="E108" s="118" t="s">
        <v>466</v>
      </c>
      <c r="F108" s="118"/>
      <c r="G108" s="794">
        <v>450</v>
      </c>
      <c r="H108" s="794">
        <f t="shared" si="43"/>
        <v>450</v>
      </c>
      <c r="I108" s="795">
        <f t="shared" si="47"/>
        <v>5400</v>
      </c>
      <c r="J108" s="563">
        <f t="shared" si="44"/>
        <v>305</v>
      </c>
      <c r="K108" s="795">
        <f t="shared" si="45"/>
        <v>472.49999999999994</v>
      </c>
      <c r="L108" s="799"/>
      <c r="M108" s="796">
        <f t="shared" si="48"/>
        <v>459</v>
      </c>
      <c r="N108" s="795"/>
      <c r="O108" s="795">
        <f t="shared" si="49"/>
        <v>459</v>
      </c>
      <c r="P108" s="797">
        <f t="shared" si="46"/>
        <v>6636.5</v>
      </c>
      <c r="Q108" s="114"/>
      <c r="R108" s="114"/>
      <c r="S108" s="114"/>
      <c r="T108" s="124"/>
      <c r="U108" s="124"/>
    </row>
    <row r="109" spans="1:21" s="125" customFormat="1" ht="11.25" x14ac:dyDescent="0.2">
      <c r="A109" s="115">
        <v>73</v>
      </c>
      <c r="B109" s="116" t="s">
        <v>770</v>
      </c>
      <c r="C109" s="116" t="s">
        <v>554</v>
      </c>
      <c r="D109" s="117">
        <v>1</v>
      </c>
      <c r="E109" s="118" t="s">
        <v>466</v>
      </c>
      <c r="F109" s="118"/>
      <c r="G109" s="794">
        <v>500</v>
      </c>
      <c r="H109" s="794">
        <f t="shared" si="43"/>
        <v>500</v>
      </c>
      <c r="I109" s="795">
        <f t="shared" si="47"/>
        <v>6000</v>
      </c>
      <c r="J109" s="563">
        <f t="shared" si="44"/>
        <v>305</v>
      </c>
      <c r="K109" s="795">
        <f t="shared" si="45"/>
        <v>525</v>
      </c>
      <c r="L109" s="799"/>
      <c r="M109" s="796">
        <f t="shared" si="48"/>
        <v>510</v>
      </c>
      <c r="N109" s="795"/>
      <c r="O109" s="795">
        <f t="shared" si="49"/>
        <v>510</v>
      </c>
      <c r="P109" s="797">
        <f t="shared" si="46"/>
        <v>7340</v>
      </c>
      <c r="Q109" s="114"/>
      <c r="R109" s="114"/>
      <c r="S109" s="114"/>
      <c r="T109" s="124"/>
      <c r="U109" s="124"/>
    </row>
    <row r="110" spans="1:21" s="125" customFormat="1" ht="11.25" x14ac:dyDescent="0.2">
      <c r="A110" s="115">
        <v>74</v>
      </c>
      <c r="B110" s="116" t="s">
        <v>771</v>
      </c>
      <c r="C110" s="116" t="s">
        <v>554</v>
      </c>
      <c r="D110" s="117">
        <v>1</v>
      </c>
      <c r="E110" s="118" t="s">
        <v>466</v>
      </c>
      <c r="F110" s="118"/>
      <c r="G110" s="794">
        <v>365</v>
      </c>
      <c r="H110" s="794">
        <f t="shared" si="43"/>
        <v>365</v>
      </c>
      <c r="I110" s="795">
        <f t="shared" si="47"/>
        <v>4380</v>
      </c>
      <c r="J110" s="563">
        <f t="shared" si="44"/>
        <v>305</v>
      </c>
      <c r="K110" s="795">
        <f t="shared" si="45"/>
        <v>383.25</v>
      </c>
      <c r="L110" s="799"/>
      <c r="M110" s="796">
        <f t="shared" si="48"/>
        <v>372.3</v>
      </c>
      <c r="N110" s="795"/>
      <c r="O110" s="795">
        <f t="shared" si="49"/>
        <v>372.3</v>
      </c>
      <c r="P110" s="797">
        <f t="shared" si="46"/>
        <v>5440.55</v>
      </c>
      <c r="Q110" s="114"/>
      <c r="R110" s="114"/>
      <c r="S110" s="114"/>
      <c r="T110" s="124"/>
      <c r="U110" s="124"/>
    </row>
    <row r="111" spans="1:21" s="125" customFormat="1" ht="11.25" x14ac:dyDescent="0.2">
      <c r="A111" s="115">
        <v>75</v>
      </c>
      <c r="B111" s="116" t="s">
        <v>852</v>
      </c>
      <c r="C111" s="116" t="s">
        <v>554</v>
      </c>
      <c r="D111" s="117">
        <v>1</v>
      </c>
      <c r="E111" s="118" t="s">
        <v>466</v>
      </c>
      <c r="F111" s="118"/>
      <c r="G111" s="794">
        <v>450</v>
      </c>
      <c r="H111" s="794">
        <f t="shared" si="43"/>
        <v>450</v>
      </c>
      <c r="I111" s="795">
        <f t="shared" si="47"/>
        <v>5400</v>
      </c>
      <c r="J111" s="563">
        <f t="shared" si="44"/>
        <v>305</v>
      </c>
      <c r="K111" s="795">
        <f t="shared" si="45"/>
        <v>472.49999999999994</v>
      </c>
      <c r="L111" s="799"/>
      <c r="M111" s="796">
        <f t="shared" si="48"/>
        <v>459</v>
      </c>
      <c r="N111" s="795"/>
      <c r="O111" s="795">
        <f t="shared" si="49"/>
        <v>459</v>
      </c>
      <c r="P111" s="797">
        <f t="shared" si="46"/>
        <v>6636.5</v>
      </c>
      <c r="Q111" s="114"/>
      <c r="R111" s="114"/>
      <c r="S111" s="114"/>
      <c r="T111" s="124"/>
      <c r="U111" s="124"/>
    </row>
    <row r="112" spans="1:21" s="125" customFormat="1" ht="11.25" x14ac:dyDescent="0.2">
      <c r="A112" s="267"/>
      <c r="B112" s="121" t="s">
        <v>410</v>
      </c>
      <c r="C112" s="121"/>
      <c r="D112" s="443"/>
      <c r="E112" s="623"/>
      <c r="F112" s="623"/>
      <c r="G112" s="798">
        <f>SUM(G101:G111)</f>
        <v>5075</v>
      </c>
      <c r="H112" s="798">
        <f t="shared" ref="H112:P112" si="50">SUM(H101:H111)</f>
        <v>5840</v>
      </c>
      <c r="I112" s="798">
        <f t="shared" si="50"/>
        <v>70080</v>
      </c>
      <c r="J112" s="798">
        <f t="shared" si="50"/>
        <v>3965</v>
      </c>
      <c r="K112" s="798">
        <f t="shared" si="50"/>
        <v>6132</v>
      </c>
      <c r="L112" s="798">
        <f t="shared" si="50"/>
        <v>0</v>
      </c>
      <c r="M112" s="798">
        <f t="shared" si="50"/>
        <v>5956.8</v>
      </c>
      <c r="N112" s="798">
        <f t="shared" si="50"/>
        <v>0</v>
      </c>
      <c r="O112" s="798">
        <f t="shared" si="50"/>
        <v>5956.8</v>
      </c>
      <c r="P112" s="798">
        <f t="shared" si="50"/>
        <v>86133.8</v>
      </c>
      <c r="Q112" s="114"/>
      <c r="R112" s="114"/>
      <c r="S112" s="114"/>
      <c r="T112" s="124"/>
      <c r="U112" s="124"/>
    </row>
    <row r="113" spans="1:21" s="125" customFormat="1" ht="11.25" x14ac:dyDescent="0.2">
      <c r="A113" s="115">
        <v>76</v>
      </c>
      <c r="B113" s="116" t="s">
        <v>730</v>
      </c>
      <c r="C113" s="116" t="s">
        <v>729</v>
      </c>
      <c r="D113" s="117">
        <v>1</v>
      </c>
      <c r="E113" s="118" t="s">
        <v>466</v>
      </c>
      <c r="F113" s="118"/>
      <c r="G113" s="794">
        <v>500</v>
      </c>
      <c r="H113" s="794">
        <f>G113*D113</f>
        <v>500</v>
      </c>
      <c r="I113" s="795">
        <f>H113*12</f>
        <v>6000</v>
      </c>
      <c r="J113" s="563">
        <v>305</v>
      </c>
      <c r="K113" s="795">
        <f t="shared" si="45"/>
        <v>525</v>
      </c>
      <c r="L113" s="799"/>
      <c r="M113" s="796">
        <f t="shared" si="48"/>
        <v>510</v>
      </c>
      <c r="N113" s="795"/>
      <c r="O113" s="795">
        <f t="shared" si="49"/>
        <v>510</v>
      </c>
      <c r="P113" s="890">
        <f>SUM(I113:N113)</f>
        <v>7340</v>
      </c>
      <c r="Q113" s="114"/>
      <c r="R113" s="114"/>
      <c r="S113" s="114"/>
      <c r="T113" s="124"/>
      <c r="U113" s="124"/>
    </row>
    <row r="114" spans="1:21" s="125" customFormat="1" ht="11.25" x14ac:dyDescent="0.2">
      <c r="A114" s="115">
        <v>77</v>
      </c>
      <c r="B114" s="116" t="s">
        <v>851</v>
      </c>
      <c r="C114" s="116" t="s">
        <v>729</v>
      </c>
      <c r="D114" s="117">
        <v>2</v>
      </c>
      <c r="E114" s="118" t="s">
        <v>467</v>
      </c>
      <c r="F114" s="118"/>
      <c r="G114" s="794"/>
      <c r="H114" s="794">
        <f>G114*D114</f>
        <v>0</v>
      </c>
      <c r="I114" s="795">
        <f>H114*12</f>
        <v>0</v>
      </c>
      <c r="J114" s="563"/>
      <c r="K114" s="795">
        <f t="shared" si="45"/>
        <v>0</v>
      </c>
      <c r="L114" s="799"/>
      <c r="M114" s="796">
        <f t="shared" si="48"/>
        <v>0</v>
      </c>
      <c r="N114" s="795"/>
      <c r="O114" s="795">
        <f t="shared" si="49"/>
        <v>0</v>
      </c>
      <c r="P114" s="890">
        <f>SUM(I114:N114)</f>
        <v>0</v>
      </c>
      <c r="Q114" s="114"/>
      <c r="R114" s="114"/>
      <c r="S114" s="114"/>
      <c r="T114" s="124"/>
      <c r="U114" s="124"/>
    </row>
    <row r="115" spans="1:21" s="52" customFormat="1" ht="11.25" x14ac:dyDescent="0.2">
      <c r="A115" s="115"/>
      <c r="B115" s="121" t="s">
        <v>410</v>
      </c>
      <c r="C115" s="121"/>
      <c r="D115" s="443"/>
      <c r="E115" s="623"/>
      <c r="F115" s="623"/>
      <c r="G115" s="798">
        <f>SUM(G113:G114)</f>
        <v>500</v>
      </c>
      <c r="H115" s="798">
        <f t="shared" ref="H115:N115" si="51">SUM(H113:H114)</f>
        <v>500</v>
      </c>
      <c r="I115" s="798">
        <f>SUM(I113:I114)</f>
        <v>6000</v>
      </c>
      <c r="J115" s="798">
        <f t="shared" si="51"/>
        <v>305</v>
      </c>
      <c r="K115" s="798">
        <f t="shared" si="51"/>
        <v>525</v>
      </c>
      <c r="L115" s="798">
        <f t="shared" si="51"/>
        <v>0</v>
      </c>
      <c r="M115" s="798">
        <f t="shared" si="51"/>
        <v>510</v>
      </c>
      <c r="N115" s="798">
        <f t="shared" si="51"/>
        <v>0</v>
      </c>
      <c r="O115" s="798">
        <f>SUM(O113:O114)</f>
        <v>510</v>
      </c>
      <c r="P115" s="798">
        <f>SUM(P113:P114)</f>
        <v>7340</v>
      </c>
      <c r="Q115" s="114"/>
      <c r="R115" s="114"/>
      <c r="S115" s="114"/>
      <c r="T115" s="114"/>
      <c r="U115" s="114"/>
    </row>
    <row r="116" spans="1:21" s="125" customFormat="1" ht="11.25" x14ac:dyDescent="0.2">
      <c r="A116" s="115">
        <v>78</v>
      </c>
      <c r="B116" s="116" t="s">
        <v>545</v>
      </c>
      <c r="C116" s="116" t="s">
        <v>441</v>
      </c>
      <c r="D116" s="117">
        <v>1</v>
      </c>
      <c r="E116" s="118" t="s">
        <v>3</v>
      </c>
      <c r="F116" s="118"/>
      <c r="G116" s="794">
        <v>600</v>
      </c>
      <c r="H116" s="794">
        <f>D116*G116</f>
        <v>600</v>
      </c>
      <c r="I116" s="795">
        <f>+H116*12</f>
        <v>7200</v>
      </c>
      <c r="J116" s="563">
        <f>305*D116</f>
        <v>305</v>
      </c>
      <c r="K116" s="795">
        <f>+I116*8.75%</f>
        <v>630</v>
      </c>
      <c r="L116" s="795"/>
      <c r="M116" s="796">
        <f>IF(G116&gt;1000,1000*8.5%*12,G116*8.5%*12*D116)</f>
        <v>612.00000000000011</v>
      </c>
      <c r="N116" s="795"/>
      <c r="O116" s="795">
        <f>SUM(L116:N116)</f>
        <v>612.00000000000011</v>
      </c>
      <c r="P116" s="797">
        <f>SUM(I116:N116)</f>
        <v>8747</v>
      </c>
      <c r="Q116" s="114"/>
      <c r="R116" s="114"/>
      <c r="S116" s="114"/>
      <c r="T116" s="124"/>
      <c r="U116" s="124"/>
    </row>
    <row r="117" spans="1:21" s="52" customFormat="1" ht="11.25" x14ac:dyDescent="0.2">
      <c r="A117" s="115"/>
      <c r="B117" s="121" t="s">
        <v>410</v>
      </c>
      <c r="C117" s="116"/>
      <c r="D117" s="117"/>
      <c r="E117" s="118"/>
      <c r="F117" s="118"/>
      <c r="G117" s="798">
        <f>SUM(G116:G116)</f>
        <v>600</v>
      </c>
      <c r="H117" s="798">
        <f t="shared" ref="H117:P117" si="52">SUM(H116:H116)</f>
        <v>600</v>
      </c>
      <c r="I117" s="798">
        <f t="shared" si="52"/>
        <v>7200</v>
      </c>
      <c r="J117" s="798">
        <f t="shared" si="52"/>
        <v>305</v>
      </c>
      <c r="K117" s="798">
        <f t="shared" si="52"/>
        <v>630</v>
      </c>
      <c r="L117" s="798">
        <f t="shared" si="52"/>
        <v>0</v>
      </c>
      <c r="M117" s="798">
        <f t="shared" si="52"/>
        <v>612.00000000000011</v>
      </c>
      <c r="N117" s="798">
        <f t="shared" si="52"/>
        <v>0</v>
      </c>
      <c r="O117" s="798">
        <f t="shared" si="52"/>
        <v>612.00000000000011</v>
      </c>
      <c r="P117" s="798">
        <f t="shared" si="52"/>
        <v>8747</v>
      </c>
      <c r="Q117" s="114"/>
      <c r="R117" s="114"/>
      <c r="S117" s="114"/>
      <c r="T117" s="114"/>
      <c r="U117" s="114"/>
    </row>
    <row r="118" spans="1:21" s="125" customFormat="1" ht="11.25" x14ac:dyDescent="0.2">
      <c r="A118" s="501">
        <v>79</v>
      </c>
      <c r="B118" s="116" t="s">
        <v>620</v>
      </c>
      <c r="C118" s="116" t="s">
        <v>621</v>
      </c>
      <c r="D118" s="117">
        <v>1</v>
      </c>
      <c r="E118" s="118" t="s">
        <v>3</v>
      </c>
      <c r="F118" s="118"/>
      <c r="G118" s="794">
        <v>500</v>
      </c>
      <c r="H118" s="794">
        <f>D118*G118</f>
        <v>500</v>
      </c>
      <c r="I118" s="795">
        <f>+H118*12</f>
        <v>6000</v>
      </c>
      <c r="J118" s="563">
        <f>305*D118</f>
        <v>305</v>
      </c>
      <c r="K118" s="795">
        <f>+I118*8.75%</f>
        <v>525</v>
      </c>
      <c r="L118" s="795"/>
      <c r="M118" s="796">
        <f>IF(G118&gt;1000,1000*8.5%*12,G118*8.5%*12*D118)</f>
        <v>510</v>
      </c>
      <c r="N118" s="795"/>
      <c r="O118" s="795">
        <f>SUM(L118:N118)</f>
        <v>510</v>
      </c>
      <c r="P118" s="797">
        <f>SUM(I118:N118)</f>
        <v>7340</v>
      </c>
      <c r="Q118" s="114"/>
      <c r="R118" s="114"/>
      <c r="S118" s="114"/>
      <c r="T118" s="124"/>
      <c r="U118" s="124"/>
    </row>
    <row r="119" spans="1:21" s="52" customFormat="1" ht="11.25" x14ac:dyDescent="0.2">
      <c r="A119" s="147"/>
      <c r="B119" s="82" t="s">
        <v>410</v>
      </c>
      <c r="C119" s="148"/>
      <c r="D119" s="1012"/>
      <c r="E119" s="1013"/>
      <c r="F119" s="1013"/>
      <c r="G119" s="1014">
        <f t="shared" ref="G119:P119" si="53">SUM(G118:G118)</f>
        <v>500</v>
      </c>
      <c r="H119" s="1014">
        <f t="shared" si="53"/>
        <v>500</v>
      </c>
      <c r="I119" s="1014">
        <f t="shared" si="53"/>
        <v>6000</v>
      </c>
      <c r="J119" s="1014">
        <f t="shared" si="53"/>
        <v>305</v>
      </c>
      <c r="K119" s="1014">
        <f t="shared" si="53"/>
        <v>525</v>
      </c>
      <c r="L119" s="1014">
        <f t="shared" si="53"/>
        <v>0</v>
      </c>
      <c r="M119" s="1014">
        <f t="shared" si="53"/>
        <v>510</v>
      </c>
      <c r="N119" s="1014">
        <f t="shared" si="53"/>
        <v>0</v>
      </c>
      <c r="O119" s="1014">
        <f t="shared" si="53"/>
        <v>510</v>
      </c>
      <c r="P119" s="1014">
        <f t="shared" si="53"/>
        <v>7340</v>
      </c>
      <c r="Q119" s="114"/>
      <c r="R119" s="114"/>
      <c r="S119" s="114"/>
      <c r="T119" s="114"/>
      <c r="U119" s="114"/>
    </row>
    <row r="120" spans="1:21" s="52" customFormat="1" ht="11.25" x14ac:dyDescent="0.2">
      <c r="A120" s="117">
        <v>80</v>
      </c>
      <c r="B120" s="116" t="s">
        <v>881</v>
      </c>
      <c r="C120" s="116" t="s">
        <v>854</v>
      </c>
      <c r="D120" s="117">
        <v>1</v>
      </c>
      <c r="E120" s="118" t="s">
        <v>3</v>
      </c>
      <c r="F120" s="118"/>
      <c r="G120" s="794">
        <v>550</v>
      </c>
      <c r="H120" s="794">
        <f>D120*G120</f>
        <v>550</v>
      </c>
      <c r="I120" s="794">
        <f>+H120*12</f>
        <v>6600</v>
      </c>
      <c r="J120" s="794">
        <f>305*D120</f>
        <v>305</v>
      </c>
      <c r="K120" s="794">
        <f>+I120*8.75%</f>
        <v>577.5</v>
      </c>
      <c r="L120" s="794"/>
      <c r="M120" s="794">
        <f>IF(G120&gt;1000,1000*8.5%*12,G120*8.5%*12*D120)</f>
        <v>561</v>
      </c>
      <c r="N120" s="794"/>
      <c r="O120" s="794">
        <f>SUM(L120:N120)</f>
        <v>561</v>
      </c>
      <c r="P120" s="794">
        <f>SUM(I120:N120)</f>
        <v>8043.5</v>
      </c>
      <c r="Q120" s="114"/>
      <c r="R120" s="114"/>
      <c r="S120" s="114"/>
      <c r="T120" s="114"/>
      <c r="U120" s="114"/>
    </row>
    <row r="121" spans="1:21" s="52" customFormat="1" ht="11.25" x14ac:dyDescent="0.2">
      <c r="A121" s="117">
        <v>81</v>
      </c>
      <c r="B121" s="116" t="s">
        <v>882</v>
      </c>
      <c r="C121" s="116" t="s">
        <v>854</v>
      </c>
      <c r="D121" s="117">
        <v>1</v>
      </c>
      <c r="E121" s="118" t="s">
        <v>3</v>
      </c>
      <c r="F121" s="118"/>
      <c r="G121" s="794">
        <v>400</v>
      </c>
      <c r="H121" s="794">
        <f t="shared" ref="H121:H125" si="54">D121*G121</f>
        <v>400</v>
      </c>
      <c r="I121" s="794">
        <f t="shared" ref="I121:I125" si="55">+H121*12</f>
        <v>4800</v>
      </c>
      <c r="J121" s="794">
        <f t="shared" ref="J121:J125" si="56">305*D121</f>
        <v>305</v>
      </c>
      <c r="K121" s="794">
        <f t="shared" ref="K121:K125" si="57">+I121*8.75%</f>
        <v>420</v>
      </c>
      <c r="L121" s="794"/>
      <c r="M121" s="794">
        <f t="shared" ref="M121:M125" si="58">IF(G121&gt;1000,1000*8.5%*12,G121*8.5%*12*D121)</f>
        <v>408</v>
      </c>
      <c r="N121" s="794"/>
      <c r="O121" s="794">
        <f t="shared" ref="O121:O125" si="59">SUM(L121:N121)</f>
        <v>408</v>
      </c>
      <c r="P121" s="794">
        <f t="shared" ref="P121:P125" si="60">SUM(I121:N121)</f>
        <v>5933</v>
      </c>
      <c r="Q121" s="114"/>
      <c r="R121" s="114"/>
      <c r="S121" s="114"/>
      <c r="T121" s="114"/>
      <c r="U121" s="114"/>
    </row>
    <row r="122" spans="1:21" s="52" customFormat="1" ht="11.25" x14ac:dyDescent="0.2">
      <c r="A122" s="117">
        <v>82</v>
      </c>
      <c r="B122" s="116" t="s">
        <v>603</v>
      </c>
      <c r="C122" s="116" t="s">
        <v>854</v>
      </c>
      <c r="D122" s="117">
        <v>8</v>
      </c>
      <c r="E122" s="118" t="s">
        <v>3</v>
      </c>
      <c r="F122" s="118"/>
      <c r="G122" s="162">
        <v>365</v>
      </c>
      <c r="H122" s="794">
        <f t="shared" si="54"/>
        <v>2920</v>
      </c>
      <c r="I122" s="794">
        <f t="shared" si="55"/>
        <v>35040</v>
      </c>
      <c r="J122" s="794">
        <f t="shared" si="56"/>
        <v>2440</v>
      </c>
      <c r="K122" s="794">
        <f t="shared" si="57"/>
        <v>3066</v>
      </c>
      <c r="L122" s="794"/>
      <c r="M122" s="794">
        <f t="shared" si="58"/>
        <v>2978.4</v>
      </c>
      <c r="N122" s="794"/>
      <c r="O122" s="794">
        <f t="shared" si="59"/>
        <v>2978.4</v>
      </c>
      <c r="P122" s="794">
        <f t="shared" si="60"/>
        <v>43524.4</v>
      </c>
      <c r="Q122" s="114"/>
      <c r="R122" s="114"/>
      <c r="S122" s="114"/>
      <c r="T122" s="114"/>
      <c r="U122" s="114"/>
    </row>
    <row r="123" spans="1:21" s="52" customFormat="1" ht="11.25" x14ac:dyDescent="0.2">
      <c r="A123" s="117">
        <v>83</v>
      </c>
      <c r="B123" s="116" t="s">
        <v>857</v>
      </c>
      <c r="C123" s="116" t="s">
        <v>854</v>
      </c>
      <c r="D123" s="117">
        <v>2</v>
      </c>
      <c r="E123" s="118" t="s">
        <v>3</v>
      </c>
      <c r="F123" s="118"/>
      <c r="G123" s="162">
        <v>365</v>
      </c>
      <c r="H123" s="794">
        <f t="shared" si="54"/>
        <v>730</v>
      </c>
      <c r="I123" s="794">
        <f t="shared" si="55"/>
        <v>8760</v>
      </c>
      <c r="J123" s="794">
        <f t="shared" si="56"/>
        <v>610</v>
      </c>
      <c r="K123" s="794">
        <f t="shared" si="57"/>
        <v>766.5</v>
      </c>
      <c r="L123" s="794"/>
      <c r="M123" s="794">
        <f t="shared" si="58"/>
        <v>744.6</v>
      </c>
      <c r="N123" s="794"/>
      <c r="O123" s="794">
        <f t="shared" si="59"/>
        <v>744.6</v>
      </c>
      <c r="P123" s="794">
        <f t="shared" si="60"/>
        <v>10881.1</v>
      </c>
      <c r="Q123" s="114"/>
      <c r="R123" s="114"/>
      <c r="S123" s="114"/>
      <c r="T123" s="114"/>
      <c r="U123" s="114"/>
    </row>
    <row r="124" spans="1:21" s="52" customFormat="1" ht="11.25" x14ac:dyDescent="0.2">
      <c r="A124" s="117">
        <v>84</v>
      </c>
      <c r="B124" s="116" t="s">
        <v>773</v>
      </c>
      <c r="C124" s="116" t="s">
        <v>854</v>
      </c>
      <c r="D124" s="117">
        <v>1</v>
      </c>
      <c r="E124" s="118" t="s">
        <v>3</v>
      </c>
      <c r="F124" s="118"/>
      <c r="G124" s="162">
        <v>365</v>
      </c>
      <c r="H124" s="794">
        <f t="shared" si="54"/>
        <v>365</v>
      </c>
      <c r="I124" s="794">
        <f t="shared" si="55"/>
        <v>4380</v>
      </c>
      <c r="J124" s="794">
        <f t="shared" si="56"/>
        <v>305</v>
      </c>
      <c r="K124" s="794">
        <f t="shared" si="57"/>
        <v>383.25</v>
      </c>
      <c r="L124" s="794"/>
      <c r="M124" s="794">
        <f t="shared" si="58"/>
        <v>372.3</v>
      </c>
      <c r="N124" s="794"/>
      <c r="O124" s="794">
        <f t="shared" si="59"/>
        <v>372.3</v>
      </c>
      <c r="P124" s="794">
        <f t="shared" si="60"/>
        <v>5440.55</v>
      </c>
      <c r="Q124" s="114"/>
      <c r="R124" s="114"/>
      <c r="S124" s="114"/>
      <c r="T124" s="114"/>
      <c r="U124" s="114"/>
    </row>
    <row r="125" spans="1:21" s="52" customFormat="1" ht="11.25" x14ac:dyDescent="0.2">
      <c r="A125" s="117">
        <v>85</v>
      </c>
      <c r="B125" s="116" t="s">
        <v>858</v>
      </c>
      <c r="C125" s="116" t="s">
        <v>854</v>
      </c>
      <c r="D125" s="117">
        <v>1</v>
      </c>
      <c r="E125" s="118" t="s">
        <v>3</v>
      </c>
      <c r="F125" s="118"/>
      <c r="G125" s="162">
        <v>365</v>
      </c>
      <c r="H125" s="794">
        <f t="shared" si="54"/>
        <v>365</v>
      </c>
      <c r="I125" s="794">
        <f t="shared" si="55"/>
        <v>4380</v>
      </c>
      <c r="J125" s="794">
        <f t="shared" si="56"/>
        <v>305</v>
      </c>
      <c r="K125" s="794">
        <f t="shared" si="57"/>
        <v>383.25</v>
      </c>
      <c r="L125" s="794"/>
      <c r="M125" s="794">
        <f t="shared" si="58"/>
        <v>372.3</v>
      </c>
      <c r="N125" s="794"/>
      <c r="O125" s="794">
        <f t="shared" si="59"/>
        <v>372.3</v>
      </c>
      <c r="P125" s="794">
        <f t="shared" si="60"/>
        <v>5440.55</v>
      </c>
      <c r="Q125" s="114"/>
      <c r="R125" s="114"/>
      <c r="S125" s="114"/>
      <c r="T125" s="114"/>
      <c r="U125" s="114"/>
    </row>
    <row r="126" spans="1:21" s="52" customFormat="1" ht="11.25" x14ac:dyDescent="0.2">
      <c r="A126" s="117"/>
      <c r="B126" s="121" t="s">
        <v>409</v>
      </c>
      <c r="C126" s="116"/>
      <c r="D126" s="117"/>
      <c r="E126" s="118"/>
      <c r="F126" s="118"/>
      <c r="G126" s="798">
        <f t="shared" ref="G126:O126" si="61">SUM(G120:G125)</f>
        <v>2410</v>
      </c>
      <c r="H126" s="798">
        <f t="shared" si="61"/>
        <v>5330</v>
      </c>
      <c r="I126" s="798">
        <f t="shared" si="61"/>
        <v>63960</v>
      </c>
      <c r="J126" s="798">
        <f t="shared" si="61"/>
        <v>4270</v>
      </c>
      <c r="K126" s="798">
        <f>SUM(K120:K125)</f>
        <v>5596.5</v>
      </c>
      <c r="L126" s="798">
        <f t="shared" si="61"/>
        <v>0</v>
      </c>
      <c r="M126" s="798">
        <f t="shared" si="61"/>
        <v>5436.6</v>
      </c>
      <c r="N126" s="798">
        <f t="shared" si="61"/>
        <v>0</v>
      </c>
      <c r="O126" s="798">
        <f t="shared" si="61"/>
        <v>5436.6</v>
      </c>
      <c r="P126" s="798">
        <f>SUM(P120:P125)</f>
        <v>79263.100000000006</v>
      </c>
      <c r="Q126" s="114"/>
      <c r="R126" s="114"/>
      <c r="S126" s="114"/>
      <c r="T126" s="114"/>
      <c r="U126" s="114"/>
    </row>
    <row r="127" spans="1:21" s="125" customFormat="1" ht="12" thickBot="1" x14ac:dyDescent="0.25">
      <c r="A127" s="1015"/>
      <c r="B127" s="1016" t="s">
        <v>444</v>
      </c>
      <c r="C127" s="1017"/>
      <c r="D127" s="936">
        <f>SUM(D44:D119)</f>
        <v>68</v>
      </c>
      <c r="E127" s="1018"/>
      <c r="F127" s="1018"/>
      <c r="G127" s="1019">
        <f t="shared" ref="G127:P127" si="62">G45+G48+G54+G65+G70+G73+G100+G89+G76+G81+G115+G84+G117+G119+G112+G87+G126</f>
        <v>33973</v>
      </c>
      <c r="H127" s="1019">
        <f t="shared" si="62"/>
        <v>39588</v>
      </c>
      <c r="I127" s="1019">
        <f t="shared" si="62"/>
        <v>475056</v>
      </c>
      <c r="J127" s="1019">
        <f t="shared" si="62"/>
        <v>23485</v>
      </c>
      <c r="K127" s="1019">
        <f t="shared" si="62"/>
        <v>41576.5</v>
      </c>
      <c r="L127" s="1019">
        <f t="shared" si="62"/>
        <v>0</v>
      </c>
      <c r="M127" s="1019">
        <f t="shared" si="62"/>
        <v>39614.759999999995</v>
      </c>
      <c r="N127" s="1019">
        <f t="shared" si="62"/>
        <v>0</v>
      </c>
      <c r="O127" s="1019">
        <f t="shared" si="62"/>
        <v>39614.759999999995</v>
      </c>
      <c r="P127" s="1019">
        <f t="shared" si="62"/>
        <v>579732.25999999989</v>
      </c>
      <c r="Q127" s="114"/>
      <c r="R127" s="114"/>
      <c r="S127" s="114"/>
      <c r="T127" s="124"/>
      <c r="U127" s="124"/>
    </row>
    <row r="128" spans="1:21" s="125" customFormat="1" ht="12" thickTop="1" x14ac:dyDescent="0.2">
      <c r="A128" s="136"/>
      <c r="B128" s="137"/>
      <c r="C128" s="138"/>
      <c r="D128" s="139"/>
      <c r="E128" s="140"/>
      <c r="F128" s="140"/>
      <c r="G128" s="141"/>
      <c r="H128" s="141"/>
      <c r="I128" s="141"/>
      <c r="J128" s="564"/>
      <c r="K128" s="141"/>
      <c r="L128" s="141"/>
      <c r="M128" s="141"/>
      <c r="N128" s="141"/>
      <c r="O128" s="141"/>
      <c r="P128" s="144"/>
      <c r="Q128" s="155"/>
      <c r="R128" s="114"/>
      <c r="S128" s="114"/>
      <c r="T128" s="124"/>
      <c r="U128" s="124"/>
    </row>
    <row r="129" spans="1:21" s="125" customFormat="1" ht="12" thickBot="1" x14ac:dyDescent="0.25">
      <c r="A129" s="156"/>
      <c r="B129" s="157"/>
      <c r="C129" s="158"/>
      <c r="D129" s="159"/>
      <c r="E129" s="160"/>
      <c r="F129" s="160"/>
      <c r="G129" s="161"/>
      <c r="H129" s="161"/>
      <c r="I129" s="161"/>
      <c r="J129" s="567"/>
      <c r="K129" s="161"/>
      <c r="L129" s="161"/>
      <c r="M129" s="161"/>
      <c r="N129" s="161"/>
      <c r="O129" s="161"/>
      <c r="P129" s="144"/>
      <c r="Q129" s="155"/>
      <c r="R129" s="114"/>
      <c r="S129" s="114"/>
      <c r="T129" s="124"/>
      <c r="U129" s="124"/>
    </row>
    <row r="130" spans="1:21" s="52" customFormat="1" ht="18" customHeight="1" thickTop="1" thickBot="1" x14ac:dyDescent="0.25">
      <c r="A130" s="1162" t="s">
        <v>73</v>
      </c>
      <c r="B130" s="1165" t="s">
        <v>74</v>
      </c>
      <c r="C130" s="1168" t="s">
        <v>75</v>
      </c>
      <c r="D130" s="1146" t="s">
        <v>87</v>
      </c>
      <c r="E130" s="1146" t="s">
        <v>85</v>
      </c>
      <c r="F130" s="1146" t="s">
        <v>86</v>
      </c>
      <c r="G130" s="1149" t="s">
        <v>76</v>
      </c>
      <c r="H130" s="1150"/>
      <c r="I130" s="1151"/>
      <c r="J130" s="1174" t="s">
        <v>77</v>
      </c>
      <c r="K130" s="1156" t="s">
        <v>78</v>
      </c>
      <c r="L130" s="1156"/>
      <c r="M130" s="1156"/>
      <c r="N130" s="1156"/>
      <c r="O130" s="1156"/>
      <c r="P130" s="1157" t="s">
        <v>31</v>
      </c>
    </row>
    <row r="131" spans="1:21" s="52" customFormat="1" ht="11.25" customHeight="1" thickBot="1" x14ac:dyDescent="0.25">
      <c r="A131" s="1163"/>
      <c r="B131" s="1166"/>
      <c r="C131" s="1169"/>
      <c r="D131" s="1147"/>
      <c r="E131" s="1147"/>
      <c r="F131" s="1147"/>
      <c r="G131" s="1152"/>
      <c r="H131" s="1153"/>
      <c r="I131" s="1154"/>
      <c r="J131" s="1175"/>
      <c r="K131" s="102" t="s">
        <v>79</v>
      </c>
      <c r="L131" s="1160" t="s">
        <v>80</v>
      </c>
      <c r="M131" s="1161"/>
      <c r="N131" s="1161"/>
      <c r="O131" s="1161"/>
      <c r="P131" s="1158"/>
    </row>
    <row r="132" spans="1:21" s="52" customFormat="1" ht="34.5" thickBot="1" x14ac:dyDescent="0.25">
      <c r="A132" s="1164"/>
      <c r="B132" s="1167"/>
      <c r="C132" s="1170"/>
      <c r="D132" s="1148"/>
      <c r="E132" s="1148"/>
      <c r="F132" s="1148"/>
      <c r="G132" s="103" t="s">
        <v>275</v>
      </c>
      <c r="H132" s="104" t="s">
        <v>276</v>
      </c>
      <c r="I132" s="104" t="s">
        <v>277</v>
      </c>
      <c r="J132" s="662" t="s">
        <v>81</v>
      </c>
      <c r="K132" s="105" t="s">
        <v>940</v>
      </c>
      <c r="L132" s="106" t="s">
        <v>271</v>
      </c>
      <c r="M132" s="104" t="s">
        <v>631</v>
      </c>
      <c r="N132" s="106" t="s">
        <v>632</v>
      </c>
      <c r="O132" s="107" t="s">
        <v>25</v>
      </c>
      <c r="P132" s="1159"/>
    </row>
    <row r="133" spans="1:21" s="52" customFormat="1" ht="13.5" customHeight="1" thickTop="1" x14ac:dyDescent="0.2">
      <c r="A133" s="115">
        <v>86</v>
      </c>
      <c r="B133" s="116" t="s">
        <v>883</v>
      </c>
      <c r="C133" s="116" t="s">
        <v>487</v>
      </c>
      <c r="D133" s="117">
        <v>1</v>
      </c>
      <c r="E133" s="118" t="s">
        <v>466</v>
      </c>
      <c r="F133" s="118"/>
      <c r="G133" s="119">
        <v>750</v>
      </c>
      <c r="H133" s="119">
        <f t="shared" ref="H133:H139" si="63">D133*G133</f>
        <v>750</v>
      </c>
      <c r="I133" s="113">
        <f t="shared" ref="I133:I142" si="64">+H133*12</f>
        <v>9000</v>
      </c>
      <c r="J133" s="563">
        <f>305*D133</f>
        <v>305</v>
      </c>
      <c r="K133" s="113">
        <f>ROUND((I133*8.75%),0)</f>
        <v>788</v>
      </c>
      <c r="L133" s="123"/>
      <c r="M133" s="112">
        <f>IF(G133&gt;1000,1000*8.5%*12,G133*8.5%*12*D133)</f>
        <v>765.00000000000011</v>
      </c>
      <c r="N133" s="113"/>
      <c r="O133" s="113">
        <f t="shared" ref="O133:O142" si="65">SUM(L133:N133)</f>
        <v>765.00000000000011</v>
      </c>
      <c r="P133" s="120">
        <f>SUM(I133:N133)</f>
        <v>10858</v>
      </c>
      <c r="Q133" s="114"/>
      <c r="R133" s="114"/>
      <c r="S133" s="114"/>
      <c r="T133" s="114"/>
      <c r="U133" s="114"/>
    </row>
    <row r="134" spans="1:21" s="52" customFormat="1" ht="13.5" customHeight="1" x14ac:dyDescent="0.2">
      <c r="A134" s="115">
        <v>87</v>
      </c>
      <c r="B134" s="116" t="s">
        <v>884</v>
      </c>
      <c r="C134" s="116" t="s">
        <v>487</v>
      </c>
      <c r="D134" s="117">
        <v>1</v>
      </c>
      <c r="E134" s="118" t="s">
        <v>466</v>
      </c>
      <c r="F134" s="118"/>
      <c r="G134" s="119">
        <v>513</v>
      </c>
      <c r="H134" s="119">
        <f t="shared" si="63"/>
        <v>513</v>
      </c>
      <c r="I134" s="113">
        <f>+H134*12</f>
        <v>6156</v>
      </c>
      <c r="J134" s="563">
        <f t="shared" ref="J134:J147" si="66">305*D134</f>
        <v>305</v>
      </c>
      <c r="K134" s="113">
        <f t="shared" ref="K134:K147" si="67">ROUND((I134*8.75%),0)</f>
        <v>539</v>
      </c>
      <c r="L134" s="123"/>
      <c r="M134" s="112">
        <f t="shared" ref="M134:M147" si="68">IF(G134&gt;1000,1000*8.5%*12,G134*8.5%*12*D134)</f>
        <v>523.26</v>
      </c>
      <c r="N134" s="113"/>
      <c r="O134" s="113">
        <f>SUM(L134:N134)</f>
        <v>523.26</v>
      </c>
      <c r="P134" s="120">
        <f>SUM(I134:N134)</f>
        <v>7523.26</v>
      </c>
      <c r="Q134" s="114"/>
      <c r="R134" s="114"/>
      <c r="S134" s="114"/>
      <c r="T134" s="114"/>
      <c r="U134" s="114"/>
    </row>
    <row r="135" spans="1:21" s="52" customFormat="1" ht="13.5" customHeight="1" x14ac:dyDescent="0.2">
      <c r="A135" s="115">
        <v>88</v>
      </c>
      <c r="B135" s="116" t="s">
        <v>885</v>
      </c>
      <c r="C135" s="116" t="s">
        <v>487</v>
      </c>
      <c r="D135" s="117">
        <v>1</v>
      </c>
      <c r="E135" s="118" t="s">
        <v>466</v>
      </c>
      <c r="F135" s="118"/>
      <c r="G135" s="119">
        <v>500</v>
      </c>
      <c r="H135" s="119">
        <f t="shared" si="63"/>
        <v>500</v>
      </c>
      <c r="I135" s="113">
        <f>+H135*12</f>
        <v>6000</v>
      </c>
      <c r="J135" s="563">
        <f t="shared" si="66"/>
        <v>305</v>
      </c>
      <c r="K135" s="113">
        <f t="shared" si="67"/>
        <v>525</v>
      </c>
      <c r="L135" s="123"/>
      <c r="M135" s="112">
        <f t="shared" si="68"/>
        <v>510</v>
      </c>
      <c r="N135" s="113"/>
      <c r="O135" s="113">
        <f>SUM(L135:N135)</f>
        <v>510</v>
      </c>
      <c r="P135" s="120">
        <f t="shared" ref="P135:P147" si="69">SUM(I135:N135)</f>
        <v>7340</v>
      </c>
      <c r="Q135" s="114"/>
      <c r="R135" s="114"/>
      <c r="S135" s="114"/>
      <c r="T135" s="114"/>
      <c r="U135" s="114"/>
    </row>
    <row r="136" spans="1:21" s="52" customFormat="1" ht="13.5" customHeight="1" x14ac:dyDescent="0.2">
      <c r="A136" s="115">
        <v>89</v>
      </c>
      <c r="B136" s="622" t="s">
        <v>886</v>
      </c>
      <c r="C136" s="116" t="s">
        <v>487</v>
      </c>
      <c r="D136" s="117">
        <v>1</v>
      </c>
      <c r="E136" s="118" t="s">
        <v>466</v>
      </c>
      <c r="F136" s="118"/>
      <c r="G136" s="119">
        <v>400</v>
      </c>
      <c r="H136" s="119">
        <f t="shared" si="63"/>
        <v>400</v>
      </c>
      <c r="I136" s="113">
        <f>+H136*12</f>
        <v>4800</v>
      </c>
      <c r="J136" s="563">
        <f t="shared" si="66"/>
        <v>305</v>
      </c>
      <c r="K136" s="113">
        <f t="shared" si="67"/>
        <v>420</v>
      </c>
      <c r="L136" s="123"/>
      <c r="M136" s="112">
        <f t="shared" si="68"/>
        <v>408</v>
      </c>
      <c r="N136" s="113"/>
      <c r="O136" s="113">
        <f>SUM(L136:N136)</f>
        <v>408</v>
      </c>
      <c r="P136" s="120">
        <f t="shared" si="69"/>
        <v>5933</v>
      </c>
      <c r="Q136" s="114"/>
      <c r="R136" s="114"/>
      <c r="S136" s="114"/>
      <c r="T136" s="114"/>
      <c r="U136" s="114"/>
    </row>
    <row r="137" spans="1:21" s="52" customFormat="1" ht="13.5" customHeight="1" x14ac:dyDescent="0.2">
      <c r="A137" s="115">
        <v>90</v>
      </c>
      <c r="B137" s="116" t="s">
        <v>887</v>
      </c>
      <c r="C137" s="116" t="s">
        <v>487</v>
      </c>
      <c r="D137" s="117">
        <v>2</v>
      </c>
      <c r="E137" s="118" t="s">
        <v>466</v>
      </c>
      <c r="F137" s="118"/>
      <c r="G137" s="119">
        <v>365</v>
      </c>
      <c r="H137" s="119">
        <f t="shared" si="63"/>
        <v>730</v>
      </c>
      <c r="I137" s="113">
        <f>+H137*12</f>
        <v>8760</v>
      </c>
      <c r="J137" s="563">
        <f t="shared" si="66"/>
        <v>610</v>
      </c>
      <c r="K137" s="113">
        <f t="shared" si="67"/>
        <v>767</v>
      </c>
      <c r="L137" s="123"/>
      <c r="M137" s="112">
        <f t="shared" si="68"/>
        <v>744.6</v>
      </c>
      <c r="N137" s="113"/>
      <c r="O137" s="113">
        <f>SUM(L137:N137)</f>
        <v>744.6</v>
      </c>
      <c r="P137" s="120">
        <f t="shared" si="69"/>
        <v>10881.6</v>
      </c>
      <c r="Q137" s="114"/>
      <c r="R137" s="114"/>
      <c r="S137" s="114"/>
      <c r="T137" s="114"/>
      <c r="U137" s="114"/>
    </row>
    <row r="138" spans="1:21" s="52" customFormat="1" ht="13.5" customHeight="1" x14ac:dyDescent="0.2">
      <c r="A138" s="115">
        <v>91</v>
      </c>
      <c r="B138" s="116" t="s">
        <v>500</v>
      </c>
      <c r="C138" s="116" t="s">
        <v>487</v>
      </c>
      <c r="D138" s="117">
        <v>1</v>
      </c>
      <c r="E138" s="118" t="s">
        <v>466</v>
      </c>
      <c r="F138" s="118"/>
      <c r="G138" s="119">
        <v>450</v>
      </c>
      <c r="H138" s="119">
        <f t="shared" si="63"/>
        <v>450</v>
      </c>
      <c r="I138" s="113">
        <f t="shared" si="64"/>
        <v>5400</v>
      </c>
      <c r="J138" s="563">
        <f t="shared" si="66"/>
        <v>305</v>
      </c>
      <c r="K138" s="113">
        <f t="shared" si="67"/>
        <v>473</v>
      </c>
      <c r="L138" s="123"/>
      <c r="M138" s="112">
        <f t="shared" si="68"/>
        <v>459</v>
      </c>
      <c r="N138" s="113"/>
      <c r="O138" s="113">
        <f t="shared" si="65"/>
        <v>459</v>
      </c>
      <c r="P138" s="120">
        <f t="shared" si="69"/>
        <v>6637</v>
      </c>
      <c r="Q138" s="114"/>
      <c r="R138" s="114"/>
      <c r="S138" s="114"/>
      <c r="T138" s="114"/>
      <c r="U138" s="114"/>
    </row>
    <row r="139" spans="1:21" s="52" customFormat="1" ht="13.5" customHeight="1" x14ac:dyDescent="0.2">
      <c r="A139" s="115">
        <v>92</v>
      </c>
      <c r="B139" s="116" t="s">
        <v>888</v>
      </c>
      <c r="C139" s="116" t="s">
        <v>487</v>
      </c>
      <c r="D139" s="117">
        <v>1</v>
      </c>
      <c r="E139" s="118" t="s">
        <v>466</v>
      </c>
      <c r="F139" s="118"/>
      <c r="G139" s="119">
        <v>452</v>
      </c>
      <c r="H139" s="119">
        <f t="shared" si="63"/>
        <v>452</v>
      </c>
      <c r="I139" s="113">
        <f t="shared" si="64"/>
        <v>5424</v>
      </c>
      <c r="J139" s="563">
        <f t="shared" si="66"/>
        <v>305</v>
      </c>
      <c r="K139" s="113">
        <f t="shared" si="67"/>
        <v>475</v>
      </c>
      <c r="L139" s="123"/>
      <c r="M139" s="112">
        <f t="shared" si="68"/>
        <v>461.04</v>
      </c>
      <c r="N139" s="113"/>
      <c r="O139" s="113">
        <f t="shared" si="65"/>
        <v>461.04</v>
      </c>
      <c r="P139" s="120">
        <f t="shared" si="69"/>
        <v>6665.04</v>
      </c>
      <c r="Q139" s="114"/>
      <c r="R139" s="114"/>
      <c r="S139" s="114"/>
      <c r="T139" s="114"/>
      <c r="U139" s="114"/>
    </row>
    <row r="140" spans="1:21" s="52" customFormat="1" ht="13.5" customHeight="1" x14ac:dyDescent="0.2">
      <c r="A140" s="115">
        <v>93</v>
      </c>
      <c r="B140" s="116" t="s">
        <v>889</v>
      </c>
      <c r="C140" s="116" t="s">
        <v>487</v>
      </c>
      <c r="D140" s="117">
        <v>2</v>
      </c>
      <c r="E140" s="118" t="s">
        <v>466</v>
      </c>
      <c r="F140" s="118"/>
      <c r="G140" s="119">
        <v>400</v>
      </c>
      <c r="H140" s="119">
        <f t="shared" ref="H140:H147" si="70">D140*G140</f>
        <v>800</v>
      </c>
      <c r="I140" s="113">
        <f t="shared" si="64"/>
        <v>9600</v>
      </c>
      <c r="J140" s="563">
        <f t="shared" si="66"/>
        <v>610</v>
      </c>
      <c r="K140" s="113">
        <f t="shared" si="67"/>
        <v>840</v>
      </c>
      <c r="L140" s="123"/>
      <c r="M140" s="112">
        <f t="shared" si="68"/>
        <v>816</v>
      </c>
      <c r="N140" s="113"/>
      <c r="O140" s="113">
        <f t="shared" si="65"/>
        <v>816</v>
      </c>
      <c r="P140" s="120">
        <f t="shared" si="69"/>
        <v>11866</v>
      </c>
      <c r="Q140" s="114"/>
      <c r="R140" s="114"/>
      <c r="S140" s="114"/>
      <c r="T140" s="114"/>
      <c r="U140" s="114"/>
    </row>
    <row r="141" spans="1:21" s="52" customFormat="1" ht="13.5" customHeight="1" x14ac:dyDescent="0.2">
      <c r="A141" s="115">
        <v>94</v>
      </c>
      <c r="B141" s="116" t="s">
        <v>890</v>
      </c>
      <c r="C141" s="116" t="s">
        <v>487</v>
      </c>
      <c r="D141" s="117">
        <v>1</v>
      </c>
      <c r="E141" s="118" t="s">
        <v>466</v>
      </c>
      <c r="F141" s="118"/>
      <c r="G141" s="119">
        <v>365</v>
      </c>
      <c r="H141" s="119">
        <f t="shared" si="70"/>
        <v>365</v>
      </c>
      <c r="I141" s="113">
        <f t="shared" si="64"/>
        <v>4380</v>
      </c>
      <c r="J141" s="563">
        <f t="shared" si="66"/>
        <v>305</v>
      </c>
      <c r="K141" s="113">
        <f t="shared" si="67"/>
        <v>383</v>
      </c>
      <c r="L141" s="123"/>
      <c r="M141" s="112">
        <f t="shared" si="68"/>
        <v>372.3</v>
      </c>
      <c r="N141" s="113"/>
      <c r="O141" s="113">
        <f t="shared" si="65"/>
        <v>372.3</v>
      </c>
      <c r="P141" s="120">
        <f t="shared" si="69"/>
        <v>5440.3</v>
      </c>
      <c r="Q141" s="114"/>
      <c r="R141" s="114"/>
      <c r="S141" s="114"/>
      <c r="T141" s="114"/>
      <c r="U141" s="114"/>
    </row>
    <row r="142" spans="1:21" s="52" customFormat="1" ht="13.5" customHeight="1" x14ac:dyDescent="0.2">
      <c r="A142" s="115">
        <v>95</v>
      </c>
      <c r="B142" s="116" t="s">
        <v>571</v>
      </c>
      <c r="C142" s="116" t="s">
        <v>487</v>
      </c>
      <c r="D142" s="117">
        <v>1</v>
      </c>
      <c r="E142" s="118" t="s">
        <v>466</v>
      </c>
      <c r="F142" s="118"/>
      <c r="G142" s="119">
        <v>365</v>
      </c>
      <c r="H142" s="119">
        <f t="shared" si="70"/>
        <v>365</v>
      </c>
      <c r="I142" s="113">
        <f t="shared" si="64"/>
        <v>4380</v>
      </c>
      <c r="J142" s="563">
        <f t="shared" si="66"/>
        <v>305</v>
      </c>
      <c r="K142" s="113">
        <f t="shared" si="67"/>
        <v>383</v>
      </c>
      <c r="L142" s="123"/>
      <c r="M142" s="112">
        <f t="shared" si="68"/>
        <v>372.3</v>
      </c>
      <c r="N142" s="113"/>
      <c r="O142" s="113">
        <f t="shared" si="65"/>
        <v>372.3</v>
      </c>
      <c r="P142" s="120">
        <f t="shared" si="69"/>
        <v>5440.3</v>
      </c>
      <c r="Q142" s="114"/>
      <c r="R142" s="114"/>
      <c r="S142" s="114"/>
      <c r="T142" s="114"/>
      <c r="U142" s="114"/>
    </row>
    <row r="143" spans="1:21" s="52" customFormat="1" ht="13.5" customHeight="1" x14ac:dyDescent="0.2">
      <c r="A143" s="115">
        <v>96</v>
      </c>
      <c r="B143" s="116" t="s">
        <v>891</v>
      </c>
      <c r="C143" s="116" t="s">
        <v>487</v>
      </c>
      <c r="D143" s="117">
        <v>1</v>
      </c>
      <c r="E143" s="118" t="s">
        <v>466</v>
      </c>
      <c r="F143" s="118" t="s">
        <v>255</v>
      </c>
      <c r="G143" s="119">
        <v>466</v>
      </c>
      <c r="H143" s="162">
        <f t="shared" si="70"/>
        <v>466</v>
      </c>
      <c r="I143" s="163">
        <f t="shared" ref="I143:I147" si="71">+H143*12</f>
        <v>5592</v>
      </c>
      <c r="J143" s="563">
        <f t="shared" si="66"/>
        <v>305</v>
      </c>
      <c r="K143" s="113">
        <f t="shared" si="67"/>
        <v>489</v>
      </c>
      <c r="L143" s="167"/>
      <c r="M143" s="112">
        <f t="shared" si="68"/>
        <v>475.32</v>
      </c>
      <c r="N143" s="163"/>
      <c r="O143" s="163">
        <f t="shared" ref="O143:O147" si="72">SUM(L143:N143)</f>
        <v>475.32</v>
      </c>
      <c r="P143" s="120">
        <f t="shared" si="69"/>
        <v>6861.32</v>
      </c>
      <c r="Q143" s="114"/>
      <c r="R143" s="114"/>
      <c r="S143" s="114"/>
      <c r="T143" s="114"/>
      <c r="U143" s="114"/>
    </row>
    <row r="144" spans="1:21" s="52" customFormat="1" ht="13.5" customHeight="1" x14ac:dyDescent="0.2">
      <c r="A144" s="115">
        <v>97</v>
      </c>
      <c r="B144" s="116" t="s">
        <v>892</v>
      </c>
      <c r="C144" s="116" t="s">
        <v>281</v>
      </c>
      <c r="D144" s="117">
        <v>1</v>
      </c>
      <c r="E144" s="118" t="s">
        <v>466</v>
      </c>
      <c r="F144" s="118" t="s">
        <v>255</v>
      </c>
      <c r="G144" s="119">
        <v>400</v>
      </c>
      <c r="H144" s="162">
        <f t="shared" si="70"/>
        <v>400</v>
      </c>
      <c r="I144" s="163">
        <f t="shared" si="71"/>
        <v>4800</v>
      </c>
      <c r="J144" s="563">
        <f t="shared" si="66"/>
        <v>305</v>
      </c>
      <c r="K144" s="113">
        <f t="shared" si="67"/>
        <v>420</v>
      </c>
      <c r="L144" s="167"/>
      <c r="M144" s="112">
        <f t="shared" si="68"/>
        <v>408</v>
      </c>
      <c r="N144" s="163"/>
      <c r="O144" s="163">
        <f t="shared" si="72"/>
        <v>408</v>
      </c>
      <c r="P144" s="120">
        <f t="shared" si="69"/>
        <v>5933</v>
      </c>
      <c r="Q144" s="114"/>
      <c r="R144" s="114"/>
      <c r="S144" s="114"/>
      <c r="T144" s="114"/>
      <c r="U144" s="114"/>
    </row>
    <row r="145" spans="1:21" s="52" customFormat="1" ht="13.5" customHeight="1" x14ac:dyDescent="0.2">
      <c r="A145" s="115">
        <v>98</v>
      </c>
      <c r="B145" s="116" t="s">
        <v>893</v>
      </c>
      <c r="C145" s="116" t="s">
        <v>281</v>
      </c>
      <c r="D145" s="117">
        <v>2</v>
      </c>
      <c r="E145" s="118" t="s">
        <v>466</v>
      </c>
      <c r="F145" s="118" t="s">
        <v>255</v>
      </c>
      <c r="G145" s="162">
        <v>365</v>
      </c>
      <c r="H145" s="162">
        <f t="shared" si="70"/>
        <v>730</v>
      </c>
      <c r="I145" s="163">
        <f t="shared" si="71"/>
        <v>8760</v>
      </c>
      <c r="J145" s="563">
        <f t="shared" si="66"/>
        <v>610</v>
      </c>
      <c r="K145" s="113">
        <f t="shared" si="67"/>
        <v>767</v>
      </c>
      <c r="L145" s="167"/>
      <c r="M145" s="112">
        <f t="shared" si="68"/>
        <v>744.6</v>
      </c>
      <c r="N145" s="163"/>
      <c r="O145" s="163">
        <f t="shared" si="72"/>
        <v>744.6</v>
      </c>
      <c r="P145" s="120">
        <f t="shared" si="69"/>
        <v>10881.6</v>
      </c>
      <c r="Q145" s="114"/>
      <c r="R145" s="114"/>
      <c r="S145" s="114"/>
      <c r="T145" s="114"/>
      <c r="U145" s="114"/>
    </row>
    <row r="146" spans="1:21" s="52" customFormat="1" ht="13.5" customHeight="1" x14ac:dyDescent="0.2">
      <c r="A146" s="115">
        <v>99</v>
      </c>
      <c r="B146" s="116" t="s">
        <v>447</v>
      </c>
      <c r="C146" s="116" t="s">
        <v>671</v>
      </c>
      <c r="D146" s="117">
        <v>1</v>
      </c>
      <c r="E146" s="118" t="s">
        <v>466</v>
      </c>
      <c r="F146" s="118"/>
      <c r="G146" s="162">
        <v>400</v>
      </c>
      <c r="H146" s="162">
        <f t="shared" si="70"/>
        <v>400</v>
      </c>
      <c r="I146" s="163">
        <f t="shared" si="71"/>
        <v>4800</v>
      </c>
      <c r="J146" s="563">
        <f t="shared" si="66"/>
        <v>305</v>
      </c>
      <c r="K146" s="113">
        <f t="shared" si="67"/>
        <v>420</v>
      </c>
      <c r="L146" s="167"/>
      <c r="M146" s="112">
        <f t="shared" si="68"/>
        <v>408</v>
      </c>
      <c r="N146" s="163"/>
      <c r="O146" s="163">
        <f t="shared" si="72"/>
        <v>408</v>
      </c>
      <c r="P146" s="120">
        <f t="shared" si="69"/>
        <v>5933</v>
      </c>
      <c r="Q146" s="114"/>
      <c r="R146" s="114"/>
      <c r="S146" s="114"/>
      <c r="T146" s="114"/>
      <c r="U146" s="114"/>
    </row>
    <row r="147" spans="1:21" s="52" customFormat="1" ht="13.5" customHeight="1" x14ac:dyDescent="0.2">
      <c r="A147" s="115">
        <v>100</v>
      </c>
      <c r="B147" s="116" t="s">
        <v>633</v>
      </c>
      <c r="C147" s="116" t="s">
        <v>183</v>
      </c>
      <c r="D147" s="117">
        <v>1</v>
      </c>
      <c r="E147" s="118" t="s">
        <v>466</v>
      </c>
      <c r="F147" s="118"/>
      <c r="G147" s="162">
        <v>400</v>
      </c>
      <c r="H147" s="162">
        <f t="shared" si="70"/>
        <v>400</v>
      </c>
      <c r="I147" s="163">
        <f t="shared" si="71"/>
        <v>4800</v>
      </c>
      <c r="J147" s="563">
        <f t="shared" si="66"/>
        <v>305</v>
      </c>
      <c r="K147" s="113">
        <f t="shared" si="67"/>
        <v>420</v>
      </c>
      <c r="L147" s="167"/>
      <c r="M147" s="112">
        <f t="shared" si="68"/>
        <v>408</v>
      </c>
      <c r="N147" s="163"/>
      <c r="O147" s="163">
        <f t="shared" si="72"/>
        <v>408</v>
      </c>
      <c r="P147" s="120">
        <f t="shared" si="69"/>
        <v>5933</v>
      </c>
      <c r="Q147" s="114"/>
      <c r="R147" s="114"/>
      <c r="S147" s="114"/>
      <c r="T147" s="114"/>
      <c r="U147" s="114"/>
    </row>
    <row r="148" spans="1:21" s="52" customFormat="1" ht="11.25" x14ac:dyDescent="0.2">
      <c r="A148" s="115"/>
      <c r="B148" s="121" t="s">
        <v>410</v>
      </c>
      <c r="C148" s="116"/>
      <c r="D148" s="117"/>
      <c r="E148" s="118"/>
      <c r="F148" s="118"/>
      <c r="G148" s="122">
        <f>SUM(G133:G147)</f>
        <v>6591</v>
      </c>
      <c r="H148" s="122">
        <f t="shared" ref="H148:P148" si="73">SUM(H133:H147)</f>
        <v>7721</v>
      </c>
      <c r="I148" s="122">
        <f t="shared" si="73"/>
        <v>92652</v>
      </c>
      <c r="J148" s="122">
        <f t="shared" si="73"/>
        <v>5490</v>
      </c>
      <c r="K148" s="122">
        <f t="shared" si="73"/>
        <v>8109</v>
      </c>
      <c r="L148" s="122">
        <f t="shared" si="73"/>
        <v>0</v>
      </c>
      <c r="M148" s="122">
        <f t="shared" si="73"/>
        <v>7875.42</v>
      </c>
      <c r="N148" s="122">
        <f t="shared" si="73"/>
        <v>0</v>
      </c>
      <c r="O148" s="122">
        <f t="shared" si="73"/>
        <v>7875.42</v>
      </c>
      <c r="P148" s="122">
        <f t="shared" si="73"/>
        <v>114126.42000000001</v>
      </c>
      <c r="Q148" s="114"/>
      <c r="R148" s="114"/>
      <c r="S148" s="114"/>
      <c r="T148" s="114"/>
      <c r="U148" s="114"/>
    </row>
    <row r="149" spans="1:21" s="125" customFormat="1" ht="11.25" x14ac:dyDescent="0.2">
      <c r="A149" s="108">
        <v>101</v>
      </c>
      <c r="B149" s="83" t="s">
        <v>272</v>
      </c>
      <c r="C149" s="83" t="s">
        <v>273</v>
      </c>
      <c r="D149" s="109">
        <v>1</v>
      </c>
      <c r="E149" s="118" t="s">
        <v>466</v>
      </c>
      <c r="F149" s="110" t="s">
        <v>208</v>
      </c>
      <c r="G149" s="111">
        <v>750</v>
      </c>
      <c r="H149" s="111">
        <f>D149*G149</f>
        <v>750</v>
      </c>
      <c r="I149" s="112">
        <f>+H149*12</f>
        <v>9000</v>
      </c>
      <c r="J149" s="563">
        <f>305*D149</f>
        <v>305</v>
      </c>
      <c r="K149" s="112">
        <f>ROUND((I149*8.75%),0)</f>
        <v>788</v>
      </c>
      <c r="L149" s="145"/>
      <c r="M149" s="112">
        <f>IF(G149&gt;1000,1000*8.5%*12,G149*8.5%*12*D149)</f>
        <v>765.00000000000011</v>
      </c>
      <c r="N149" s="112"/>
      <c r="O149" s="112">
        <f>SUM(L149:N149)</f>
        <v>765.00000000000011</v>
      </c>
      <c r="P149" s="146">
        <f>SUM(I149:N149)</f>
        <v>10858</v>
      </c>
      <c r="Q149" s="114"/>
      <c r="R149" s="114"/>
      <c r="S149" s="114"/>
      <c r="T149" s="124"/>
      <c r="U149" s="124"/>
    </row>
    <row r="150" spans="1:21" s="125" customFormat="1" ht="11.25" x14ac:dyDescent="0.2">
      <c r="A150" s="115">
        <v>102</v>
      </c>
      <c r="B150" s="116" t="s">
        <v>569</v>
      </c>
      <c r="C150" s="116" t="s">
        <v>273</v>
      </c>
      <c r="D150" s="117">
        <v>1</v>
      </c>
      <c r="E150" s="118" t="s">
        <v>466</v>
      </c>
      <c r="F150" s="118" t="s">
        <v>208</v>
      </c>
      <c r="G150" s="119">
        <v>365</v>
      </c>
      <c r="H150" s="111">
        <f>D150*G150</f>
        <v>365</v>
      </c>
      <c r="I150" s="113">
        <f>+H150*12</f>
        <v>4380</v>
      </c>
      <c r="J150" s="563">
        <f>305*D150</f>
        <v>305</v>
      </c>
      <c r="K150" s="112">
        <f t="shared" ref="K150:K152" si="74">ROUND((I150*8.75%),0)</f>
        <v>383</v>
      </c>
      <c r="L150" s="113"/>
      <c r="M150" s="112">
        <f>IF(G150&gt;1000,1000*8.5%*12,G150*8.5%*12*D150)</f>
        <v>372.3</v>
      </c>
      <c r="N150" s="113"/>
      <c r="O150" s="113">
        <f>SUM(L150:N150)</f>
        <v>372.3</v>
      </c>
      <c r="P150" s="146">
        <f>SUM(I150:N150)</f>
        <v>5440.3</v>
      </c>
      <c r="Q150" s="114"/>
      <c r="R150" s="114"/>
      <c r="S150" s="114"/>
      <c r="T150" s="124"/>
      <c r="U150" s="124"/>
    </row>
    <row r="151" spans="1:21" s="125" customFormat="1" ht="11.25" x14ac:dyDescent="0.2">
      <c r="A151" s="108">
        <v>103</v>
      </c>
      <c r="B151" s="116" t="s">
        <v>556</v>
      </c>
      <c r="C151" s="116" t="s">
        <v>273</v>
      </c>
      <c r="D151" s="117">
        <v>3</v>
      </c>
      <c r="E151" s="118" t="s">
        <v>466</v>
      </c>
      <c r="F151" s="118" t="s">
        <v>208</v>
      </c>
      <c r="G151" s="119">
        <v>365</v>
      </c>
      <c r="H151" s="111">
        <f>D151*G151</f>
        <v>1095</v>
      </c>
      <c r="I151" s="113">
        <f>+H151*12</f>
        <v>13140</v>
      </c>
      <c r="J151" s="563">
        <f>305*D151</f>
        <v>915</v>
      </c>
      <c r="K151" s="112">
        <f t="shared" si="74"/>
        <v>1150</v>
      </c>
      <c r="L151" s="113"/>
      <c r="M151" s="112">
        <f>IF(G151&gt;1000,1000*8.5%*12,G151*8.5%*12*D151)</f>
        <v>1116.9000000000001</v>
      </c>
      <c r="N151" s="113"/>
      <c r="O151" s="113">
        <f>SUM(L151:N151)</f>
        <v>1116.9000000000001</v>
      </c>
      <c r="P151" s="146">
        <f>SUM(I151:N151)</f>
        <v>16321.9</v>
      </c>
      <c r="Q151" s="114"/>
      <c r="R151" s="114"/>
      <c r="S151" s="114"/>
      <c r="T151" s="124"/>
      <c r="U151" s="124"/>
    </row>
    <row r="152" spans="1:21" s="125" customFormat="1" ht="11.25" x14ac:dyDescent="0.2">
      <c r="A152" s="115">
        <v>104</v>
      </c>
      <c r="B152" s="116" t="s">
        <v>557</v>
      </c>
      <c r="C152" s="116" t="s">
        <v>273</v>
      </c>
      <c r="D152" s="117">
        <v>1</v>
      </c>
      <c r="E152" s="118" t="s">
        <v>466</v>
      </c>
      <c r="F152" s="118" t="s">
        <v>208</v>
      </c>
      <c r="G152" s="119">
        <v>365</v>
      </c>
      <c r="H152" s="111">
        <f>D152*G152</f>
        <v>365</v>
      </c>
      <c r="I152" s="113">
        <f>+H152*12</f>
        <v>4380</v>
      </c>
      <c r="J152" s="563">
        <f>305*D152</f>
        <v>305</v>
      </c>
      <c r="K152" s="112">
        <f t="shared" si="74"/>
        <v>383</v>
      </c>
      <c r="L152" s="113"/>
      <c r="M152" s="112">
        <f>IF(G152&gt;1000,1000*8.5%*12,G152*8.5%*12*D152)</f>
        <v>372.3</v>
      </c>
      <c r="N152" s="113"/>
      <c r="O152" s="113">
        <f>SUM(L152:N152)</f>
        <v>372.3</v>
      </c>
      <c r="P152" s="146">
        <f>SUM(I152:N152)</f>
        <v>5440.3</v>
      </c>
      <c r="Q152" s="114"/>
      <c r="R152" s="114"/>
      <c r="S152" s="114"/>
      <c r="T152" s="124"/>
      <c r="U152" s="124"/>
    </row>
    <row r="153" spans="1:21" s="52" customFormat="1" ht="12" thickBot="1" x14ac:dyDescent="0.25">
      <c r="A153" s="115"/>
      <c r="B153" s="121" t="s">
        <v>410</v>
      </c>
      <c r="C153" s="116"/>
      <c r="D153" s="117"/>
      <c r="E153" s="118"/>
      <c r="F153" s="118"/>
      <c r="G153" s="122">
        <f>SUM(G149:G152)</f>
        <v>1845</v>
      </c>
      <c r="H153" s="122">
        <f t="shared" ref="H153:P153" si="75">SUM(H149:H152)</f>
        <v>2575</v>
      </c>
      <c r="I153" s="122">
        <f t="shared" si="75"/>
        <v>30900</v>
      </c>
      <c r="J153" s="122">
        <f t="shared" si="75"/>
        <v>1830</v>
      </c>
      <c r="K153" s="122">
        <f t="shared" si="75"/>
        <v>2704</v>
      </c>
      <c r="L153" s="122">
        <f t="shared" si="75"/>
        <v>0</v>
      </c>
      <c r="M153" s="122">
        <f t="shared" si="75"/>
        <v>2626.5000000000005</v>
      </c>
      <c r="N153" s="122">
        <f t="shared" si="75"/>
        <v>0</v>
      </c>
      <c r="O153" s="122">
        <f t="shared" si="75"/>
        <v>2626.5000000000005</v>
      </c>
      <c r="P153" s="122">
        <f t="shared" si="75"/>
        <v>38060.5</v>
      </c>
      <c r="Q153" s="114"/>
      <c r="R153" s="114"/>
      <c r="S153" s="114"/>
      <c r="T153" s="114"/>
      <c r="U153" s="114"/>
    </row>
    <row r="154" spans="1:21" s="125" customFormat="1" thickTop="1" thickBot="1" x14ac:dyDescent="0.25">
      <c r="A154" s="149"/>
      <c r="B154" s="150" t="s">
        <v>446</v>
      </c>
      <c r="C154" s="151"/>
      <c r="D154" s="152">
        <f>SUM(D133:D153)</f>
        <v>24</v>
      </c>
      <c r="E154" s="153"/>
      <c r="F154" s="153"/>
      <c r="G154" s="154">
        <f>G148+G153</f>
        <v>8436</v>
      </c>
      <c r="H154" s="154">
        <f t="shared" ref="H154:P154" si="76">H148+H153</f>
        <v>10296</v>
      </c>
      <c r="I154" s="154">
        <f t="shared" si="76"/>
        <v>123552</v>
      </c>
      <c r="J154" s="154">
        <f t="shared" si="76"/>
        <v>7320</v>
      </c>
      <c r="K154" s="154">
        <f t="shared" si="76"/>
        <v>10813</v>
      </c>
      <c r="L154" s="154">
        <f t="shared" si="76"/>
        <v>0</v>
      </c>
      <c r="M154" s="154">
        <f t="shared" si="76"/>
        <v>10501.92</v>
      </c>
      <c r="N154" s="154">
        <f t="shared" si="76"/>
        <v>0</v>
      </c>
      <c r="O154" s="154">
        <f t="shared" si="76"/>
        <v>10501.92</v>
      </c>
      <c r="P154" s="154">
        <f t="shared" si="76"/>
        <v>152186.92000000001</v>
      </c>
      <c r="Q154" s="114"/>
      <c r="R154" s="114"/>
      <c r="S154" s="114"/>
      <c r="T154" s="124"/>
      <c r="U154" s="124"/>
    </row>
    <row r="155" spans="1:21" s="125" customFormat="1" ht="12" thickTop="1" x14ac:dyDescent="0.2">
      <c r="A155" s="50"/>
      <c r="C155" s="52"/>
      <c r="D155" s="142"/>
      <c r="E155" s="143"/>
      <c r="F155" s="143"/>
      <c r="G155" s="144"/>
      <c r="H155" s="144"/>
      <c r="I155" s="144"/>
      <c r="J155" s="565"/>
      <c r="K155" s="144"/>
      <c r="L155" s="144"/>
      <c r="M155" s="144"/>
      <c r="N155" s="144"/>
      <c r="O155" s="144"/>
      <c r="P155" s="144"/>
      <c r="Q155" s="155"/>
      <c r="R155" s="114"/>
      <c r="S155" s="114"/>
      <c r="T155" s="124"/>
      <c r="U155" s="124"/>
    </row>
    <row r="156" spans="1:21" s="125" customFormat="1" ht="12" thickBot="1" x14ac:dyDescent="0.25">
      <c r="A156" s="50"/>
      <c r="C156" s="52"/>
      <c r="D156" s="142"/>
      <c r="E156" s="143"/>
      <c r="F156" s="143"/>
      <c r="G156" s="144"/>
      <c r="H156" s="144"/>
      <c r="I156" s="144"/>
      <c r="J156" s="565"/>
      <c r="K156" s="144"/>
      <c r="L156" s="144"/>
      <c r="M156" s="144"/>
      <c r="N156" s="144"/>
      <c r="O156" s="144"/>
      <c r="P156" s="144"/>
      <c r="Q156" s="155"/>
      <c r="R156" s="114"/>
      <c r="S156" s="114"/>
      <c r="T156" s="124"/>
      <c r="U156" s="124"/>
    </row>
    <row r="157" spans="1:21" s="52" customFormat="1" ht="18" customHeight="1" thickTop="1" thickBot="1" x14ac:dyDescent="0.25">
      <c r="A157" s="1162" t="s">
        <v>73</v>
      </c>
      <c r="B157" s="1165" t="s">
        <v>74</v>
      </c>
      <c r="C157" s="1168" t="s">
        <v>75</v>
      </c>
      <c r="D157" s="1146" t="s">
        <v>87</v>
      </c>
      <c r="E157" s="1146" t="s">
        <v>85</v>
      </c>
      <c r="F157" s="1146" t="s">
        <v>86</v>
      </c>
      <c r="G157" s="1149" t="s">
        <v>76</v>
      </c>
      <c r="H157" s="1150"/>
      <c r="I157" s="1151"/>
      <c r="J157" s="1174" t="s">
        <v>77</v>
      </c>
      <c r="K157" s="1156" t="s">
        <v>78</v>
      </c>
      <c r="L157" s="1156"/>
      <c r="M157" s="1156"/>
      <c r="N157" s="1156"/>
      <c r="O157" s="1156"/>
      <c r="P157" s="1157" t="s">
        <v>31</v>
      </c>
    </row>
    <row r="158" spans="1:21" s="52" customFormat="1" ht="11.25" customHeight="1" thickBot="1" x14ac:dyDescent="0.25">
      <c r="A158" s="1163"/>
      <c r="B158" s="1166"/>
      <c r="C158" s="1169"/>
      <c r="D158" s="1147"/>
      <c r="E158" s="1147"/>
      <c r="F158" s="1147"/>
      <c r="G158" s="1152"/>
      <c r="H158" s="1153"/>
      <c r="I158" s="1154"/>
      <c r="J158" s="1175"/>
      <c r="K158" s="102" t="s">
        <v>79</v>
      </c>
      <c r="L158" s="1160" t="s">
        <v>80</v>
      </c>
      <c r="M158" s="1161"/>
      <c r="N158" s="1161"/>
      <c r="O158" s="1161"/>
      <c r="P158" s="1158"/>
    </row>
    <row r="159" spans="1:21" s="52" customFormat="1" ht="34.5" thickBot="1" x14ac:dyDescent="0.25">
      <c r="A159" s="1164"/>
      <c r="B159" s="1167"/>
      <c r="C159" s="1170"/>
      <c r="D159" s="1148"/>
      <c r="E159" s="1148"/>
      <c r="F159" s="1148"/>
      <c r="G159" s="103" t="s">
        <v>275</v>
      </c>
      <c r="H159" s="104" t="s">
        <v>276</v>
      </c>
      <c r="I159" s="104" t="s">
        <v>277</v>
      </c>
      <c r="J159" s="566" t="s">
        <v>81</v>
      </c>
      <c r="K159" s="104" t="s">
        <v>630</v>
      </c>
      <c r="L159" s="106" t="s">
        <v>634</v>
      </c>
      <c r="M159" s="104" t="s">
        <v>635</v>
      </c>
      <c r="N159" s="106" t="s">
        <v>636</v>
      </c>
      <c r="O159" s="107" t="s">
        <v>25</v>
      </c>
      <c r="P159" s="1159"/>
    </row>
    <row r="160" spans="1:21" s="52" customFormat="1" ht="13.5" customHeight="1" thickTop="1" x14ac:dyDescent="0.2">
      <c r="A160" s="115">
        <v>105</v>
      </c>
      <c r="B160" s="116" t="s">
        <v>279</v>
      </c>
      <c r="C160" s="116" t="s">
        <v>280</v>
      </c>
      <c r="D160" s="117">
        <v>1</v>
      </c>
      <c r="E160" s="118" t="s">
        <v>467</v>
      </c>
      <c r="F160" s="118" t="s">
        <v>254</v>
      </c>
      <c r="G160" s="162">
        <v>650</v>
      </c>
      <c r="H160" s="162">
        <f t="shared" ref="H160:H165" si="77">D160*G160</f>
        <v>650</v>
      </c>
      <c r="I160" s="163">
        <f t="shared" ref="I160:I165" si="78">+H160*12</f>
        <v>7800</v>
      </c>
      <c r="J160" s="563">
        <f t="shared" ref="J160:J175" si="79">305*D160</f>
        <v>305</v>
      </c>
      <c r="K160" s="164">
        <f>+I160*8.75%</f>
        <v>682.5</v>
      </c>
      <c r="L160" s="163"/>
      <c r="M160" s="112">
        <f>IF(G160&gt;1000,1000*8.5%*12,G160*8.5%*12*D160)</f>
        <v>663.00000000000011</v>
      </c>
      <c r="N160" s="163"/>
      <c r="O160" s="163">
        <f t="shared" ref="O160:O165" si="80">SUM(L160:N160)</f>
        <v>663.00000000000011</v>
      </c>
      <c r="P160" s="165">
        <f>SUM(I160:N160)</f>
        <v>9450.5</v>
      </c>
      <c r="Q160" s="114"/>
      <c r="R160" s="114"/>
      <c r="S160" s="114"/>
      <c r="T160" s="114"/>
      <c r="U160" s="114"/>
    </row>
    <row r="161" spans="1:21" s="52" customFormat="1" ht="13.5" customHeight="1" x14ac:dyDescent="0.2">
      <c r="A161" s="115">
        <v>106</v>
      </c>
      <c r="B161" s="116" t="s">
        <v>894</v>
      </c>
      <c r="C161" s="116" t="s">
        <v>280</v>
      </c>
      <c r="D161" s="117">
        <v>1</v>
      </c>
      <c r="E161" s="118" t="s">
        <v>467</v>
      </c>
      <c r="F161" s="118" t="s">
        <v>254</v>
      </c>
      <c r="G161" s="162">
        <v>466</v>
      </c>
      <c r="H161" s="162">
        <f t="shared" si="77"/>
        <v>466</v>
      </c>
      <c r="I161" s="163">
        <f>+H161*12</f>
        <v>5592</v>
      </c>
      <c r="J161" s="563">
        <f t="shared" si="79"/>
        <v>305</v>
      </c>
      <c r="K161" s="164">
        <f t="shared" ref="K161:K170" si="81">+I161*8.75%</f>
        <v>489.29999999999995</v>
      </c>
      <c r="L161" s="163"/>
      <c r="M161" s="112">
        <f t="shared" ref="M161:M170" si="82">IF(G161&gt;1000,1000*8.5%*12,G161*8.5%*12*D161)</f>
        <v>475.32</v>
      </c>
      <c r="N161" s="163"/>
      <c r="O161" s="163">
        <f t="shared" si="80"/>
        <v>475.32</v>
      </c>
      <c r="P161" s="165">
        <f>SUM(I161:N161)</f>
        <v>6861.62</v>
      </c>
      <c r="Q161" s="114"/>
      <c r="R161" s="114"/>
      <c r="S161" s="114"/>
      <c r="T161" s="114"/>
      <c r="U161" s="114"/>
    </row>
    <row r="162" spans="1:21" s="52" customFormat="1" ht="13.5" customHeight="1" x14ac:dyDescent="0.2">
      <c r="A162" s="115">
        <v>107</v>
      </c>
      <c r="B162" s="116" t="s">
        <v>419</v>
      </c>
      <c r="C162" s="116" t="s">
        <v>280</v>
      </c>
      <c r="D162" s="117">
        <v>1</v>
      </c>
      <c r="E162" s="118" t="s">
        <v>467</v>
      </c>
      <c r="F162" s="118" t="s">
        <v>254</v>
      </c>
      <c r="G162" s="162">
        <v>450</v>
      </c>
      <c r="H162" s="162">
        <f t="shared" si="77"/>
        <v>450</v>
      </c>
      <c r="I162" s="163">
        <f t="shared" si="78"/>
        <v>5400</v>
      </c>
      <c r="J162" s="563">
        <f t="shared" si="79"/>
        <v>305</v>
      </c>
      <c r="K162" s="164">
        <f t="shared" si="81"/>
        <v>472.49999999999994</v>
      </c>
      <c r="L162" s="163"/>
      <c r="M162" s="112">
        <f t="shared" si="82"/>
        <v>459</v>
      </c>
      <c r="N162" s="163">
        <v>0</v>
      </c>
      <c r="O162" s="163">
        <f t="shared" si="80"/>
        <v>459</v>
      </c>
      <c r="P162" s="165">
        <f t="shared" ref="P162:P170" si="83">SUM(I162:N162)</f>
        <v>6636.5</v>
      </c>
      <c r="Q162" s="114"/>
      <c r="R162" s="114"/>
      <c r="S162" s="114"/>
      <c r="T162" s="114"/>
      <c r="U162" s="114"/>
    </row>
    <row r="163" spans="1:21" s="52" customFormat="1" ht="13.5" customHeight="1" x14ac:dyDescent="0.2">
      <c r="A163" s="115">
        <v>108</v>
      </c>
      <c r="B163" s="116" t="s">
        <v>895</v>
      </c>
      <c r="C163" s="116" t="s">
        <v>280</v>
      </c>
      <c r="D163" s="117">
        <v>1</v>
      </c>
      <c r="E163" s="118" t="s">
        <v>467</v>
      </c>
      <c r="F163" s="118" t="s">
        <v>254</v>
      </c>
      <c r="G163" s="162">
        <v>452</v>
      </c>
      <c r="H163" s="162">
        <f t="shared" si="77"/>
        <v>452</v>
      </c>
      <c r="I163" s="163">
        <f t="shared" si="78"/>
        <v>5424</v>
      </c>
      <c r="J163" s="563">
        <f t="shared" si="79"/>
        <v>305</v>
      </c>
      <c r="K163" s="164">
        <f t="shared" si="81"/>
        <v>474.59999999999997</v>
      </c>
      <c r="L163" s="163"/>
      <c r="M163" s="112">
        <f t="shared" si="82"/>
        <v>461.04</v>
      </c>
      <c r="N163" s="163">
        <v>0</v>
      </c>
      <c r="O163" s="163">
        <f t="shared" si="80"/>
        <v>461.04</v>
      </c>
      <c r="P163" s="165">
        <f>SUM(I163:N163)</f>
        <v>6664.64</v>
      </c>
      <c r="Q163" s="114"/>
      <c r="R163" s="114"/>
      <c r="S163" s="114"/>
      <c r="T163" s="114"/>
      <c r="U163" s="114"/>
    </row>
    <row r="164" spans="1:21" s="52" customFormat="1" ht="13.5" customHeight="1" x14ac:dyDescent="0.2">
      <c r="A164" s="115">
        <v>109</v>
      </c>
      <c r="B164" s="116" t="s">
        <v>896</v>
      </c>
      <c r="C164" s="116" t="s">
        <v>280</v>
      </c>
      <c r="D164" s="117">
        <v>2</v>
      </c>
      <c r="E164" s="118" t="s">
        <v>467</v>
      </c>
      <c r="F164" s="118" t="s">
        <v>254</v>
      </c>
      <c r="G164" s="162">
        <v>438</v>
      </c>
      <c r="H164" s="162">
        <f>D164*G164</f>
        <v>876</v>
      </c>
      <c r="I164" s="163">
        <f>+H164*12</f>
        <v>10512</v>
      </c>
      <c r="J164" s="563">
        <f t="shared" si="79"/>
        <v>610</v>
      </c>
      <c r="K164" s="164">
        <f t="shared" si="81"/>
        <v>919.8</v>
      </c>
      <c r="L164" s="163"/>
      <c r="M164" s="112">
        <f t="shared" si="82"/>
        <v>893.5200000000001</v>
      </c>
      <c r="N164" s="163"/>
      <c r="O164" s="163">
        <f>SUM(L164:N164)</f>
        <v>893.5200000000001</v>
      </c>
      <c r="P164" s="165">
        <f t="shared" si="83"/>
        <v>12935.32</v>
      </c>
      <c r="Q164" s="114"/>
      <c r="R164" s="114"/>
      <c r="S164" s="114"/>
      <c r="T164" s="114"/>
      <c r="U164" s="114"/>
    </row>
    <row r="165" spans="1:21" s="52" customFormat="1" ht="13.5" customHeight="1" x14ac:dyDescent="0.2">
      <c r="A165" s="115">
        <v>110</v>
      </c>
      <c r="B165" s="116" t="s">
        <v>897</v>
      </c>
      <c r="C165" s="116" t="s">
        <v>280</v>
      </c>
      <c r="D165" s="117">
        <v>1</v>
      </c>
      <c r="E165" s="118" t="s">
        <v>467</v>
      </c>
      <c r="F165" s="118" t="s">
        <v>254</v>
      </c>
      <c r="G165" s="162">
        <v>400</v>
      </c>
      <c r="H165" s="162">
        <f t="shared" si="77"/>
        <v>400</v>
      </c>
      <c r="I165" s="163">
        <f t="shared" si="78"/>
        <v>4800</v>
      </c>
      <c r="J165" s="563">
        <f t="shared" si="79"/>
        <v>305</v>
      </c>
      <c r="K165" s="164">
        <f t="shared" si="81"/>
        <v>420</v>
      </c>
      <c r="L165" s="163"/>
      <c r="M165" s="112">
        <f t="shared" si="82"/>
        <v>408</v>
      </c>
      <c r="N165" s="163"/>
      <c r="O165" s="163">
        <f t="shared" si="80"/>
        <v>408</v>
      </c>
      <c r="P165" s="165">
        <f t="shared" si="83"/>
        <v>5933</v>
      </c>
      <c r="Q165" s="114"/>
      <c r="R165" s="114"/>
      <c r="S165" s="114"/>
      <c r="T165" s="114"/>
      <c r="U165" s="114"/>
    </row>
    <row r="166" spans="1:21" s="52" customFormat="1" ht="13.5" customHeight="1" x14ac:dyDescent="0.2">
      <c r="A166" s="115">
        <v>111</v>
      </c>
      <c r="B166" s="116" t="s">
        <v>898</v>
      </c>
      <c r="C166" s="116" t="s">
        <v>280</v>
      </c>
      <c r="D166" s="117">
        <v>3</v>
      </c>
      <c r="E166" s="118" t="s">
        <v>467</v>
      </c>
      <c r="F166" s="118" t="s">
        <v>254</v>
      </c>
      <c r="G166" s="162">
        <v>378</v>
      </c>
      <c r="H166" s="162">
        <f>D166*G166</f>
        <v>1134</v>
      </c>
      <c r="I166" s="163">
        <f>+H166*12</f>
        <v>13608</v>
      </c>
      <c r="J166" s="563">
        <f t="shared" si="79"/>
        <v>915</v>
      </c>
      <c r="K166" s="164">
        <f t="shared" si="81"/>
        <v>1190.6999999999998</v>
      </c>
      <c r="L166" s="163"/>
      <c r="M166" s="112">
        <f t="shared" si="82"/>
        <v>1156.6800000000003</v>
      </c>
      <c r="N166" s="163">
        <v>0</v>
      </c>
      <c r="O166" s="163">
        <f>SUM(L166:N166)</f>
        <v>1156.6800000000003</v>
      </c>
      <c r="P166" s="165">
        <f t="shared" si="83"/>
        <v>16870.38</v>
      </c>
      <c r="Q166" s="114"/>
      <c r="R166" s="114"/>
      <c r="S166" s="114"/>
      <c r="T166" s="114"/>
      <c r="U166" s="114"/>
    </row>
    <row r="167" spans="1:21" s="52" customFormat="1" ht="13.5" customHeight="1" x14ac:dyDescent="0.2">
      <c r="A167" s="115">
        <v>112</v>
      </c>
      <c r="B167" s="116" t="s">
        <v>899</v>
      </c>
      <c r="C167" s="116" t="s">
        <v>280</v>
      </c>
      <c r="D167" s="117">
        <v>4</v>
      </c>
      <c r="E167" s="118" t="s">
        <v>467</v>
      </c>
      <c r="F167" s="118" t="s">
        <v>254</v>
      </c>
      <c r="G167" s="162">
        <v>365</v>
      </c>
      <c r="H167" s="162">
        <f>D167*G167</f>
        <v>1460</v>
      </c>
      <c r="I167" s="163">
        <f>+H167*12</f>
        <v>17520</v>
      </c>
      <c r="J167" s="563">
        <f t="shared" si="79"/>
        <v>1220</v>
      </c>
      <c r="K167" s="164">
        <f t="shared" si="81"/>
        <v>1533</v>
      </c>
      <c r="L167" s="163"/>
      <c r="M167" s="112">
        <f t="shared" si="82"/>
        <v>1489.2</v>
      </c>
      <c r="N167" s="163">
        <v>0</v>
      </c>
      <c r="O167" s="163">
        <f>SUM(L167:N167)</f>
        <v>1489.2</v>
      </c>
      <c r="P167" s="165">
        <f t="shared" si="83"/>
        <v>21762.2</v>
      </c>
      <c r="Q167" s="114"/>
      <c r="R167" s="114"/>
      <c r="S167" s="114"/>
      <c r="T167" s="114"/>
      <c r="U167" s="114"/>
    </row>
    <row r="168" spans="1:21" s="52" customFormat="1" ht="13.5" customHeight="1" x14ac:dyDescent="0.2">
      <c r="A168" s="115">
        <v>113</v>
      </c>
      <c r="B168" s="116" t="s">
        <v>900</v>
      </c>
      <c r="C168" s="116" t="s">
        <v>280</v>
      </c>
      <c r="D168" s="117">
        <v>1</v>
      </c>
      <c r="E168" s="118" t="s">
        <v>467</v>
      </c>
      <c r="F168" s="118"/>
      <c r="G168" s="162">
        <v>365</v>
      </c>
      <c r="H168" s="162">
        <f>D168*G168</f>
        <v>365</v>
      </c>
      <c r="I168" s="163">
        <f>+H168*12</f>
        <v>4380</v>
      </c>
      <c r="J168" s="563">
        <f t="shared" si="79"/>
        <v>305</v>
      </c>
      <c r="K168" s="164">
        <f t="shared" si="81"/>
        <v>383.25</v>
      </c>
      <c r="L168" s="163"/>
      <c r="M168" s="112">
        <f t="shared" si="82"/>
        <v>372.3</v>
      </c>
      <c r="N168" s="163">
        <v>0</v>
      </c>
      <c r="O168" s="163">
        <f>SUM(L168:N168)</f>
        <v>372.3</v>
      </c>
      <c r="P168" s="165">
        <f t="shared" si="83"/>
        <v>5440.55</v>
      </c>
      <c r="Q168" s="114"/>
      <c r="R168" s="114"/>
      <c r="S168" s="114"/>
      <c r="T168" s="114"/>
      <c r="U168" s="114"/>
    </row>
    <row r="169" spans="1:21" s="52" customFormat="1" ht="13.5" customHeight="1" x14ac:dyDescent="0.2">
      <c r="A169" s="115">
        <v>114</v>
      </c>
      <c r="B169" s="116" t="s">
        <v>521</v>
      </c>
      <c r="C169" s="116" t="s">
        <v>280</v>
      </c>
      <c r="D169" s="117">
        <v>3</v>
      </c>
      <c r="E169" s="118" t="s">
        <v>467</v>
      </c>
      <c r="F169" s="118"/>
      <c r="G169" s="162">
        <v>365</v>
      </c>
      <c r="H169" s="162">
        <f t="shared" ref="H169:H170" si="84">D169*G169</f>
        <v>1095</v>
      </c>
      <c r="I169" s="163">
        <f t="shared" ref="I169:I170" si="85">+H169*12</f>
        <v>13140</v>
      </c>
      <c r="J169" s="563">
        <f t="shared" si="79"/>
        <v>915</v>
      </c>
      <c r="K169" s="164">
        <f t="shared" si="81"/>
        <v>1149.75</v>
      </c>
      <c r="L169" s="163"/>
      <c r="M169" s="112">
        <f t="shared" si="82"/>
        <v>1116.9000000000001</v>
      </c>
      <c r="N169" s="163">
        <v>0</v>
      </c>
      <c r="O169" s="163">
        <f t="shared" ref="O169:O170" si="86">SUM(L169:N169)</f>
        <v>1116.9000000000001</v>
      </c>
      <c r="P169" s="165">
        <f t="shared" si="83"/>
        <v>16321.65</v>
      </c>
      <c r="Q169" s="114"/>
      <c r="R169" s="114"/>
      <c r="S169" s="114"/>
      <c r="T169" s="114"/>
      <c r="U169" s="114"/>
    </row>
    <row r="170" spans="1:21" s="52" customFormat="1" ht="13.5" customHeight="1" x14ac:dyDescent="0.2">
      <c r="A170" s="115">
        <v>115</v>
      </c>
      <c r="B170" s="116" t="s">
        <v>725</v>
      </c>
      <c r="C170" s="116" t="s">
        <v>280</v>
      </c>
      <c r="D170" s="117">
        <v>1</v>
      </c>
      <c r="E170" s="118" t="s">
        <v>467</v>
      </c>
      <c r="F170" s="118"/>
      <c r="G170" s="162">
        <v>365</v>
      </c>
      <c r="H170" s="162">
        <f t="shared" si="84"/>
        <v>365</v>
      </c>
      <c r="I170" s="163">
        <f t="shared" si="85"/>
        <v>4380</v>
      </c>
      <c r="J170" s="563">
        <f t="shared" si="79"/>
        <v>305</v>
      </c>
      <c r="K170" s="164">
        <f t="shared" si="81"/>
        <v>383.25</v>
      </c>
      <c r="L170" s="163"/>
      <c r="M170" s="112">
        <f t="shared" si="82"/>
        <v>372.3</v>
      </c>
      <c r="N170" s="163">
        <v>0</v>
      </c>
      <c r="O170" s="163">
        <f t="shared" si="86"/>
        <v>372.3</v>
      </c>
      <c r="P170" s="165">
        <f t="shared" si="83"/>
        <v>5440.55</v>
      </c>
      <c r="Q170" s="114"/>
      <c r="R170" s="114"/>
      <c r="S170" s="114"/>
      <c r="T170" s="114"/>
      <c r="U170" s="114"/>
    </row>
    <row r="171" spans="1:21" s="52" customFormat="1" ht="11.25" x14ac:dyDescent="0.2">
      <c r="A171" s="115"/>
      <c r="B171" s="121" t="s">
        <v>410</v>
      </c>
      <c r="C171" s="116"/>
      <c r="D171" s="117"/>
      <c r="E171" s="118"/>
      <c r="F171" s="118"/>
      <c r="G171" s="166">
        <f t="shared" ref="G171:P171" si="87">SUM(G160:G170)</f>
        <v>4694</v>
      </c>
      <c r="H171" s="166">
        <f t="shared" si="87"/>
        <v>7713</v>
      </c>
      <c r="I171" s="166">
        <f t="shared" si="87"/>
        <v>92556</v>
      </c>
      <c r="J171" s="166">
        <f t="shared" si="87"/>
        <v>5795</v>
      </c>
      <c r="K171" s="166">
        <f t="shared" si="87"/>
        <v>8098.65</v>
      </c>
      <c r="L171" s="166">
        <f t="shared" si="87"/>
        <v>0</v>
      </c>
      <c r="M171" s="166">
        <f t="shared" si="87"/>
        <v>7867.2600000000011</v>
      </c>
      <c r="N171" s="166">
        <f t="shared" si="87"/>
        <v>0</v>
      </c>
      <c r="O171" s="166">
        <f t="shared" si="87"/>
        <v>7867.2600000000011</v>
      </c>
      <c r="P171" s="166">
        <f t="shared" si="87"/>
        <v>114316.91</v>
      </c>
      <c r="Q171" s="114"/>
      <c r="R171" s="114"/>
      <c r="S171" s="114"/>
      <c r="T171" s="114"/>
      <c r="U171" s="114"/>
    </row>
    <row r="172" spans="1:21" s="52" customFormat="1" ht="13.5" customHeight="1" x14ac:dyDescent="0.2">
      <c r="A172" s="115">
        <v>116</v>
      </c>
      <c r="B172" s="116" t="s">
        <v>522</v>
      </c>
      <c r="C172" s="116" t="s">
        <v>201</v>
      </c>
      <c r="D172" s="117">
        <v>1</v>
      </c>
      <c r="E172" s="118" t="s">
        <v>467</v>
      </c>
      <c r="F172" s="118" t="s">
        <v>253</v>
      </c>
      <c r="G172" s="162">
        <v>550</v>
      </c>
      <c r="H172" s="162">
        <f>D172*G172</f>
        <v>550</v>
      </c>
      <c r="I172" s="163">
        <f>+H172*12</f>
        <v>6600</v>
      </c>
      <c r="J172" s="563">
        <f t="shared" si="79"/>
        <v>305</v>
      </c>
      <c r="K172" s="163">
        <f>+I172*8.75%</f>
        <v>577.5</v>
      </c>
      <c r="L172" s="167"/>
      <c r="M172" s="112">
        <f>IF(G172&gt;1000,1000*8.5%*12,G172*8.5%*12*D172)</f>
        <v>561</v>
      </c>
      <c r="N172" s="163"/>
      <c r="O172" s="163">
        <f>SUM(L172:N172)</f>
        <v>561</v>
      </c>
      <c r="P172" s="165">
        <f>SUM(I172:N172)</f>
        <v>8043.5</v>
      </c>
      <c r="Q172" s="114"/>
      <c r="R172" s="114"/>
      <c r="S172" s="114"/>
      <c r="T172" s="114"/>
      <c r="U172" s="114"/>
    </row>
    <row r="173" spans="1:21" s="52" customFormat="1" ht="13.5" customHeight="1" x14ac:dyDescent="0.2">
      <c r="A173" s="115">
        <v>117</v>
      </c>
      <c r="B173" s="116" t="s">
        <v>579</v>
      </c>
      <c r="C173" s="116" t="s">
        <v>201</v>
      </c>
      <c r="D173" s="117">
        <v>1</v>
      </c>
      <c r="E173" s="118" t="s">
        <v>467</v>
      </c>
      <c r="F173" s="118"/>
      <c r="G173" s="162">
        <v>365</v>
      </c>
      <c r="H173" s="162">
        <f>D173*G173</f>
        <v>365</v>
      </c>
      <c r="I173" s="163">
        <f>+H173*12</f>
        <v>4380</v>
      </c>
      <c r="J173" s="563">
        <f t="shared" si="79"/>
        <v>305</v>
      </c>
      <c r="K173" s="163">
        <f t="shared" ref="K173:K175" si="88">+I173*8.75%</f>
        <v>383.25</v>
      </c>
      <c r="L173" s="167"/>
      <c r="M173" s="112">
        <f>IF(G173&gt;1000,1000*8.5%*12,G173*8.5%*12*D173)</f>
        <v>372.3</v>
      </c>
      <c r="N173" s="163"/>
      <c r="O173" s="163">
        <f>SUM(L173:N173)</f>
        <v>372.3</v>
      </c>
      <c r="P173" s="165">
        <f>SUM(I173:N173)</f>
        <v>5440.55</v>
      </c>
      <c r="Q173" s="114"/>
      <c r="R173" s="114"/>
      <c r="S173" s="114"/>
      <c r="T173" s="114"/>
      <c r="U173" s="114"/>
    </row>
    <row r="174" spans="1:21" s="52" customFormat="1" ht="13.5" customHeight="1" x14ac:dyDescent="0.2">
      <c r="A174" s="115">
        <v>118</v>
      </c>
      <c r="B174" s="116" t="s">
        <v>579</v>
      </c>
      <c r="C174" s="116" t="s">
        <v>201</v>
      </c>
      <c r="D174" s="117">
        <v>1</v>
      </c>
      <c r="E174" s="118" t="s">
        <v>467</v>
      </c>
      <c r="F174" s="118" t="s">
        <v>253</v>
      </c>
      <c r="G174" s="162">
        <v>395</v>
      </c>
      <c r="H174" s="162">
        <f>D174*G174</f>
        <v>395</v>
      </c>
      <c r="I174" s="163">
        <f>+H174*12</f>
        <v>4740</v>
      </c>
      <c r="J174" s="563">
        <f t="shared" si="79"/>
        <v>305</v>
      </c>
      <c r="K174" s="163">
        <f t="shared" si="88"/>
        <v>414.75</v>
      </c>
      <c r="L174" s="167"/>
      <c r="M174" s="112">
        <f>IF(G174&gt;1000,1000*8.5%*12,G174*8.5%*12*D174)</f>
        <v>402.90000000000003</v>
      </c>
      <c r="N174" s="163"/>
      <c r="O174" s="163">
        <f>SUM(L174:N174)</f>
        <v>402.90000000000003</v>
      </c>
      <c r="P174" s="165">
        <f>SUM(I174:N174)</f>
        <v>5862.65</v>
      </c>
      <c r="Q174" s="114"/>
      <c r="R174" s="114"/>
      <c r="S174" s="114"/>
      <c r="T174" s="114"/>
      <c r="U174" s="114"/>
    </row>
    <row r="175" spans="1:21" s="52" customFormat="1" ht="13.5" customHeight="1" x14ac:dyDescent="0.2">
      <c r="A175" s="115">
        <v>119</v>
      </c>
      <c r="B175" s="116" t="s">
        <v>579</v>
      </c>
      <c r="C175" s="116" t="s">
        <v>201</v>
      </c>
      <c r="D175" s="117">
        <v>1</v>
      </c>
      <c r="E175" s="118" t="s">
        <v>467</v>
      </c>
      <c r="F175" s="118"/>
      <c r="G175" s="162">
        <v>365</v>
      </c>
      <c r="H175" s="162">
        <f>D175*G175</f>
        <v>365</v>
      </c>
      <c r="I175" s="163">
        <f>+H175*12</f>
        <v>4380</v>
      </c>
      <c r="J175" s="563">
        <f t="shared" si="79"/>
        <v>305</v>
      </c>
      <c r="K175" s="163">
        <f t="shared" si="88"/>
        <v>383.25</v>
      </c>
      <c r="L175" s="167"/>
      <c r="M175" s="112">
        <f>IF(G175&gt;1000,1000*8.5%*12,G175*8.5%*12*D175)</f>
        <v>372.3</v>
      </c>
      <c r="N175" s="163"/>
      <c r="O175" s="163">
        <f>SUM(L175:N175)</f>
        <v>372.3</v>
      </c>
      <c r="P175" s="165">
        <f>SUM(I175:N175)</f>
        <v>5440.55</v>
      </c>
      <c r="Q175" s="114"/>
      <c r="R175" s="114"/>
      <c r="S175" s="114"/>
      <c r="T175" s="114"/>
      <c r="U175" s="114"/>
    </row>
    <row r="176" spans="1:21" s="52" customFormat="1" ht="11.25" x14ac:dyDescent="0.2">
      <c r="A176" s="115"/>
      <c r="B176" s="121" t="s">
        <v>409</v>
      </c>
      <c r="C176" s="116"/>
      <c r="D176" s="117">
        <v>1</v>
      </c>
      <c r="E176" s="118"/>
      <c r="F176" s="118"/>
      <c r="G176" s="166">
        <f>SUM(G172:G175)</f>
        <v>1675</v>
      </c>
      <c r="H176" s="166">
        <f>SUM(H172:H175)</f>
        <v>1675</v>
      </c>
      <c r="I176" s="166">
        <f t="shared" ref="I176:P176" si="89">SUM(I172:I175)</f>
        <v>20100</v>
      </c>
      <c r="J176" s="166">
        <f>SUM(J172:J175)</f>
        <v>1220</v>
      </c>
      <c r="K176" s="166">
        <f t="shared" si="89"/>
        <v>1758.75</v>
      </c>
      <c r="L176" s="166">
        <f t="shared" si="89"/>
        <v>0</v>
      </c>
      <c r="M176" s="166">
        <f t="shared" si="89"/>
        <v>1708.5</v>
      </c>
      <c r="N176" s="166">
        <f t="shared" si="89"/>
        <v>0</v>
      </c>
      <c r="O176" s="166">
        <f t="shared" si="89"/>
        <v>1708.5</v>
      </c>
      <c r="P176" s="166">
        <f t="shared" si="89"/>
        <v>24787.249999999996</v>
      </c>
      <c r="Q176" s="114"/>
      <c r="R176" s="114"/>
      <c r="S176" s="114"/>
      <c r="T176" s="114"/>
      <c r="U176" s="114"/>
    </row>
    <row r="177" spans="1:21" s="52" customFormat="1" ht="13.5" customHeight="1" x14ac:dyDescent="0.2">
      <c r="A177" s="115">
        <v>120</v>
      </c>
      <c r="B177" s="116" t="s">
        <v>274</v>
      </c>
      <c r="C177" s="116" t="s">
        <v>566</v>
      </c>
      <c r="D177" s="117">
        <v>3</v>
      </c>
      <c r="E177" s="118" t="s">
        <v>467</v>
      </c>
      <c r="F177" s="118"/>
      <c r="G177" s="162">
        <v>500</v>
      </c>
      <c r="H177" s="162">
        <f t="shared" ref="H177:H187" si="90">D177*G177</f>
        <v>1500</v>
      </c>
      <c r="I177" s="163">
        <f t="shared" ref="I177:I187" si="91">+H177*12</f>
        <v>18000</v>
      </c>
      <c r="J177" s="563">
        <f>305*D177</f>
        <v>915</v>
      </c>
      <c r="K177" s="163">
        <f>+I177*8.75%</f>
        <v>1575</v>
      </c>
      <c r="L177" s="167"/>
      <c r="M177" s="112">
        <f t="shared" ref="M177:M187" si="92">IF(G177&gt;1000,1000*8.5%*12,G177*8.5%*12*D177)</f>
        <v>1530</v>
      </c>
      <c r="N177" s="163"/>
      <c r="O177" s="163">
        <f t="shared" ref="O177:O187" si="93">SUM(L177:N177)</f>
        <v>1530</v>
      </c>
      <c r="P177" s="165">
        <f t="shared" ref="P177:P187" si="94">SUM(I177:N177)</f>
        <v>22020</v>
      </c>
      <c r="Q177" s="114"/>
      <c r="R177" s="114"/>
      <c r="S177" s="114"/>
      <c r="T177" s="114"/>
      <c r="U177" s="114"/>
    </row>
    <row r="178" spans="1:21" s="52" customFormat="1" ht="13.5" customHeight="1" x14ac:dyDescent="0.2">
      <c r="A178" s="115">
        <v>121</v>
      </c>
      <c r="B178" s="116" t="s">
        <v>274</v>
      </c>
      <c r="C178" s="116" t="s">
        <v>566</v>
      </c>
      <c r="D178" s="117">
        <v>1</v>
      </c>
      <c r="E178" s="118" t="s">
        <v>467</v>
      </c>
      <c r="F178" s="118"/>
      <c r="G178" s="162">
        <v>450</v>
      </c>
      <c r="H178" s="162">
        <f t="shared" si="90"/>
        <v>450</v>
      </c>
      <c r="I178" s="163">
        <f t="shared" si="91"/>
        <v>5400</v>
      </c>
      <c r="J178" s="563">
        <f t="shared" ref="J178:J187" si="95">305*D178</f>
        <v>305</v>
      </c>
      <c r="K178" s="163">
        <f t="shared" ref="K178:K187" si="96">+I178*8.75%</f>
        <v>472.49999999999994</v>
      </c>
      <c r="L178" s="167"/>
      <c r="M178" s="112">
        <f t="shared" si="92"/>
        <v>459</v>
      </c>
      <c r="N178" s="163"/>
      <c r="O178" s="163">
        <f t="shared" si="93"/>
        <v>459</v>
      </c>
      <c r="P178" s="165">
        <f t="shared" si="94"/>
        <v>6636.5</v>
      </c>
      <c r="Q178" s="114"/>
      <c r="R178" s="114"/>
      <c r="S178" s="114"/>
      <c r="T178" s="114"/>
      <c r="U178" s="114"/>
    </row>
    <row r="179" spans="1:21" s="52" customFormat="1" ht="13.5" customHeight="1" x14ac:dyDescent="0.2">
      <c r="A179" s="115">
        <v>122</v>
      </c>
      <c r="B179" s="116" t="s">
        <v>956</v>
      </c>
      <c r="C179" s="116" t="s">
        <v>566</v>
      </c>
      <c r="D179" s="117">
        <v>3</v>
      </c>
      <c r="E179" s="118" t="s">
        <v>467</v>
      </c>
      <c r="F179" s="118"/>
      <c r="G179" s="162">
        <v>438</v>
      </c>
      <c r="H179" s="162">
        <f t="shared" si="90"/>
        <v>1314</v>
      </c>
      <c r="I179" s="163">
        <f t="shared" si="91"/>
        <v>15768</v>
      </c>
      <c r="J179" s="563">
        <f>305*D179</f>
        <v>915</v>
      </c>
      <c r="K179" s="163">
        <f t="shared" si="96"/>
        <v>1379.6999999999998</v>
      </c>
      <c r="L179" s="167"/>
      <c r="M179" s="112">
        <f t="shared" si="92"/>
        <v>1340.2800000000002</v>
      </c>
      <c r="N179" s="163"/>
      <c r="O179" s="163">
        <f t="shared" si="93"/>
        <v>1340.2800000000002</v>
      </c>
      <c r="P179" s="165">
        <f t="shared" si="94"/>
        <v>19402.98</v>
      </c>
      <c r="Q179" s="114"/>
      <c r="R179" s="114"/>
      <c r="S179" s="114"/>
      <c r="T179" s="114"/>
      <c r="U179" s="114"/>
    </row>
    <row r="180" spans="1:21" s="52" customFormat="1" ht="13.5" customHeight="1" x14ac:dyDescent="0.2">
      <c r="A180" s="115">
        <v>123</v>
      </c>
      <c r="B180" s="116" t="s">
        <v>957</v>
      </c>
      <c r="C180" s="116" t="s">
        <v>566</v>
      </c>
      <c r="D180" s="117">
        <v>1</v>
      </c>
      <c r="E180" s="118" t="s">
        <v>467</v>
      </c>
      <c r="F180" s="118"/>
      <c r="G180" s="162">
        <v>400</v>
      </c>
      <c r="H180" s="162">
        <f t="shared" si="90"/>
        <v>400</v>
      </c>
      <c r="I180" s="163">
        <f t="shared" si="91"/>
        <v>4800</v>
      </c>
      <c r="J180" s="563">
        <f t="shared" ref="J180:J181" si="97">305*D180</f>
        <v>305</v>
      </c>
      <c r="K180" s="163">
        <f t="shared" si="96"/>
        <v>420</v>
      </c>
      <c r="L180" s="167"/>
      <c r="M180" s="112">
        <f t="shared" si="92"/>
        <v>408</v>
      </c>
      <c r="N180" s="163"/>
      <c r="O180" s="163">
        <f t="shared" si="93"/>
        <v>408</v>
      </c>
      <c r="P180" s="165">
        <f t="shared" si="94"/>
        <v>5933</v>
      </c>
      <c r="Q180" s="114"/>
      <c r="R180" s="114"/>
      <c r="S180" s="114"/>
      <c r="T180" s="114"/>
      <c r="U180" s="114"/>
    </row>
    <row r="181" spans="1:21" s="52" customFormat="1" ht="13.5" customHeight="1" x14ac:dyDescent="0.2">
      <c r="A181" s="115">
        <v>124</v>
      </c>
      <c r="B181" s="116" t="s">
        <v>957</v>
      </c>
      <c r="C181" s="116" t="s">
        <v>566</v>
      </c>
      <c r="D181" s="117">
        <v>1</v>
      </c>
      <c r="E181" s="118" t="s">
        <v>467</v>
      </c>
      <c r="F181" s="118"/>
      <c r="G181" s="162">
        <v>378</v>
      </c>
      <c r="H181" s="162">
        <f t="shared" si="90"/>
        <v>378</v>
      </c>
      <c r="I181" s="163">
        <f t="shared" si="91"/>
        <v>4536</v>
      </c>
      <c r="J181" s="563">
        <f t="shared" si="97"/>
        <v>305</v>
      </c>
      <c r="K181" s="163">
        <f t="shared" si="96"/>
        <v>396.9</v>
      </c>
      <c r="L181" s="167"/>
      <c r="M181" s="112">
        <f t="shared" si="92"/>
        <v>385.56000000000006</v>
      </c>
      <c r="N181" s="163"/>
      <c r="O181" s="163">
        <f t="shared" si="93"/>
        <v>385.56000000000006</v>
      </c>
      <c r="P181" s="165">
        <f t="shared" si="94"/>
        <v>5623.46</v>
      </c>
      <c r="Q181" s="114"/>
      <c r="R181" s="114"/>
      <c r="S181" s="114"/>
      <c r="T181" s="114"/>
      <c r="U181" s="114"/>
    </row>
    <row r="182" spans="1:21" s="52" customFormat="1" ht="13.5" customHeight="1" x14ac:dyDescent="0.2">
      <c r="A182" s="115">
        <v>125</v>
      </c>
      <c r="B182" s="116" t="s">
        <v>957</v>
      </c>
      <c r="C182" s="116" t="s">
        <v>566</v>
      </c>
      <c r="D182" s="117">
        <v>1</v>
      </c>
      <c r="E182" s="118" t="s">
        <v>467</v>
      </c>
      <c r="F182" s="118"/>
      <c r="G182" s="162">
        <v>375</v>
      </c>
      <c r="H182" s="162">
        <f t="shared" si="90"/>
        <v>375</v>
      </c>
      <c r="I182" s="163">
        <f t="shared" si="91"/>
        <v>4500</v>
      </c>
      <c r="J182" s="563">
        <f t="shared" si="95"/>
        <v>305</v>
      </c>
      <c r="K182" s="163">
        <f t="shared" si="96"/>
        <v>393.75</v>
      </c>
      <c r="L182" s="167"/>
      <c r="M182" s="112">
        <f t="shared" si="92"/>
        <v>382.50000000000006</v>
      </c>
      <c r="N182" s="163"/>
      <c r="O182" s="163">
        <f t="shared" si="93"/>
        <v>382.50000000000006</v>
      </c>
      <c r="P182" s="165">
        <f t="shared" si="94"/>
        <v>5581.25</v>
      </c>
      <c r="Q182" s="114"/>
      <c r="R182" s="114"/>
      <c r="S182" s="114"/>
      <c r="T182" s="114"/>
      <c r="U182" s="114"/>
    </row>
    <row r="183" spans="1:21" s="52" customFormat="1" ht="13.5" customHeight="1" x14ac:dyDescent="0.2">
      <c r="A183" s="115">
        <v>126</v>
      </c>
      <c r="B183" s="116" t="s">
        <v>958</v>
      </c>
      <c r="C183" s="116" t="s">
        <v>566</v>
      </c>
      <c r="D183" s="117">
        <v>1</v>
      </c>
      <c r="E183" s="118" t="s">
        <v>467</v>
      </c>
      <c r="F183" s="118"/>
      <c r="G183" s="162">
        <v>365</v>
      </c>
      <c r="H183" s="162">
        <f t="shared" si="90"/>
        <v>365</v>
      </c>
      <c r="I183" s="163">
        <f t="shared" si="91"/>
        <v>4380</v>
      </c>
      <c r="J183" s="563">
        <f t="shared" si="95"/>
        <v>305</v>
      </c>
      <c r="K183" s="163">
        <f t="shared" si="96"/>
        <v>383.25</v>
      </c>
      <c r="L183" s="167"/>
      <c r="M183" s="112">
        <f t="shared" si="92"/>
        <v>372.3</v>
      </c>
      <c r="N183" s="163"/>
      <c r="O183" s="163">
        <f t="shared" si="93"/>
        <v>372.3</v>
      </c>
      <c r="P183" s="165">
        <f t="shared" si="94"/>
        <v>5440.55</v>
      </c>
      <c r="Q183" s="114"/>
      <c r="R183" s="114"/>
      <c r="S183" s="114"/>
      <c r="T183" s="114"/>
      <c r="U183" s="114"/>
    </row>
    <row r="184" spans="1:21" s="52" customFormat="1" ht="13.5" customHeight="1" x14ac:dyDescent="0.2">
      <c r="A184" s="115">
        <v>127</v>
      </c>
      <c r="B184" s="116" t="s">
        <v>959</v>
      </c>
      <c r="C184" s="116" t="s">
        <v>566</v>
      </c>
      <c r="D184" s="117">
        <v>2</v>
      </c>
      <c r="E184" s="118" t="s">
        <v>467</v>
      </c>
      <c r="F184" s="118"/>
      <c r="G184" s="162">
        <v>438</v>
      </c>
      <c r="H184" s="162">
        <f t="shared" si="90"/>
        <v>876</v>
      </c>
      <c r="I184" s="163">
        <f t="shared" si="91"/>
        <v>10512</v>
      </c>
      <c r="J184" s="563">
        <f t="shared" si="95"/>
        <v>610</v>
      </c>
      <c r="K184" s="163">
        <f t="shared" si="96"/>
        <v>919.8</v>
      </c>
      <c r="L184" s="167"/>
      <c r="M184" s="112">
        <f t="shared" si="92"/>
        <v>893.5200000000001</v>
      </c>
      <c r="N184" s="163"/>
      <c r="O184" s="163">
        <f t="shared" si="93"/>
        <v>893.5200000000001</v>
      </c>
      <c r="P184" s="165">
        <f t="shared" si="94"/>
        <v>12935.32</v>
      </c>
      <c r="Q184" s="114"/>
      <c r="R184" s="114"/>
      <c r="S184" s="114"/>
      <c r="T184" s="114"/>
      <c r="U184" s="114"/>
    </row>
    <row r="185" spans="1:21" s="52" customFormat="1" ht="13.5" customHeight="1" x14ac:dyDescent="0.2">
      <c r="A185" s="115">
        <v>128</v>
      </c>
      <c r="B185" s="116" t="s">
        <v>960</v>
      </c>
      <c r="C185" s="116" t="s">
        <v>566</v>
      </c>
      <c r="D185" s="117">
        <v>6</v>
      </c>
      <c r="E185" s="118" t="s">
        <v>467</v>
      </c>
      <c r="F185" s="118"/>
      <c r="G185" s="162">
        <v>365</v>
      </c>
      <c r="H185" s="162">
        <f t="shared" si="90"/>
        <v>2190</v>
      </c>
      <c r="I185" s="163">
        <f t="shared" si="91"/>
        <v>26280</v>
      </c>
      <c r="J185" s="563">
        <f t="shared" si="95"/>
        <v>1830</v>
      </c>
      <c r="K185" s="163">
        <f t="shared" si="96"/>
        <v>2299.5</v>
      </c>
      <c r="L185" s="167"/>
      <c r="M185" s="112">
        <f t="shared" si="92"/>
        <v>2233.8000000000002</v>
      </c>
      <c r="N185" s="163"/>
      <c r="O185" s="163">
        <f t="shared" si="93"/>
        <v>2233.8000000000002</v>
      </c>
      <c r="P185" s="165">
        <f t="shared" si="94"/>
        <v>32643.3</v>
      </c>
      <c r="Q185" s="114"/>
      <c r="R185" s="114"/>
      <c r="S185" s="114"/>
      <c r="T185" s="114"/>
      <c r="U185" s="114"/>
    </row>
    <row r="186" spans="1:21" s="52" customFormat="1" ht="13.5" customHeight="1" x14ac:dyDescent="0.2">
      <c r="A186" s="115">
        <v>129</v>
      </c>
      <c r="B186" s="116" t="s">
        <v>859</v>
      </c>
      <c r="C186" s="116" t="s">
        <v>566</v>
      </c>
      <c r="D186" s="117">
        <v>1</v>
      </c>
      <c r="E186" s="118" t="s">
        <v>467</v>
      </c>
      <c r="F186" s="118"/>
      <c r="G186" s="162">
        <v>493</v>
      </c>
      <c r="H186" s="162">
        <f t="shared" si="90"/>
        <v>493</v>
      </c>
      <c r="I186" s="163">
        <f t="shared" si="91"/>
        <v>5916</v>
      </c>
      <c r="J186" s="563">
        <f t="shared" si="95"/>
        <v>305</v>
      </c>
      <c r="K186" s="163">
        <f t="shared" si="96"/>
        <v>517.65</v>
      </c>
      <c r="L186" s="167"/>
      <c r="M186" s="112">
        <f t="shared" si="92"/>
        <v>502.86</v>
      </c>
      <c r="N186" s="163"/>
      <c r="O186" s="163">
        <f t="shared" si="93"/>
        <v>502.86</v>
      </c>
      <c r="P186" s="165">
        <f t="shared" si="94"/>
        <v>7241.5099999999993</v>
      </c>
      <c r="Q186" s="114"/>
      <c r="R186" s="114"/>
      <c r="S186" s="114"/>
      <c r="T186" s="114"/>
      <c r="U186" s="114"/>
    </row>
    <row r="187" spans="1:21" s="52" customFormat="1" ht="13.5" customHeight="1" x14ac:dyDescent="0.2">
      <c r="A187" s="115">
        <v>130</v>
      </c>
      <c r="B187" s="116" t="s">
        <v>772</v>
      </c>
      <c r="C187" s="116" t="s">
        <v>566</v>
      </c>
      <c r="D187" s="117">
        <v>1</v>
      </c>
      <c r="E187" s="118" t="s">
        <v>467</v>
      </c>
      <c r="F187" s="118" t="s">
        <v>252</v>
      </c>
      <c r="G187" s="162">
        <v>365</v>
      </c>
      <c r="H187" s="162">
        <f t="shared" si="90"/>
        <v>365</v>
      </c>
      <c r="I187" s="163">
        <f t="shared" si="91"/>
        <v>4380</v>
      </c>
      <c r="J187" s="563">
        <f t="shared" si="95"/>
        <v>305</v>
      </c>
      <c r="K187" s="163">
        <f t="shared" si="96"/>
        <v>383.25</v>
      </c>
      <c r="L187" s="167"/>
      <c r="M187" s="112">
        <f t="shared" si="92"/>
        <v>372.3</v>
      </c>
      <c r="N187" s="163"/>
      <c r="O187" s="163">
        <f t="shared" si="93"/>
        <v>372.3</v>
      </c>
      <c r="P187" s="165">
        <f t="shared" si="94"/>
        <v>5440.55</v>
      </c>
      <c r="Q187" s="114"/>
      <c r="R187" s="114"/>
      <c r="S187" s="114"/>
      <c r="T187" s="114"/>
      <c r="U187" s="114"/>
    </row>
    <row r="188" spans="1:21" s="52" customFormat="1" ht="11.25" x14ac:dyDescent="0.2">
      <c r="A188" s="115"/>
      <c r="B188" s="121" t="s">
        <v>410</v>
      </c>
      <c r="C188" s="116"/>
      <c r="D188" s="117"/>
      <c r="E188" s="118"/>
      <c r="F188" s="118"/>
      <c r="G188" s="166">
        <f t="shared" ref="G188:P188" si="98">SUM(G177:G187)</f>
        <v>4567</v>
      </c>
      <c r="H188" s="166">
        <f t="shared" si="98"/>
        <v>8706</v>
      </c>
      <c r="I188" s="166">
        <f t="shared" si="98"/>
        <v>104472</v>
      </c>
      <c r="J188" s="166">
        <f t="shared" si="98"/>
        <v>6405</v>
      </c>
      <c r="K188" s="166">
        <f t="shared" si="98"/>
        <v>9141.2999999999993</v>
      </c>
      <c r="L188" s="166">
        <f t="shared" si="98"/>
        <v>0</v>
      </c>
      <c r="M188" s="166">
        <f t="shared" si="98"/>
        <v>8880.1200000000008</v>
      </c>
      <c r="N188" s="166">
        <f t="shared" si="98"/>
        <v>0</v>
      </c>
      <c r="O188" s="166">
        <f t="shared" si="98"/>
        <v>8880.1200000000008</v>
      </c>
      <c r="P188" s="166">
        <f t="shared" si="98"/>
        <v>128898.42</v>
      </c>
      <c r="Q188" s="114"/>
      <c r="R188" s="114"/>
      <c r="S188" s="114"/>
      <c r="T188" s="114"/>
      <c r="U188" s="114"/>
    </row>
    <row r="189" spans="1:21" s="125" customFormat="1" ht="11.25" x14ac:dyDescent="0.2">
      <c r="A189" s="115">
        <v>131</v>
      </c>
      <c r="B189" s="116" t="s">
        <v>266</v>
      </c>
      <c r="C189" s="116" t="s">
        <v>267</v>
      </c>
      <c r="D189" s="117">
        <v>1</v>
      </c>
      <c r="E189" s="118" t="s">
        <v>467</v>
      </c>
      <c r="F189" s="118"/>
      <c r="G189" s="162">
        <v>650</v>
      </c>
      <c r="H189" s="162">
        <f t="shared" ref="H189:H195" si="99">D189*G189</f>
        <v>650</v>
      </c>
      <c r="I189" s="163">
        <f t="shared" ref="I189:I195" si="100">+H189*12</f>
        <v>7800</v>
      </c>
      <c r="J189" s="113">
        <f t="shared" ref="J189:J194" si="101">$J$8*D189</f>
        <v>305</v>
      </c>
      <c r="K189" s="163">
        <f>+I189*8.75%</f>
        <v>682.5</v>
      </c>
      <c r="L189" s="163"/>
      <c r="M189" s="112">
        <f>IF(G189&gt;1000,1000*8.5%*12,G189*8.5%*12*D189)</f>
        <v>663.00000000000011</v>
      </c>
      <c r="N189" s="163"/>
      <c r="O189" s="163">
        <f t="shared" ref="O189:O195" si="102">SUM(L189:N189)</f>
        <v>663.00000000000011</v>
      </c>
      <c r="P189" s="165">
        <f t="shared" ref="P189:P195" si="103">SUM(I189:N189)</f>
        <v>9450.5</v>
      </c>
      <c r="Q189" s="114"/>
      <c r="R189" s="114"/>
      <c r="S189" s="114"/>
      <c r="T189" s="124"/>
      <c r="U189" s="124"/>
    </row>
    <row r="190" spans="1:21" s="125" customFormat="1" ht="11.25" x14ac:dyDescent="0.2">
      <c r="A190" s="115">
        <v>132</v>
      </c>
      <c r="B190" s="116" t="s">
        <v>418</v>
      </c>
      <c r="C190" s="116" t="s">
        <v>267</v>
      </c>
      <c r="D190" s="117">
        <v>2</v>
      </c>
      <c r="E190" s="118" t="s">
        <v>467</v>
      </c>
      <c r="F190" s="118"/>
      <c r="G190" s="162">
        <v>470</v>
      </c>
      <c r="H190" s="162">
        <f t="shared" si="99"/>
        <v>940</v>
      </c>
      <c r="I190" s="163">
        <f t="shared" si="100"/>
        <v>11280</v>
      </c>
      <c r="J190" s="113">
        <f t="shared" si="101"/>
        <v>610</v>
      </c>
      <c r="K190" s="163">
        <f t="shared" ref="K190:K195" si="104">+I190*8.75%</f>
        <v>986.99999999999989</v>
      </c>
      <c r="L190" s="167"/>
      <c r="M190" s="112">
        <f t="shared" ref="M190:M195" si="105">IF(G190&gt;1000,1000*8.5%*12,G190*8.5%*12*D190)</f>
        <v>958.80000000000007</v>
      </c>
      <c r="N190" s="163"/>
      <c r="O190" s="163">
        <f t="shared" si="102"/>
        <v>958.80000000000007</v>
      </c>
      <c r="P190" s="165">
        <f t="shared" si="103"/>
        <v>13835.8</v>
      </c>
      <c r="Q190" s="114"/>
      <c r="R190" s="114"/>
      <c r="S190" s="114"/>
      <c r="T190" s="124"/>
      <c r="U190" s="124"/>
    </row>
    <row r="191" spans="1:21" s="125" customFormat="1" ht="11.25" x14ac:dyDescent="0.2">
      <c r="A191" s="115">
        <v>133</v>
      </c>
      <c r="B191" s="116" t="s">
        <v>555</v>
      </c>
      <c r="C191" s="116" t="s">
        <v>267</v>
      </c>
      <c r="D191" s="117">
        <v>2</v>
      </c>
      <c r="E191" s="118" t="s">
        <v>467</v>
      </c>
      <c r="F191" s="118"/>
      <c r="G191" s="162">
        <v>430</v>
      </c>
      <c r="H191" s="162">
        <f t="shared" si="99"/>
        <v>860</v>
      </c>
      <c r="I191" s="163">
        <f t="shared" si="100"/>
        <v>10320</v>
      </c>
      <c r="J191" s="113">
        <f t="shared" si="101"/>
        <v>610</v>
      </c>
      <c r="K191" s="163">
        <f t="shared" si="104"/>
        <v>902.99999999999989</v>
      </c>
      <c r="L191" s="167"/>
      <c r="M191" s="112">
        <f t="shared" si="105"/>
        <v>877.2</v>
      </c>
      <c r="N191" s="163"/>
      <c r="O191" s="163">
        <f t="shared" si="102"/>
        <v>877.2</v>
      </c>
      <c r="P191" s="165">
        <f t="shared" si="103"/>
        <v>12710.2</v>
      </c>
      <c r="Q191" s="114"/>
      <c r="R191" s="114"/>
      <c r="S191" s="114"/>
      <c r="T191" s="124"/>
      <c r="U191" s="124"/>
    </row>
    <row r="192" spans="1:21" s="125" customFormat="1" ht="11.25" x14ac:dyDescent="0.2">
      <c r="A192" s="115">
        <v>134</v>
      </c>
      <c r="B192" s="116" t="s">
        <v>901</v>
      </c>
      <c r="C192" s="116" t="s">
        <v>267</v>
      </c>
      <c r="D192" s="117">
        <v>3</v>
      </c>
      <c r="E192" s="118" t="s">
        <v>467</v>
      </c>
      <c r="F192" s="118"/>
      <c r="G192" s="162">
        <v>395</v>
      </c>
      <c r="H192" s="162">
        <f t="shared" si="99"/>
        <v>1185</v>
      </c>
      <c r="I192" s="163">
        <f t="shared" si="100"/>
        <v>14220</v>
      </c>
      <c r="J192" s="113">
        <f t="shared" si="101"/>
        <v>915</v>
      </c>
      <c r="K192" s="163">
        <f t="shared" si="104"/>
        <v>1244.25</v>
      </c>
      <c r="L192" s="167"/>
      <c r="M192" s="112">
        <f t="shared" si="105"/>
        <v>1208.7</v>
      </c>
      <c r="N192" s="163"/>
      <c r="O192" s="163">
        <f t="shared" si="102"/>
        <v>1208.7</v>
      </c>
      <c r="P192" s="165">
        <f t="shared" si="103"/>
        <v>17587.95</v>
      </c>
      <c r="Q192" s="114"/>
      <c r="R192" s="114"/>
      <c r="S192" s="114"/>
      <c r="T192" s="124"/>
      <c r="U192" s="124"/>
    </row>
    <row r="193" spans="1:21" s="125" customFormat="1" ht="11.25" x14ac:dyDescent="0.2">
      <c r="A193" s="115">
        <v>135</v>
      </c>
      <c r="B193" s="116" t="s">
        <v>902</v>
      </c>
      <c r="C193" s="116" t="s">
        <v>267</v>
      </c>
      <c r="D193" s="117">
        <v>10</v>
      </c>
      <c r="E193" s="118" t="s">
        <v>467</v>
      </c>
      <c r="F193" s="118"/>
      <c r="G193" s="162">
        <v>379</v>
      </c>
      <c r="H193" s="162">
        <f t="shared" si="99"/>
        <v>3790</v>
      </c>
      <c r="I193" s="163">
        <f t="shared" si="100"/>
        <v>45480</v>
      </c>
      <c r="J193" s="113">
        <f t="shared" si="101"/>
        <v>3050</v>
      </c>
      <c r="K193" s="163">
        <f t="shared" si="104"/>
        <v>3979.4999999999995</v>
      </c>
      <c r="L193" s="167"/>
      <c r="M193" s="112">
        <f t="shared" si="105"/>
        <v>3865.8</v>
      </c>
      <c r="N193" s="163"/>
      <c r="O193" s="163">
        <f t="shared" si="102"/>
        <v>3865.8</v>
      </c>
      <c r="P193" s="165">
        <f t="shared" si="103"/>
        <v>56375.3</v>
      </c>
      <c r="Q193" s="114"/>
      <c r="R193" s="114"/>
      <c r="S193" s="114"/>
      <c r="T193" s="124"/>
      <c r="U193" s="124"/>
    </row>
    <row r="194" spans="1:21" s="125" customFormat="1" ht="11.25" x14ac:dyDescent="0.2">
      <c r="A194" s="115">
        <v>136</v>
      </c>
      <c r="B194" s="116" t="s">
        <v>903</v>
      </c>
      <c r="C194" s="116" t="s">
        <v>267</v>
      </c>
      <c r="D194" s="117">
        <v>26</v>
      </c>
      <c r="E194" s="118" t="s">
        <v>467</v>
      </c>
      <c r="F194" s="118"/>
      <c r="G194" s="162">
        <v>365</v>
      </c>
      <c r="H194" s="162">
        <f>D194*G194</f>
        <v>9490</v>
      </c>
      <c r="I194" s="163">
        <f>+H194*12</f>
        <v>113880</v>
      </c>
      <c r="J194" s="113">
        <f t="shared" si="101"/>
        <v>7930</v>
      </c>
      <c r="K194" s="163">
        <f t="shared" si="104"/>
        <v>9964.5</v>
      </c>
      <c r="L194" s="167"/>
      <c r="M194" s="112">
        <f t="shared" si="105"/>
        <v>9679.8000000000011</v>
      </c>
      <c r="N194" s="163"/>
      <c r="O194" s="163">
        <f>SUM(L194:N194)</f>
        <v>9679.8000000000011</v>
      </c>
      <c r="P194" s="165">
        <f t="shared" si="103"/>
        <v>141454.29999999999</v>
      </c>
      <c r="Q194" s="114"/>
      <c r="R194" s="114"/>
      <c r="S194" s="114"/>
      <c r="T194" s="124"/>
      <c r="U194" s="124"/>
    </row>
    <row r="195" spans="1:21" s="125" customFormat="1" ht="11.25" x14ac:dyDescent="0.2">
      <c r="A195" s="115">
        <v>137</v>
      </c>
      <c r="B195" s="116" t="s">
        <v>633</v>
      </c>
      <c r="C195" s="116" t="s">
        <v>267</v>
      </c>
      <c r="D195" s="117">
        <v>1</v>
      </c>
      <c r="E195" s="118" t="s">
        <v>467</v>
      </c>
      <c r="F195" s="118"/>
      <c r="G195" s="162">
        <v>365</v>
      </c>
      <c r="H195" s="162">
        <f t="shared" si="99"/>
        <v>365</v>
      </c>
      <c r="I195" s="163">
        <f t="shared" si="100"/>
        <v>4380</v>
      </c>
      <c r="J195" s="113">
        <f>$J$8*D195</f>
        <v>305</v>
      </c>
      <c r="K195" s="163">
        <f t="shared" si="104"/>
        <v>383.25</v>
      </c>
      <c r="L195" s="167"/>
      <c r="M195" s="112">
        <f t="shared" si="105"/>
        <v>372.3</v>
      </c>
      <c r="N195" s="163"/>
      <c r="O195" s="163">
        <f t="shared" si="102"/>
        <v>372.3</v>
      </c>
      <c r="P195" s="165">
        <f t="shared" si="103"/>
        <v>5440.55</v>
      </c>
      <c r="Q195" s="114"/>
      <c r="R195" s="114"/>
      <c r="S195" s="114"/>
      <c r="T195" s="124"/>
      <c r="U195" s="124"/>
    </row>
    <row r="196" spans="1:21" s="52" customFormat="1" ht="11.25" x14ac:dyDescent="0.2">
      <c r="A196" s="115"/>
      <c r="B196" s="121" t="s">
        <v>410</v>
      </c>
      <c r="C196" s="116"/>
      <c r="D196" s="117"/>
      <c r="E196" s="118"/>
      <c r="F196" s="118"/>
      <c r="G196" s="166">
        <f>SUM(G189:G195)</f>
        <v>3054</v>
      </c>
      <c r="H196" s="166">
        <f t="shared" ref="H196:O196" si="106">SUM(H189:H195)</f>
        <v>17280</v>
      </c>
      <c r="I196" s="166">
        <f t="shared" si="106"/>
        <v>207360</v>
      </c>
      <c r="J196" s="166">
        <f t="shared" si="106"/>
        <v>13725</v>
      </c>
      <c r="K196" s="166">
        <f t="shared" si="106"/>
        <v>18144</v>
      </c>
      <c r="L196" s="166">
        <f t="shared" si="106"/>
        <v>0</v>
      </c>
      <c r="M196" s="166">
        <f t="shared" si="106"/>
        <v>17625.600000000002</v>
      </c>
      <c r="N196" s="166">
        <f t="shared" si="106"/>
        <v>0</v>
      </c>
      <c r="O196" s="166">
        <f t="shared" si="106"/>
        <v>17625.600000000002</v>
      </c>
      <c r="P196" s="166">
        <f>SUM(P189:P195)</f>
        <v>256854.59999999998</v>
      </c>
      <c r="Q196" s="114"/>
      <c r="R196" s="114"/>
      <c r="S196" s="114"/>
      <c r="T196" s="114"/>
      <c r="U196" s="114"/>
    </row>
    <row r="197" spans="1:21" s="52" customFormat="1" ht="13.5" customHeight="1" x14ac:dyDescent="0.2">
      <c r="A197" s="115">
        <v>138</v>
      </c>
      <c r="B197" s="116" t="s">
        <v>523</v>
      </c>
      <c r="C197" s="116" t="s">
        <v>502</v>
      </c>
      <c r="D197" s="117">
        <v>1</v>
      </c>
      <c r="E197" s="118" t="s">
        <v>467</v>
      </c>
      <c r="F197" s="118" t="s">
        <v>251</v>
      </c>
      <c r="G197" s="162">
        <v>650</v>
      </c>
      <c r="H197" s="162">
        <f>D197*G197</f>
        <v>650</v>
      </c>
      <c r="I197" s="163">
        <f>+H197*12</f>
        <v>7800</v>
      </c>
      <c r="J197" s="113">
        <f>$J$8*D197</f>
        <v>305</v>
      </c>
      <c r="K197" s="163">
        <f>+I197*8.75%</f>
        <v>682.5</v>
      </c>
      <c r="L197" s="167"/>
      <c r="M197" s="112">
        <f>IF(G197&gt;1000,1000*8.5%*12,G197*8.5%*12*D197)</f>
        <v>663.00000000000011</v>
      </c>
      <c r="N197" s="163"/>
      <c r="O197" s="163">
        <f>SUM(L197:N197)</f>
        <v>663.00000000000011</v>
      </c>
      <c r="P197" s="165">
        <f>SUM(I197:N197)</f>
        <v>9450.5</v>
      </c>
      <c r="Q197" s="114"/>
      <c r="R197" s="114"/>
      <c r="S197" s="114"/>
      <c r="T197" s="114"/>
      <c r="U197" s="114"/>
    </row>
    <row r="198" spans="1:21" s="52" customFormat="1" ht="13.5" customHeight="1" x14ac:dyDescent="0.2">
      <c r="A198" s="115">
        <v>139</v>
      </c>
      <c r="B198" s="116" t="s">
        <v>904</v>
      </c>
      <c r="C198" s="116" t="s">
        <v>502</v>
      </c>
      <c r="D198" s="117">
        <v>4</v>
      </c>
      <c r="E198" s="118" t="s">
        <v>467</v>
      </c>
      <c r="F198" s="118" t="s">
        <v>251</v>
      </c>
      <c r="G198" s="162">
        <v>365</v>
      </c>
      <c r="H198" s="162">
        <f>D198*G198</f>
        <v>1460</v>
      </c>
      <c r="I198" s="163">
        <f>+H198*12</f>
        <v>17520</v>
      </c>
      <c r="J198" s="113">
        <f>$J$8*D198</f>
        <v>1220</v>
      </c>
      <c r="K198" s="163">
        <f>+I198*8.75%</f>
        <v>1533</v>
      </c>
      <c r="L198" s="167"/>
      <c r="M198" s="112">
        <f>IF(G198&gt;1000,1000*8.5%*12,G198*8.5%*12*D198)</f>
        <v>1489.2</v>
      </c>
      <c r="N198" s="163"/>
      <c r="O198" s="163">
        <f>SUM(L198:N198)</f>
        <v>1489.2</v>
      </c>
      <c r="P198" s="165">
        <f>SUM(I198:N198)</f>
        <v>21762.2</v>
      </c>
      <c r="Q198" s="114"/>
      <c r="R198" s="114"/>
      <c r="S198" s="114"/>
      <c r="T198" s="114"/>
      <c r="U198" s="114"/>
    </row>
    <row r="199" spans="1:21" s="52" customFormat="1" ht="11.25" x14ac:dyDescent="0.2">
      <c r="A199" s="115"/>
      <c r="B199" s="121" t="s">
        <v>410</v>
      </c>
      <c r="C199" s="116"/>
      <c r="D199" s="117"/>
      <c r="E199" s="118"/>
      <c r="F199" s="118"/>
      <c r="G199" s="166">
        <f t="shared" ref="G199:P199" si="107">SUM(G197:G198)</f>
        <v>1015</v>
      </c>
      <c r="H199" s="166">
        <f t="shared" si="107"/>
        <v>2110</v>
      </c>
      <c r="I199" s="166">
        <f t="shared" si="107"/>
        <v>25320</v>
      </c>
      <c r="J199" s="166">
        <f t="shared" si="107"/>
        <v>1525</v>
      </c>
      <c r="K199" s="166">
        <f t="shared" si="107"/>
        <v>2215.5</v>
      </c>
      <c r="L199" s="166">
        <f t="shared" si="107"/>
        <v>0</v>
      </c>
      <c r="M199" s="166">
        <f t="shared" si="107"/>
        <v>2152.2000000000003</v>
      </c>
      <c r="N199" s="166">
        <f t="shared" si="107"/>
        <v>0</v>
      </c>
      <c r="O199" s="166">
        <f t="shared" si="107"/>
        <v>2152.2000000000003</v>
      </c>
      <c r="P199" s="166">
        <f t="shared" si="107"/>
        <v>31212.7</v>
      </c>
      <c r="Q199" s="114"/>
      <c r="R199" s="114"/>
      <c r="S199" s="114"/>
      <c r="T199" s="114"/>
      <c r="U199" s="114"/>
    </row>
    <row r="200" spans="1:21" s="52" customFormat="1" ht="11.25" x14ac:dyDescent="0.2">
      <c r="A200" s="115">
        <v>140</v>
      </c>
      <c r="B200" s="116" t="s">
        <v>701</v>
      </c>
      <c r="C200" s="116" t="s">
        <v>643</v>
      </c>
      <c r="D200" s="117">
        <v>1</v>
      </c>
      <c r="E200" s="118" t="s">
        <v>467</v>
      </c>
      <c r="F200" s="118"/>
      <c r="G200" s="162">
        <v>450</v>
      </c>
      <c r="H200" s="162">
        <f t="shared" ref="H200:H202" si="108">D200*G200</f>
        <v>450</v>
      </c>
      <c r="I200" s="163">
        <f t="shared" ref="I200:I202" si="109">+H200*12</f>
        <v>5400</v>
      </c>
      <c r="J200" s="113">
        <f t="shared" ref="J200:J202" si="110">$J$8*D200</f>
        <v>305</v>
      </c>
      <c r="K200" s="163">
        <f>+I200*8.75%</f>
        <v>472.49999999999994</v>
      </c>
      <c r="L200" s="167"/>
      <c r="M200" s="112">
        <f t="shared" ref="M200:M202" si="111">IF(G200&gt;1000,1000*8.5%*12,G200*8.5%*12*D200)</f>
        <v>459</v>
      </c>
      <c r="N200" s="163"/>
      <c r="O200" s="163">
        <f t="shared" ref="O200:O202" si="112">SUM(L200:N200)</f>
        <v>459</v>
      </c>
      <c r="P200" s="165">
        <f t="shared" ref="P200:P202" si="113">SUM(I200:N200)</f>
        <v>6636.5</v>
      </c>
      <c r="Q200" s="114"/>
      <c r="R200" s="114"/>
      <c r="S200" s="114"/>
      <c r="T200" s="114"/>
      <c r="U200" s="114"/>
    </row>
    <row r="201" spans="1:21" s="52" customFormat="1" ht="11.25" x14ac:dyDescent="0.2">
      <c r="A201" s="115">
        <v>141</v>
      </c>
      <c r="B201" s="116" t="s">
        <v>888</v>
      </c>
      <c r="C201" s="116" t="s">
        <v>643</v>
      </c>
      <c r="D201" s="117">
        <v>1</v>
      </c>
      <c r="E201" s="118" t="s">
        <v>467</v>
      </c>
      <c r="F201" s="118"/>
      <c r="G201" s="162">
        <v>400</v>
      </c>
      <c r="H201" s="162">
        <f t="shared" si="108"/>
        <v>400</v>
      </c>
      <c r="I201" s="163">
        <f t="shared" si="109"/>
        <v>4800</v>
      </c>
      <c r="J201" s="113">
        <f t="shared" si="110"/>
        <v>305</v>
      </c>
      <c r="K201" s="163">
        <f t="shared" ref="K201:K202" si="114">+I201*8.75%</f>
        <v>420</v>
      </c>
      <c r="L201" s="167"/>
      <c r="M201" s="112">
        <f t="shared" si="111"/>
        <v>408</v>
      </c>
      <c r="N201" s="163"/>
      <c r="O201" s="163">
        <f t="shared" si="112"/>
        <v>408</v>
      </c>
      <c r="P201" s="165">
        <f t="shared" si="113"/>
        <v>5933</v>
      </c>
      <c r="Q201" s="114"/>
      <c r="R201" s="114"/>
      <c r="S201" s="114"/>
      <c r="T201" s="114"/>
      <c r="U201" s="114"/>
    </row>
    <row r="202" spans="1:21" s="52" customFormat="1" ht="11.25" x14ac:dyDescent="0.2">
      <c r="A202" s="115">
        <v>142</v>
      </c>
      <c r="B202" s="116" t="s">
        <v>890</v>
      </c>
      <c r="C202" s="116" t="s">
        <v>643</v>
      </c>
      <c r="D202" s="117">
        <v>5</v>
      </c>
      <c r="E202" s="118" t="s">
        <v>467</v>
      </c>
      <c r="F202" s="118"/>
      <c r="G202" s="162">
        <v>365</v>
      </c>
      <c r="H202" s="162">
        <f t="shared" si="108"/>
        <v>1825</v>
      </c>
      <c r="I202" s="163">
        <f t="shared" si="109"/>
        <v>21900</v>
      </c>
      <c r="J202" s="113">
        <f t="shared" si="110"/>
        <v>1525</v>
      </c>
      <c r="K202" s="163">
        <f t="shared" si="114"/>
        <v>1916.2499999999998</v>
      </c>
      <c r="L202" s="167"/>
      <c r="M202" s="112">
        <f t="shared" si="111"/>
        <v>1861.5</v>
      </c>
      <c r="N202" s="163"/>
      <c r="O202" s="163">
        <f t="shared" si="112"/>
        <v>1861.5</v>
      </c>
      <c r="P202" s="165">
        <f t="shared" si="113"/>
        <v>27202.75</v>
      </c>
      <c r="Q202" s="114"/>
      <c r="R202" s="114"/>
      <c r="S202" s="114"/>
      <c r="T202" s="114"/>
      <c r="U202" s="114"/>
    </row>
    <row r="203" spans="1:21" s="52" customFormat="1" ht="11.25" x14ac:dyDescent="0.2">
      <c r="A203" s="115"/>
      <c r="B203" s="121" t="s">
        <v>644</v>
      </c>
      <c r="C203" s="116"/>
      <c r="D203" s="117"/>
      <c r="E203" s="118"/>
      <c r="F203" s="118"/>
      <c r="G203" s="166">
        <f t="shared" ref="G203:P203" si="115">SUM(G200:G202)</f>
        <v>1215</v>
      </c>
      <c r="H203" s="166">
        <f t="shared" si="115"/>
        <v>2675</v>
      </c>
      <c r="I203" s="166">
        <f t="shared" si="115"/>
        <v>32100</v>
      </c>
      <c r="J203" s="166">
        <f t="shared" si="115"/>
        <v>2135</v>
      </c>
      <c r="K203" s="166">
        <f t="shared" si="115"/>
        <v>2808.75</v>
      </c>
      <c r="L203" s="166">
        <f t="shared" si="115"/>
        <v>0</v>
      </c>
      <c r="M203" s="166">
        <f t="shared" si="115"/>
        <v>2728.5</v>
      </c>
      <c r="N203" s="166">
        <f t="shared" si="115"/>
        <v>0</v>
      </c>
      <c r="O203" s="166">
        <f t="shared" si="115"/>
        <v>2728.5</v>
      </c>
      <c r="P203" s="166">
        <f t="shared" si="115"/>
        <v>39772.25</v>
      </c>
      <c r="Q203" s="114"/>
      <c r="R203" s="114"/>
      <c r="S203" s="114"/>
      <c r="T203" s="114"/>
      <c r="U203" s="114"/>
    </row>
    <row r="204" spans="1:21" s="52" customFormat="1" ht="11.25" x14ac:dyDescent="0.2">
      <c r="A204" s="115">
        <v>143</v>
      </c>
      <c r="B204" s="116" t="s">
        <v>649</v>
      </c>
      <c r="C204" s="116" t="s">
        <v>650</v>
      </c>
      <c r="D204" s="117">
        <v>1</v>
      </c>
      <c r="E204" s="118" t="s">
        <v>467</v>
      </c>
      <c r="F204" s="118"/>
      <c r="G204" s="162"/>
      <c r="H204" s="162">
        <f>D204*G204</f>
        <v>0</v>
      </c>
      <c r="I204" s="163">
        <f>+H204*12</f>
        <v>0</v>
      </c>
      <c r="J204" s="113"/>
      <c r="K204" s="163">
        <f>+I204*7.75%</f>
        <v>0</v>
      </c>
      <c r="L204" s="167"/>
      <c r="M204" s="112">
        <f>IF(G204&gt;1000,1000*8.5%*12,G204*8.5%*12*D204)</f>
        <v>0</v>
      </c>
      <c r="N204" s="163"/>
      <c r="O204" s="163">
        <f>SUM(L204:N204)</f>
        <v>0</v>
      </c>
      <c r="P204" s="165">
        <f>SUM(I204:N204)</f>
        <v>0</v>
      </c>
      <c r="Q204" s="114"/>
      <c r="R204" s="114"/>
      <c r="S204" s="114"/>
      <c r="T204" s="114"/>
      <c r="U204" s="114"/>
    </row>
    <row r="205" spans="1:21" s="52" customFormat="1" ht="11.25" x14ac:dyDescent="0.2">
      <c r="A205" s="115">
        <v>144</v>
      </c>
      <c r="B205" s="116" t="s">
        <v>548</v>
      </c>
      <c r="C205" s="116" t="s">
        <v>650</v>
      </c>
      <c r="D205" s="117">
        <v>1</v>
      </c>
      <c r="E205" s="118" t="s">
        <v>467</v>
      </c>
      <c r="F205" s="118"/>
      <c r="G205" s="162"/>
      <c r="H205" s="162">
        <f>D205*G205</f>
        <v>0</v>
      </c>
      <c r="I205" s="163">
        <f>+H205*12</f>
        <v>0</v>
      </c>
      <c r="J205" s="563"/>
      <c r="K205" s="163">
        <f>+I205*7.75%</f>
        <v>0</v>
      </c>
      <c r="L205" s="167"/>
      <c r="M205" s="112">
        <f>IF(G205&gt;1000,1000*8.5%*12,G205*8.5%*12*D205)</f>
        <v>0</v>
      </c>
      <c r="N205" s="163"/>
      <c r="O205" s="163">
        <f>SUM(L205:N205)</f>
        <v>0</v>
      </c>
      <c r="P205" s="165">
        <f>SUM(I205:N205)</f>
        <v>0</v>
      </c>
      <c r="Q205" s="114"/>
      <c r="R205" s="114"/>
      <c r="S205" s="114"/>
      <c r="T205" s="114"/>
      <c r="U205" s="114"/>
    </row>
    <row r="206" spans="1:21" s="52" customFormat="1" ht="11.25" x14ac:dyDescent="0.2">
      <c r="A206" s="115"/>
      <c r="B206" s="121" t="s">
        <v>644</v>
      </c>
      <c r="C206" s="121"/>
      <c r="D206" s="443"/>
      <c r="E206" s="623"/>
      <c r="F206" s="623"/>
      <c r="G206" s="166">
        <f t="shared" ref="G206:O206" si="116">SUM(G204:G205)</f>
        <v>0</v>
      </c>
      <c r="H206" s="166">
        <f t="shared" si="116"/>
        <v>0</v>
      </c>
      <c r="I206" s="167">
        <f t="shared" si="116"/>
        <v>0</v>
      </c>
      <c r="J206" s="166">
        <f t="shared" si="116"/>
        <v>0</v>
      </c>
      <c r="K206" s="167">
        <f t="shared" si="116"/>
        <v>0</v>
      </c>
      <c r="L206" s="166">
        <f t="shared" si="116"/>
        <v>0</v>
      </c>
      <c r="M206" s="145">
        <f t="shared" si="116"/>
        <v>0</v>
      </c>
      <c r="N206" s="167">
        <f t="shared" si="116"/>
        <v>0</v>
      </c>
      <c r="O206" s="167">
        <f t="shared" si="116"/>
        <v>0</v>
      </c>
      <c r="P206" s="862">
        <f>SUM(P204:P205)</f>
        <v>0</v>
      </c>
      <c r="Q206" s="114"/>
      <c r="R206" s="114"/>
      <c r="S206" s="114"/>
      <c r="T206" s="114"/>
      <c r="U206" s="114"/>
    </row>
    <row r="207" spans="1:21" s="52" customFormat="1" ht="11.25" x14ac:dyDescent="0.2">
      <c r="A207" s="115">
        <v>145</v>
      </c>
      <c r="B207" s="116" t="s">
        <v>704</v>
      </c>
      <c r="C207" s="116" t="s">
        <v>695</v>
      </c>
      <c r="D207" s="117">
        <v>1</v>
      </c>
      <c r="E207" s="118" t="s">
        <v>705</v>
      </c>
      <c r="F207" s="118"/>
      <c r="G207" s="162">
        <v>400</v>
      </c>
      <c r="H207" s="162">
        <f>D207*G207</f>
        <v>400</v>
      </c>
      <c r="I207" s="163">
        <f>+H207*12</f>
        <v>4800</v>
      </c>
      <c r="J207" s="162">
        <v>305</v>
      </c>
      <c r="K207" s="163">
        <f>+I207*8.75%</f>
        <v>420</v>
      </c>
      <c r="L207" s="162"/>
      <c r="M207" s="112">
        <f>IF(G207&gt;1000,1000*8.5%*12,G207*8.5%*12*D207)</f>
        <v>408</v>
      </c>
      <c r="N207" s="163"/>
      <c r="O207" s="163">
        <f>SUM(L207:N207)</f>
        <v>408</v>
      </c>
      <c r="P207" s="165">
        <f>SUM(I207:N207)</f>
        <v>5933</v>
      </c>
      <c r="Q207" s="114"/>
      <c r="R207" s="114"/>
      <c r="S207" s="114"/>
      <c r="T207" s="114"/>
      <c r="U207" s="114"/>
    </row>
    <row r="208" spans="1:21" s="52" customFormat="1" ht="11.25" x14ac:dyDescent="0.2">
      <c r="A208" s="115"/>
      <c r="B208" s="121" t="s">
        <v>409</v>
      </c>
      <c r="C208" s="116"/>
      <c r="D208" s="117"/>
      <c r="E208" s="118"/>
      <c r="F208" s="118"/>
      <c r="G208" s="166">
        <f>SUM(G207)</f>
        <v>400</v>
      </c>
      <c r="H208" s="166">
        <f t="shared" ref="H208:O208" si="117">SUM(H207)</f>
        <v>400</v>
      </c>
      <c r="I208" s="166">
        <f t="shared" si="117"/>
        <v>4800</v>
      </c>
      <c r="J208" s="166">
        <f t="shared" si="117"/>
        <v>305</v>
      </c>
      <c r="K208" s="166">
        <f t="shared" si="117"/>
        <v>420</v>
      </c>
      <c r="L208" s="166">
        <f t="shared" si="117"/>
        <v>0</v>
      </c>
      <c r="M208" s="166">
        <f t="shared" si="117"/>
        <v>408</v>
      </c>
      <c r="N208" s="166">
        <f t="shared" si="117"/>
        <v>0</v>
      </c>
      <c r="O208" s="166">
        <f t="shared" si="117"/>
        <v>408</v>
      </c>
      <c r="P208" s="166">
        <f>SUM(P207)</f>
        <v>5933</v>
      </c>
      <c r="Q208" s="114"/>
      <c r="R208" s="114"/>
      <c r="S208" s="114"/>
      <c r="T208" s="114"/>
      <c r="U208" s="114"/>
    </row>
    <row r="209" spans="1:21" s="52" customFormat="1" ht="12" thickBot="1" x14ac:dyDescent="0.25">
      <c r="A209" s="115"/>
      <c r="B209" s="121"/>
      <c r="C209" s="116"/>
      <c r="D209" s="117"/>
      <c r="E209" s="118"/>
      <c r="F209" s="118"/>
      <c r="G209" s="166"/>
      <c r="H209" s="166"/>
      <c r="I209" s="166"/>
      <c r="J209" s="542"/>
      <c r="K209" s="166"/>
      <c r="L209" s="166"/>
      <c r="M209" s="166"/>
      <c r="N209" s="166"/>
      <c r="O209" s="166"/>
      <c r="P209" s="596"/>
      <c r="Q209" s="114"/>
      <c r="R209" s="114"/>
      <c r="S209" s="114"/>
      <c r="T209" s="114"/>
      <c r="U209" s="114"/>
    </row>
    <row r="210" spans="1:21" s="125" customFormat="1" thickTop="1" thickBot="1" x14ac:dyDescent="0.25">
      <c r="A210" s="168"/>
      <c r="B210" s="132" t="s">
        <v>448</v>
      </c>
      <c r="C210" s="132"/>
      <c r="D210" s="134">
        <f>SUM(D160:D207)</f>
        <v>105</v>
      </c>
      <c r="E210" s="169"/>
      <c r="F210" s="169"/>
      <c r="G210" s="170">
        <f t="shared" ref="G210:P210" si="118">G171+G176+G196+G199+G188+G206+G203+G208</f>
        <v>16620</v>
      </c>
      <c r="H210" s="170">
        <f t="shared" si="118"/>
        <v>40559</v>
      </c>
      <c r="I210" s="170">
        <f t="shared" si="118"/>
        <v>486708</v>
      </c>
      <c r="J210" s="170">
        <f t="shared" si="118"/>
        <v>31110</v>
      </c>
      <c r="K210" s="170">
        <f t="shared" si="118"/>
        <v>42586.95</v>
      </c>
      <c r="L210" s="170">
        <f t="shared" si="118"/>
        <v>0</v>
      </c>
      <c r="M210" s="170">
        <f t="shared" si="118"/>
        <v>41370.180000000008</v>
      </c>
      <c r="N210" s="170">
        <f t="shared" si="118"/>
        <v>0</v>
      </c>
      <c r="O210" s="170">
        <f t="shared" si="118"/>
        <v>41370.180000000008</v>
      </c>
      <c r="P210" s="170">
        <f t="shared" si="118"/>
        <v>601775.13</v>
      </c>
      <c r="Q210" s="114"/>
      <c r="R210" s="114"/>
      <c r="S210" s="114"/>
      <c r="T210" s="124"/>
      <c r="U210" s="124"/>
    </row>
    <row r="211" spans="1:21" s="52" customFormat="1" ht="13.5" customHeight="1" thickTop="1" thickBot="1" x14ac:dyDescent="0.25">
      <c r="A211" s="171"/>
      <c r="C211" s="125"/>
      <c r="D211" s="125"/>
      <c r="E211" s="143"/>
      <c r="F211" s="143"/>
      <c r="G211" s="172"/>
      <c r="H211" s="144"/>
      <c r="I211" s="144"/>
      <c r="J211" s="144"/>
      <c r="K211" s="144"/>
      <c r="L211" s="144"/>
      <c r="M211" s="144"/>
      <c r="N211" s="144"/>
      <c r="O211" s="144"/>
      <c r="P211" s="173"/>
      <c r="Q211" s="114"/>
      <c r="R211" s="114"/>
      <c r="S211" s="114"/>
      <c r="T211" s="114"/>
      <c r="U211" s="114"/>
    </row>
    <row r="212" spans="1:21" s="52" customFormat="1" thickTop="1" thickBot="1" x14ac:dyDescent="0.25">
      <c r="A212" s="174"/>
      <c r="B212" s="133" t="s">
        <v>130</v>
      </c>
      <c r="C212" s="133"/>
      <c r="D212" s="134">
        <f>D210+D154+D127+D38</f>
        <v>219</v>
      </c>
      <c r="E212" s="135"/>
      <c r="F212" s="135"/>
      <c r="G212" s="180">
        <f t="shared" ref="G212:P212" si="119">G210+G127+G38+G154</f>
        <v>74826</v>
      </c>
      <c r="H212" s="180">
        <f t="shared" si="119"/>
        <v>107190</v>
      </c>
      <c r="I212" s="180">
        <f t="shared" si="119"/>
        <v>1286280</v>
      </c>
      <c r="J212" s="180">
        <f t="shared" si="119"/>
        <v>67710</v>
      </c>
      <c r="K212" s="180">
        <f t="shared" si="119"/>
        <v>112560.79999999999</v>
      </c>
      <c r="L212" s="180">
        <f t="shared" si="119"/>
        <v>0</v>
      </c>
      <c r="M212" s="180">
        <f t="shared" si="119"/>
        <v>103443.3</v>
      </c>
      <c r="N212" s="180">
        <f t="shared" si="119"/>
        <v>0</v>
      </c>
      <c r="O212" s="180">
        <f t="shared" si="119"/>
        <v>103443.3</v>
      </c>
      <c r="P212" s="180">
        <f t="shared" si="119"/>
        <v>1569994.0999999999</v>
      </c>
      <c r="Q212" s="114"/>
      <c r="R212" s="114"/>
      <c r="S212" s="114"/>
      <c r="T212" s="114"/>
      <c r="U212" s="114"/>
    </row>
    <row r="213" spans="1:21" s="52" customFormat="1" ht="13.5" customHeight="1" thickTop="1" thickBot="1" x14ac:dyDescent="0.25">
      <c r="A213" s="171"/>
      <c r="C213" s="125"/>
      <c r="D213" s="125"/>
      <c r="E213" s="143"/>
      <c r="F213" s="143"/>
      <c r="G213" s="175"/>
      <c r="H213" s="176"/>
      <c r="I213" s="176"/>
      <c r="J213" s="176"/>
      <c r="K213" s="176"/>
      <c r="L213" s="1173" t="s">
        <v>384</v>
      </c>
      <c r="M213" s="1173"/>
      <c r="N213" s="1173"/>
      <c r="O213" s="1173"/>
      <c r="P213" s="559"/>
      <c r="Q213" s="114"/>
      <c r="R213" s="114"/>
      <c r="S213" s="114"/>
      <c r="T213" s="114"/>
      <c r="U213" s="114"/>
    </row>
    <row r="214" spans="1:21" s="52" customFormat="1" thickTop="1" thickBot="1" x14ac:dyDescent="0.25">
      <c r="A214" s="131"/>
      <c r="B214" s="133" t="s">
        <v>411</v>
      </c>
      <c r="C214" s="133" t="s">
        <v>84</v>
      </c>
      <c r="D214" s="133">
        <v>11</v>
      </c>
      <c r="E214" s="135" t="s">
        <v>3</v>
      </c>
      <c r="F214" s="135"/>
      <c r="G214" s="177">
        <v>828</v>
      </c>
      <c r="H214" s="178">
        <f>G214*D214</f>
        <v>9108</v>
      </c>
      <c r="I214" s="179">
        <f>H214*12</f>
        <v>109296</v>
      </c>
      <c r="J214" s="563">
        <f>$A$4*D214</f>
        <v>3355</v>
      </c>
      <c r="K214" s="179">
        <f>(G214*8*12)*8.75%</f>
        <v>6955.2</v>
      </c>
      <c r="L214" s="179"/>
      <c r="M214" s="112">
        <f>IF(G214&gt;1000,1000*8.5%*12,G214*8.5%*12*7)</f>
        <v>5911.920000000001</v>
      </c>
      <c r="N214" s="179"/>
      <c r="O214" s="179">
        <f>SUM(M214:N214)</f>
        <v>5911.920000000001</v>
      </c>
      <c r="P214" s="675">
        <f>I214+J214+K214+M214</f>
        <v>125518.12</v>
      </c>
      <c r="Q214" s="114"/>
      <c r="R214" s="114"/>
      <c r="S214" s="114"/>
      <c r="T214" s="114"/>
      <c r="U214" s="114"/>
    </row>
    <row r="215" spans="1:21" s="52" customFormat="1" thickTop="1" thickBot="1" x14ac:dyDescent="0.25">
      <c r="A215" s="174"/>
      <c r="B215" s="133" t="s">
        <v>130</v>
      </c>
      <c r="C215" s="133"/>
      <c r="D215" s="134"/>
      <c r="E215" s="135"/>
      <c r="F215" s="135"/>
      <c r="G215" s="180">
        <f>G212+G214</f>
        <v>75654</v>
      </c>
      <c r="H215" s="180">
        <f>H212+H214</f>
        <v>116298</v>
      </c>
      <c r="I215" s="180">
        <f t="shared" ref="I215:O215" si="120">I212+I214</f>
        <v>1395576</v>
      </c>
      <c r="J215" s="180">
        <f t="shared" si="120"/>
        <v>71065</v>
      </c>
      <c r="K215" s="180">
        <f t="shared" si="120"/>
        <v>119515.99999999999</v>
      </c>
      <c r="L215" s="180">
        <f t="shared" si="120"/>
        <v>0</v>
      </c>
      <c r="M215" s="180">
        <f t="shared" si="120"/>
        <v>109355.22</v>
      </c>
      <c r="N215" s="180">
        <f t="shared" si="120"/>
        <v>0</v>
      </c>
      <c r="O215" s="180">
        <f t="shared" si="120"/>
        <v>109355.22</v>
      </c>
      <c r="P215" s="180">
        <f>P212+P214</f>
        <v>1695512.2199999997</v>
      </c>
      <c r="Q215" s="114"/>
      <c r="R215" s="114"/>
      <c r="S215" s="114"/>
      <c r="T215" s="114"/>
      <c r="U215" s="114"/>
    </row>
    <row r="216" spans="1:21" s="52" customFormat="1" ht="12" thickTop="1" x14ac:dyDescent="0.2">
      <c r="E216" s="50"/>
      <c r="F216" s="50"/>
      <c r="G216" s="181"/>
      <c r="H216" s="50"/>
      <c r="P216" s="114"/>
      <c r="Q216" s="114"/>
      <c r="R216" s="114"/>
      <c r="S216" s="114"/>
      <c r="T216" s="114"/>
      <c r="U216" s="114"/>
    </row>
    <row r="218" spans="1:21" ht="18.75" x14ac:dyDescent="0.3">
      <c r="B218" s="1145" t="s">
        <v>509</v>
      </c>
      <c r="C218" s="1145"/>
      <c r="D218" s="1145"/>
      <c r="E218" s="1145"/>
      <c r="F218" s="1145"/>
      <c r="G218" s="1145"/>
      <c r="H218" s="1145"/>
      <c r="I218" s="1145"/>
      <c r="J218" s="1145"/>
      <c r="K218" s="1145"/>
      <c r="L218" s="1145"/>
      <c r="M218" s="1145"/>
      <c r="N218" s="1145"/>
      <c r="O218" s="1145"/>
      <c r="P218" s="1145"/>
    </row>
    <row r="219" spans="1:21" ht="13.5" thickBot="1" x14ac:dyDescent="0.25"/>
    <row r="220" spans="1:21" s="52" customFormat="1" ht="18" customHeight="1" thickTop="1" thickBot="1" x14ac:dyDescent="0.25">
      <c r="A220" s="1162" t="s">
        <v>73</v>
      </c>
      <c r="B220" s="1165" t="s">
        <v>74</v>
      </c>
      <c r="C220" s="1168" t="s">
        <v>75</v>
      </c>
      <c r="D220" s="1146" t="s">
        <v>87</v>
      </c>
      <c r="E220" s="1146" t="s">
        <v>85</v>
      </c>
      <c r="F220" s="1146" t="s">
        <v>86</v>
      </c>
      <c r="G220" s="1149" t="s">
        <v>76</v>
      </c>
      <c r="H220" s="1150"/>
      <c r="I220" s="1151"/>
      <c r="J220" s="1146" t="s">
        <v>77</v>
      </c>
      <c r="K220" s="1156" t="s">
        <v>78</v>
      </c>
      <c r="L220" s="1156"/>
      <c r="M220" s="1156"/>
      <c r="N220" s="1156"/>
      <c r="O220" s="1156"/>
      <c r="P220" s="1157" t="s">
        <v>31</v>
      </c>
    </row>
    <row r="221" spans="1:21" s="52" customFormat="1" ht="11.25" customHeight="1" thickBot="1" x14ac:dyDescent="0.25">
      <c r="A221" s="1163"/>
      <c r="B221" s="1166"/>
      <c r="C221" s="1169"/>
      <c r="D221" s="1147"/>
      <c r="E221" s="1147"/>
      <c r="F221" s="1147"/>
      <c r="G221" s="1152"/>
      <c r="H221" s="1153"/>
      <c r="I221" s="1154"/>
      <c r="J221" s="1155"/>
      <c r="K221" s="102" t="s">
        <v>79</v>
      </c>
      <c r="L221" s="1160" t="s">
        <v>80</v>
      </c>
      <c r="M221" s="1161"/>
      <c r="N221" s="1161"/>
      <c r="O221" s="1161"/>
      <c r="P221" s="1158"/>
    </row>
    <row r="222" spans="1:21" s="52" customFormat="1" ht="34.5" thickBot="1" x14ac:dyDescent="0.25">
      <c r="A222" s="1164"/>
      <c r="B222" s="1167"/>
      <c r="C222" s="1170"/>
      <c r="D222" s="1148"/>
      <c r="E222" s="1148"/>
      <c r="F222" s="1148"/>
      <c r="G222" s="103" t="s">
        <v>275</v>
      </c>
      <c r="H222" s="104" t="s">
        <v>276</v>
      </c>
      <c r="I222" s="104" t="s">
        <v>277</v>
      </c>
      <c r="J222" s="105" t="s">
        <v>81</v>
      </c>
      <c r="K222" s="105" t="s">
        <v>940</v>
      </c>
      <c r="L222" s="106" t="s">
        <v>271</v>
      </c>
      <c r="M222" s="104" t="s">
        <v>645</v>
      </c>
      <c r="N222" s="106" t="s">
        <v>82</v>
      </c>
      <c r="O222" s="107" t="s">
        <v>25</v>
      </c>
      <c r="P222" s="1159"/>
    </row>
    <row r="223" spans="1:21" s="52" customFormat="1" ht="13.5" customHeight="1" thickTop="1" x14ac:dyDescent="0.2">
      <c r="A223" s="115">
        <v>1</v>
      </c>
      <c r="B223" s="116" t="s">
        <v>774</v>
      </c>
      <c r="C223" s="959" t="s">
        <v>702</v>
      </c>
      <c r="D223" s="117">
        <v>2</v>
      </c>
      <c r="E223" s="118" t="s">
        <v>466</v>
      </c>
      <c r="F223" s="118"/>
      <c r="G223" s="541">
        <v>100</v>
      </c>
      <c r="H223" s="541">
        <f>G223*D223</f>
        <v>200</v>
      </c>
      <c r="I223" s="563">
        <f>H223*12</f>
        <v>2400</v>
      </c>
      <c r="J223" s="113">
        <f t="shared" ref="J223:J234" si="121">$J$8*D223</f>
        <v>610</v>
      </c>
      <c r="K223" s="113"/>
      <c r="L223" s="123">
        <v>0</v>
      </c>
      <c r="M223" s="113"/>
      <c r="N223" s="113">
        <v>0</v>
      </c>
      <c r="O223" s="113">
        <v>0</v>
      </c>
      <c r="P223" s="120">
        <f>SUM(I223:N223)</f>
        <v>3010</v>
      </c>
      <c r="Q223" s="114"/>
      <c r="R223" s="114"/>
      <c r="S223" s="114"/>
      <c r="T223" s="114"/>
      <c r="U223" s="114"/>
    </row>
    <row r="224" spans="1:21" s="125" customFormat="1" ht="22.5" x14ac:dyDescent="0.2">
      <c r="A224" s="115">
        <v>2</v>
      </c>
      <c r="B224" s="116" t="s">
        <v>419</v>
      </c>
      <c r="C224" s="959" t="s">
        <v>961</v>
      </c>
      <c r="D224" s="117">
        <v>1</v>
      </c>
      <c r="E224" s="118" t="s">
        <v>466</v>
      </c>
      <c r="F224" s="118"/>
      <c r="G224" s="541">
        <v>528</v>
      </c>
      <c r="H224" s="541">
        <f t="shared" ref="H224:H234" si="122">G224*D224</f>
        <v>528</v>
      </c>
      <c r="I224" s="563">
        <f t="shared" ref="I224:I234" si="123">H224*12</f>
        <v>6336</v>
      </c>
      <c r="J224" s="113">
        <f t="shared" si="121"/>
        <v>305</v>
      </c>
      <c r="K224" s="113">
        <f t="shared" ref="K224:K234" si="124">+I224*8.75%</f>
        <v>554.4</v>
      </c>
      <c r="L224" s="123"/>
      <c r="M224" s="113">
        <f>IF(G224&gt;1000,1000*8.5%*12,G224*8.5%*12*D224)</f>
        <v>538.56000000000006</v>
      </c>
      <c r="N224" s="113"/>
      <c r="O224" s="113">
        <f t="shared" ref="O224:O234" si="125">SUM(L224:N224)</f>
        <v>538.56000000000006</v>
      </c>
      <c r="P224" s="120">
        <f t="shared" ref="P224:P234" si="126">SUM(I224:N224)</f>
        <v>7733.96</v>
      </c>
      <c r="Q224" s="114"/>
      <c r="R224" s="114"/>
      <c r="S224" s="114"/>
      <c r="T224" s="124"/>
      <c r="U224" s="124"/>
    </row>
    <row r="225" spans="1:21" s="125" customFormat="1" ht="11.25" x14ac:dyDescent="0.2">
      <c r="A225" s="115">
        <v>3</v>
      </c>
      <c r="B225" s="116" t="s">
        <v>609</v>
      </c>
      <c r="C225" s="959" t="s">
        <v>610</v>
      </c>
      <c r="D225" s="117">
        <v>1</v>
      </c>
      <c r="E225" s="118" t="s">
        <v>466</v>
      </c>
      <c r="F225" s="118" t="s">
        <v>208</v>
      </c>
      <c r="G225" s="541">
        <v>365</v>
      </c>
      <c r="H225" s="541">
        <f t="shared" si="122"/>
        <v>365</v>
      </c>
      <c r="I225" s="563">
        <f t="shared" si="123"/>
        <v>4380</v>
      </c>
      <c r="J225" s="113">
        <f t="shared" si="121"/>
        <v>305</v>
      </c>
      <c r="K225" s="113">
        <f t="shared" si="124"/>
        <v>383.25</v>
      </c>
      <c r="L225" s="113">
        <v>0</v>
      </c>
      <c r="M225" s="113">
        <f>IF(G225&gt;1000,1000*8.5%*12,G225*8.5%*12*D225)</f>
        <v>372.3</v>
      </c>
      <c r="N225" s="113">
        <v>0</v>
      </c>
      <c r="O225" s="113">
        <f t="shared" si="125"/>
        <v>372.3</v>
      </c>
      <c r="P225" s="120">
        <f t="shared" si="126"/>
        <v>5440.55</v>
      </c>
      <c r="Q225" s="114"/>
      <c r="R225" s="114"/>
      <c r="S225" s="114"/>
      <c r="T225" s="124"/>
      <c r="U225" s="124"/>
    </row>
    <row r="226" spans="1:21" s="125" customFormat="1" ht="11.25" x14ac:dyDescent="0.2">
      <c r="A226" s="115">
        <v>4</v>
      </c>
      <c r="B226" s="116" t="s">
        <v>962</v>
      </c>
      <c r="C226" s="959" t="s">
        <v>611</v>
      </c>
      <c r="D226" s="117">
        <v>1</v>
      </c>
      <c r="E226" s="118" t="s">
        <v>466</v>
      </c>
      <c r="F226" s="118"/>
      <c r="G226" s="541">
        <v>550</v>
      </c>
      <c r="H226" s="541">
        <f t="shared" si="122"/>
        <v>550</v>
      </c>
      <c r="I226" s="563">
        <f t="shared" si="123"/>
        <v>6600</v>
      </c>
      <c r="J226" s="113">
        <f t="shared" si="121"/>
        <v>305</v>
      </c>
      <c r="K226" s="113">
        <f t="shared" si="124"/>
        <v>577.5</v>
      </c>
      <c r="L226" s="113"/>
      <c r="M226" s="113">
        <f t="shared" ref="M226:M234" si="127">IF(G226&gt;1000,1000*8.5%*12,G226*8.5%*12*D226)</f>
        <v>561</v>
      </c>
      <c r="N226" s="113"/>
      <c r="O226" s="113">
        <f t="shared" si="125"/>
        <v>561</v>
      </c>
      <c r="P226" s="120">
        <f t="shared" si="126"/>
        <v>8043.5</v>
      </c>
      <c r="Q226" s="114"/>
      <c r="R226" s="114"/>
      <c r="S226" s="114"/>
      <c r="T226" s="124"/>
      <c r="U226" s="124"/>
    </row>
    <row r="227" spans="1:21" s="125" customFormat="1" ht="11.25" x14ac:dyDescent="0.2">
      <c r="A227" s="115">
        <v>5</v>
      </c>
      <c r="B227" s="116" t="s">
        <v>905</v>
      </c>
      <c r="C227" s="959" t="s">
        <v>611</v>
      </c>
      <c r="D227" s="117">
        <v>1</v>
      </c>
      <c r="E227" s="118" t="s">
        <v>466</v>
      </c>
      <c r="F227" s="118"/>
      <c r="G227" s="541">
        <v>365</v>
      </c>
      <c r="H227" s="541">
        <f t="shared" si="122"/>
        <v>365</v>
      </c>
      <c r="I227" s="563">
        <f t="shared" si="123"/>
        <v>4380</v>
      </c>
      <c r="J227" s="113">
        <f t="shared" si="121"/>
        <v>305</v>
      </c>
      <c r="K227" s="113">
        <f t="shared" si="124"/>
        <v>383.25</v>
      </c>
      <c r="L227" s="113"/>
      <c r="M227" s="113">
        <f t="shared" si="127"/>
        <v>372.3</v>
      </c>
      <c r="N227" s="113"/>
      <c r="O227" s="113">
        <f t="shared" si="125"/>
        <v>372.3</v>
      </c>
      <c r="P227" s="120">
        <f t="shared" si="126"/>
        <v>5440.55</v>
      </c>
      <c r="Q227" s="114"/>
      <c r="R227" s="114"/>
      <c r="S227" s="114"/>
      <c r="T227" s="124"/>
      <c r="U227" s="124"/>
    </row>
    <row r="228" spans="1:21" s="125" customFormat="1" ht="11.25" x14ac:dyDescent="0.2">
      <c r="A228" s="115">
        <v>6</v>
      </c>
      <c r="B228" s="116" t="s">
        <v>963</v>
      </c>
      <c r="C228" s="959" t="s">
        <v>611</v>
      </c>
      <c r="D228" s="117">
        <v>1</v>
      </c>
      <c r="E228" s="118" t="s">
        <v>466</v>
      </c>
      <c r="F228" s="118"/>
      <c r="G228" s="541">
        <v>550</v>
      </c>
      <c r="H228" s="541">
        <f t="shared" si="122"/>
        <v>550</v>
      </c>
      <c r="I228" s="563">
        <f t="shared" si="123"/>
        <v>6600</v>
      </c>
      <c r="J228" s="113">
        <f t="shared" si="121"/>
        <v>305</v>
      </c>
      <c r="K228" s="113">
        <f t="shared" si="124"/>
        <v>577.5</v>
      </c>
      <c r="L228" s="113"/>
      <c r="M228" s="113">
        <f t="shared" si="127"/>
        <v>561</v>
      </c>
      <c r="N228" s="113"/>
      <c r="O228" s="113">
        <f t="shared" si="125"/>
        <v>561</v>
      </c>
      <c r="P228" s="120">
        <f t="shared" si="126"/>
        <v>8043.5</v>
      </c>
      <c r="Q228" s="114"/>
      <c r="R228" s="114"/>
      <c r="S228" s="114"/>
      <c r="T228" s="124"/>
      <c r="U228" s="124"/>
    </row>
    <row r="229" spans="1:21" s="125" customFormat="1" ht="11.25" x14ac:dyDescent="0.2">
      <c r="A229" s="115">
        <v>7</v>
      </c>
      <c r="B229" s="116" t="s">
        <v>906</v>
      </c>
      <c r="C229" s="959" t="s">
        <v>687</v>
      </c>
      <c r="D229" s="117"/>
      <c r="E229" s="118" t="s">
        <v>466</v>
      </c>
      <c r="F229" s="118"/>
      <c r="G229" s="541"/>
      <c r="H229" s="541">
        <v>1095</v>
      </c>
      <c r="I229" s="563">
        <v>13140</v>
      </c>
      <c r="J229" s="113"/>
      <c r="K229" s="113"/>
      <c r="L229" s="113"/>
      <c r="M229" s="113"/>
      <c r="N229" s="113"/>
      <c r="O229" s="113">
        <f t="shared" si="125"/>
        <v>0</v>
      </c>
      <c r="P229" s="120">
        <f>I229</f>
        <v>13140</v>
      </c>
      <c r="Q229" s="114"/>
      <c r="R229" s="114"/>
      <c r="S229" s="114"/>
      <c r="T229" s="124"/>
      <c r="U229" s="124"/>
    </row>
    <row r="230" spans="1:21" s="125" customFormat="1" ht="11.25" x14ac:dyDescent="0.2">
      <c r="A230" s="115">
        <v>8</v>
      </c>
      <c r="B230" s="116" t="s">
        <v>507</v>
      </c>
      <c r="C230" s="959" t="s">
        <v>508</v>
      </c>
      <c r="D230" s="117">
        <v>3</v>
      </c>
      <c r="E230" s="118" t="s">
        <v>466</v>
      </c>
      <c r="F230" s="118"/>
      <c r="G230" s="541">
        <v>365</v>
      </c>
      <c r="H230" s="541">
        <f t="shared" si="122"/>
        <v>1095</v>
      </c>
      <c r="I230" s="563">
        <f t="shared" si="123"/>
        <v>13140</v>
      </c>
      <c r="J230" s="113">
        <v>305</v>
      </c>
      <c r="K230" s="113">
        <f t="shared" si="124"/>
        <v>1149.75</v>
      </c>
      <c r="L230" s="123"/>
      <c r="M230" s="113">
        <f t="shared" si="127"/>
        <v>1116.9000000000001</v>
      </c>
      <c r="N230" s="113"/>
      <c r="O230" s="113">
        <f t="shared" si="125"/>
        <v>1116.9000000000001</v>
      </c>
      <c r="P230" s="120">
        <f t="shared" si="126"/>
        <v>15711.65</v>
      </c>
      <c r="Q230" s="114"/>
      <c r="R230" s="114"/>
      <c r="S230" s="114"/>
      <c r="T230" s="124"/>
      <c r="U230" s="124"/>
    </row>
    <row r="231" spans="1:21" s="125" customFormat="1" ht="11.25" x14ac:dyDescent="0.2">
      <c r="A231" s="115">
        <v>9</v>
      </c>
      <c r="B231" s="116" t="s">
        <v>964</v>
      </c>
      <c r="C231" s="959" t="s">
        <v>965</v>
      </c>
      <c r="D231" s="117">
        <v>1</v>
      </c>
      <c r="E231" s="118" t="s">
        <v>466</v>
      </c>
      <c r="F231" s="118"/>
      <c r="G231" s="541">
        <v>450</v>
      </c>
      <c r="H231" s="541">
        <f t="shared" si="122"/>
        <v>450</v>
      </c>
      <c r="I231" s="563">
        <f t="shared" si="123"/>
        <v>5400</v>
      </c>
      <c r="J231" s="113">
        <f t="shared" si="121"/>
        <v>305</v>
      </c>
      <c r="K231" s="113"/>
      <c r="L231" s="113">
        <v>38.25</v>
      </c>
      <c r="M231" s="113">
        <f t="shared" si="127"/>
        <v>459</v>
      </c>
      <c r="N231" s="113"/>
      <c r="O231" s="113">
        <f>SUM(L231:N231)</f>
        <v>497.25</v>
      </c>
      <c r="P231" s="120">
        <f t="shared" si="126"/>
        <v>6202.25</v>
      </c>
      <c r="Q231" s="114"/>
      <c r="R231" s="114"/>
      <c r="S231" s="114"/>
      <c r="T231" s="124"/>
      <c r="U231" s="124"/>
    </row>
    <row r="232" spans="1:21" s="125" customFormat="1" ht="11.25" x14ac:dyDescent="0.2">
      <c r="A232" s="115">
        <v>10</v>
      </c>
      <c r="B232" s="116" t="s">
        <v>966</v>
      </c>
      <c r="C232" s="959" t="s">
        <v>965</v>
      </c>
      <c r="D232" s="117">
        <v>4</v>
      </c>
      <c r="E232" s="118" t="s">
        <v>466</v>
      </c>
      <c r="F232" s="118"/>
      <c r="G232" s="541">
        <v>365</v>
      </c>
      <c r="H232" s="541">
        <f t="shared" si="122"/>
        <v>1460</v>
      </c>
      <c r="I232" s="563">
        <f t="shared" si="123"/>
        <v>17520</v>
      </c>
      <c r="J232" s="113">
        <f t="shared" si="121"/>
        <v>1220</v>
      </c>
      <c r="K232" s="113">
        <f t="shared" si="124"/>
        <v>1533</v>
      </c>
      <c r="L232" s="113"/>
      <c r="M232" s="113">
        <f t="shared" si="127"/>
        <v>1489.2</v>
      </c>
      <c r="N232" s="113"/>
      <c r="O232" s="113">
        <f t="shared" si="125"/>
        <v>1489.2</v>
      </c>
      <c r="P232" s="120">
        <f t="shared" si="126"/>
        <v>21762.2</v>
      </c>
      <c r="Q232" s="114"/>
      <c r="R232" s="114"/>
      <c r="S232" s="114"/>
      <c r="T232" s="124"/>
      <c r="U232" s="124"/>
    </row>
    <row r="233" spans="1:21" s="125" customFormat="1" ht="11.25" x14ac:dyDescent="0.2">
      <c r="A233" s="115">
        <v>11</v>
      </c>
      <c r="B233" s="116" t="s">
        <v>967</v>
      </c>
      <c r="C233" s="959" t="s">
        <v>415</v>
      </c>
      <c r="D233" s="117">
        <v>5</v>
      </c>
      <c r="E233" s="118" t="s">
        <v>466</v>
      </c>
      <c r="F233" s="118"/>
      <c r="G233" s="541">
        <v>450</v>
      </c>
      <c r="H233" s="541">
        <f>G233*D233</f>
        <v>2250</v>
      </c>
      <c r="I233" s="563">
        <f t="shared" si="123"/>
        <v>27000</v>
      </c>
      <c r="J233" s="113">
        <f>305*D233</f>
        <v>1525</v>
      </c>
      <c r="K233" s="113">
        <f t="shared" si="124"/>
        <v>2362.5</v>
      </c>
      <c r="L233" s="113"/>
      <c r="M233" s="113">
        <f t="shared" si="127"/>
        <v>2295</v>
      </c>
      <c r="N233" s="113"/>
      <c r="O233" s="113">
        <f t="shared" si="125"/>
        <v>2295</v>
      </c>
      <c r="P233" s="120">
        <f>SUM(I233:N233)</f>
        <v>33182.5</v>
      </c>
      <c r="Q233" s="114"/>
      <c r="R233" s="114"/>
      <c r="S233" s="114"/>
      <c r="T233" s="124"/>
      <c r="U233" s="124"/>
    </row>
    <row r="234" spans="1:21" s="125" customFormat="1" ht="12" thickBot="1" x14ac:dyDescent="0.25">
      <c r="A234" s="115">
        <v>12</v>
      </c>
      <c r="B234" s="116" t="s">
        <v>775</v>
      </c>
      <c r="C234" s="959" t="s">
        <v>703</v>
      </c>
      <c r="D234" s="117">
        <v>6</v>
      </c>
      <c r="E234" s="118" t="s">
        <v>466</v>
      </c>
      <c r="F234" s="118"/>
      <c r="G234" s="541">
        <v>365</v>
      </c>
      <c r="H234" s="541">
        <f t="shared" si="122"/>
        <v>2190</v>
      </c>
      <c r="I234" s="563">
        <f t="shared" si="123"/>
        <v>26280</v>
      </c>
      <c r="J234" s="113">
        <f t="shared" si="121"/>
        <v>1830</v>
      </c>
      <c r="K234" s="113">
        <f t="shared" si="124"/>
        <v>2299.5</v>
      </c>
      <c r="L234" s="113"/>
      <c r="M234" s="113">
        <f t="shared" si="127"/>
        <v>2233.8000000000002</v>
      </c>
      <c r="N234" s="113"/>
      <c r="O234" s="113">
        <f t="shared" si="125"/>
        <v>2233.8000000000002</v>
      </c>
      <c r="P234" s="120">
        <f t="shared" si="126"/>
        <v>32643.3</v>
      </c>
      <c r="Q234" s="114"/>
      <c r="R234" s="114"/>
      <c r="S234" s="114"/>
      <c r="T234" s="124"/>
      <c r="U234" s="124"/>
    </row>
    <row r="235" spans="1:21" s="125" customFormat="1" thickTop="1" thickBot="1" x14ac:dyDescent="0.25">
      <c r="A235" s="149"/>
      <c r="B235" s="150" t="s">
        <v>446</v>
      </c>
      <c r="C235" s="151"/>
      <c r="D235" s="152">
        <f>SUM(D223:D234)</f>
        <v>26</v>
      </c>
      <c r="E235" s="153"/>
      <c r="F235" s="153"/>
      <c r="G235" s="154">
        <f t="shared" ref="G235:P235" si="128">SUM(G223:G234)</f>
        <v>4453</v>
      </c>
      <c r="H235" s="154">
        <f t="shared" si="128"/>
        <v>11098</v>
      </c>
      <c r="I235" s="154">
        <f t="shared" si="128"/>
        <v>133176</v>
      </c>
      <c r="J235" s="154">
        <f t="shared" si="128"/>
        <v>7320</v>
      </c>
      <c r="K235" s="154">
        <f t="shared" si="128"/>
        <v>9820.65</v>
      </c>
      <c r="L235" s="154">
        <f t="shared" si="128"/>
        <v>38.25</v>
      </c>
      <c r="M235" s="154">
        <f t="shared" si="128"/>
        <v>9999.0600000000013</v>
      </c>
      <c r="N235" s="154">
        <f t="shared" si="128"/>
        <v>0</v>
      </c>
      <c r="O235" s="154">
        <f t="shared" si="128"/>
        <v>10037.310000000001</v>
      </c>
      <c r="P235" s="154">
        <f t="shared" si="128"/>
        <v>160353.96</v>
      </c>
      <c r="Q235" s="114"/>
      <c r="R235" s="114"/>
      <c r="S235" s="114"/>
      <c r="T235" s="124"/>
      <c r="U235" s="124"/>
    </row>
    <row r="236" spans="1:21" ht="13.5" thickTop="1" x14ac:dyDescent="0.2">
      <c r="R236" s="601"/>
    </row>
    <row r="239" spans="1:21" x14ac:dyDescent="0.2">
      <c r="P239" s="676">
        <f>P235+P215</f>
        <v>1855866.1799999997</v>
      </c>
    </row>
    <row r="248" spans="13:13" x14ac:dyDescent="0.2">
      <c r="M248" s="182"/>
    </row>
  </sheetData>
  <mergeCells count="60">
    <mergeCell ref="A157:A159"/>
    <mergeCell ref="B157:B159"/>
    <mergeCell ref="G41:I42"/>
    <mergeCell ref="J41:J42"/>
    <mergeCell ref="C130:C132"/>
    <mergeCell ref="D130:D132"/>
    <mergeCell ref="E130:E132"/>
    <mergeCell ref="F130:F132"/>
    <mergeCell ref="G130:I131"/>
    <mergeCell ref="J130:J131"/>
    <mergeCell ref="A41:A43"/>
    <mergeCell ref="B41:B43"/>
    <mergeCell ref="C41:C43"/>
    <mergeCell ref="D41:D43"/>
    <mergeCell ref="A130:A132"/>
    <mergeCell ref="B130:B132"/>
    <mergeCell ref="C157:C159"/>
    <mergeCell ref="D157:D159"/>
    <mergeCell ref="E157:E159"/>
    <mergeCell ref="F157:F159"/>
    <mergeCell ref="K130:O130"/>
    <mergeCell ref="K157:O157"/>
    <mergeCell ref="G157:I158"/>
    <mergeCell ref="J157:J158"/>
    <mergeCell ref="L213:O213"/>
    <mergeCell ref="G5:I6"/>
    <mergeCell ref="J5:J6"/>
    <mergeCell ref="K5:O5"/>
    <mergeCell ref="L6:O6"/>
    <mergeCell ref="K41:O41"/>
    <mergeCell ref="A1:P1"/>
    <mergeCell ref="A2:P2"/>
    <mergeCell ref="A3:P3"/>
    <mergeCell ref="A5:A7"/>
    <mergeCell ref="P5:P7"/>
    <mergeCell ref="B5:B7"/>
    <mergeCell ref="C5:C7"/>
    <mergeCell ref="E5:E7"/>
    <mergeCell ref="F5:F7"/>
    <mergeCell ref="D5:D7"/>
    <mergeCell ref="P157:P159"/>
    <mergeCell ref="L158:O158"/>
    <mergeCell ref="P130:P132"/>
    <mergeCell ref="L131:O131"/>
    <mergeCell ref="E41:E43"/>
    <mergeCell ref="F41:F43"/>
    <mergeCell ref="P41:P43"/>
    <mergeCell ref="L42:O42"/>
    <mergeCell ref="A220:A222"/>
    <mergeCell ref="B220:B222"/>
    <mergeCell ref="C220:C222"/>
    <mergeCell ref="D220:D222"/>
    <mergeCell ref="E220:E222"/>
    <mergeCell ref="B218:P218"/>
    <mergeCell ref="F220:F222"/>
    <mergeCell ref="G220:I221"/>
    <mergeCell ref="J220:J221"/>
    <mergeCell ref="K220:O220"/>
    <mergeCell ref="P220:P222"/>
    <mergeCell ref="L221:O221"/>
  </mergeCells>
  <phoneticPr fontId="0" type="noConversion"/>
  <printOptions horizontalCentered="1" verticalCentered="1"/>
  <pageMargins left="0.27559055118110237" right="0.23622047244094491" top="0.27559055118110237" bottom="0.35433070866141736" header="0" footer="0"/>
  <pageSetup scale="75" orientation="landscape" horizontalDpi="4294967294" verticalDpi="300" r:id="rId1"/>
  <headerFooter alignWithMargins="0"/>
  <rowBreaks count="4" manualBreakCount="4">
    <brk id="39" max="16383" man="1"/>
    <brk id="128" max="16383" man="1"/>
    <brk id="155" max="16383" man="1"/>
    <brk id="188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>
    <pageSetUpPr fitToPage="1"/>
  </sheetPr>
  <dimension ref="A1:AP121"/>
  <sheetViews>
    <sheetView showGridLines="0" topLeftCell="A87" zoomScale="115" zoomScaleNormal="115" workbookViewId="0">
      <selection activeCell="A87" sqref="A87:B87"/>
    </sheetView>
  </sheetViews>
  <sheetFormatPr baseColWidth="10" defaultColWidth="11.42578125" defaultRowHeight="12.75" x14ac:dyDescent="0.2"/>
  <cols>
    <col min="1" max="1" width="6.5703125" style="30" customWidth="1"/>
    <col min="2" max="2" width="22.140625" style="30" customWidth="1"/>
    <col min="3" max="3" width="11" style="30" customWidth="1"/>
    <col min="4" max="4" width="10.85546875" style="30" customWidth="1"/>
    <col min="5" max="5" width="11.28515625" style="30" customWidth="1"/>
    <col min="6" max="6" width="10.85546875" style="30" customWidth="1"/>
    <col min="7" max="7" width="11.5703125" style="30" customWidth="1"/>
    <col min="8" max="8" width="9.85546875" style="30" customWidth="1"/>
    <col min="9" max="9" width="10.85546875" style="30" customWidth="1"/>
    <col min="10" max="10" width="12.42578125" style="30" customWidth="1"/>
    <col min="11" max="11" width="13.85546875" style="30" bestFit="1" customWidth="1"/>
    <col min="12" max="12" width="9.85546875" style="30" customWidth="1"/>
    <col min="13" max="13" width="10.28515625" style="30" customWidth="1"/>
    <col min="14" max="14" width="12.5703125" style="30" bestFit="1" customWidth="1"/>
    <col min="15" max="15" width="12.7109375" style="30" customWidth="1"/>
    <col min="16" max="16" width="11" style="30" customWidth="1"/>
    <col min="17" max="17" width="10.5703125" style="30" customWidth="1"/>
    <col min="18" max="18" width="11.28515625" style="30" customWidth="1"/>
    <col min="19" max="19" width="10.85546875" style="30" customWidth="1"/>
    <col min="20" max="20" width="9.42578125" style="30" customWidth="1"/>
    <col min="21" max="21" width="10.28515625" style="30" customWidth="1"/>
    <col min="22" max="22" width="10.85546875" style="30" customWidth="1"/>
    <col min="23" max="23" width="12.85546875" style="30" customWidth="1"/>
    <col min="24" max="24" width="14" style="30" customWidth="1"/>
    <col min="25" max="25" width="14.28515625" style="30" customWidth="1"/>
    <col min="26" max="26" width="12.42578125" style="30" customWidth="1"/>
    <col min="27" max="27" width="11.5703125" style="30" customWidth="1"/>
    <col min="28" max="16384" width="11.42578125" style="30"/>
  </cols>
  <sheetData>
    <row r="1" spans="1:40" s="32" customFormat="1" ht="12" x14ac:dyDescent="0.2">
      <c r="X1" s="183"/>
    </row>
    <row r="2" spans="1:40" ht="15" customHeight="1" x14ac:dyDescent="0.25">
      <c r="A2" s="1140" t="s">
        <v>268</v>
      </c>
      <c r="B2" s="1140"/>
      <c r="C2" s="1140"/>
      <c r="D2" s="1140"/>
      <c r="E2" s="1140"/>
      <c r="F2" s="1140"/>
      <c r="G2" s="1140"/>
      <c r="H2" s="1140"/>
      <c r="I2" s="1140"/>
      <c r="J2" s="1140"/>
      <c r="K2" s="1140"/>
      <c r="L2" s="1140"/>
      <c r="M2" s="1140"/>
      <c r="N2" s="1140"/>
      <c r="O2" s="1140"/>
      <c r="P2" s="1140"/>
      <c r="Q2" s="1140"/>
      <c r="R2" s="51"/>
      <c r="S2" s="51"/>
      <c r="T2" s="51"/>
      <c r="U2" s="51"/>
      <c r="V2" s="51"/>
      <c r="W2" s="51"/>
      <c r="X2" s="51"/>
      <c r="Y2" s="51"/>
      <c r="Z2" s="51"/>
    </row>
    <row r="3" spans="1:40" ht="15" customHeight="1" x14ac:dyDescent="0.25">
      <c r="A3" s="1176" t="s">
        <v>948</v>
      </c>
      <c r="B3" s="1176"/>
      <c r="C3" s="1176"/>
      <c r="D3" s="1176"/>
      <c r="E3" s="1176"/>
      <c r="F3" s="1176"/>
      <c r="G3" s="1176"/>
      <c r="H3" s="1176"/>
      <c r="I3" s="1176"/>
      <c r="J3" s="1176"/>
      <c r="K3" s="1176"/>
      <c r="L3" s="1176"/>
      <c r="M3" s="1176"/>
      <c r="N3" s="1176"/>
      <c r="O3" s="1176"/>
      <c r="P3" s="1176"/>
      <c r="Q3" s="1176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</row>
    <row r="4" spans="1:40" ht="15" customHeight="1" x14ac:dyDescent="0.25">
      <c r="A4" s="1176" t="s">
        <v>186</v>
      </c>
      <c r="B4" s="1176"/>
      <c r="C4" s="1176"/>
      <c r="D4" s="1176"/>
      <c r="E4" s="1176"/>
      <c r="F4" s="1176"/>
      <c r="G4" s="1176"/>
      <c r="H4" s="1176"/>
      <c r="I4" s="1176"/>
      <c r="J4" s="1176"/>
      <c r="K4" s="1176"/>
      <c r="L4" s="1176"/>
      <c r="M4" s="1176"/>
      <c r="N4" s="1176"/>
      <c r="O4" s="1176"/>
      <c r="P4" s="1176"/>
      <c r="Q4" s="1176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ht="15" customHeight="1" x14ac:dyDescent="0.25">
      <c r="A5" s="1176" t="s">
        <v>72</v>
      </c>
      <c r="B5" s="1176"/>
      <c r="C5" s="1176"/>
      <c r="D5" s="1176"/>
      <c r="E5" s="1176"/>
      <c r="F5" s="1176"/>
      <c r="G5" s="1176"/>
      <c r="H5" s="1176"/>
      <c r="I5" s="1176"/>
      <c r="J5" s="1176"/>
      <c r="K5" s="1176"/>
      <c r="L5" s="1176"/>
      <c r="M5" s="1176"/>
      <c r="N5" s="1176"/>
      <c r="O5" s="1176"/>
      <c r="P5" s="1176"/>
      <c r="Q5" s="1176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</row>
    <row r="6" spans="1:40" ht="15.75" x14ac:dyDescent="0.25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5"/>
      <c r="N6" s="186"/>
      <c r="O6" s="186"/>
      <c r="P6" s="186"/>
      <c r="Q6" s="186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</row>
    <row r="7" spans="1:40" s="32" customFormat="1" ht="12" x14ac:dyDescent="0.2">
      <c r="A7" s="187" t="s">
        <v>450</v>
      </c>
      <c r="X7" s="188"/>
    </row>
    <row r="8" spans="1:40" s="32" customFormat="1" thickBot="1" x14ac:dyDescent="0.25">
      <c r="A8" s="187" t="s">
        <v>449</v>
      </c>
      <c r="B8" s="189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</row>
    <row r="9" spans="1:40" s="52" customFormat="1" ht="13.5" customHeight="1" thickTop="1" x14ac:dyDescent="0.2">
      <c r="A9" s="191"/>
      <c r="B9" s="192" t="s">
        <v>184</v>
      </c>
      <c r="C9" s="193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187" t="s">
        <v>31</v>
      </c>
      <c r="O9" s="1182"/>
      <c r="P9" s="1179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</row>
    <row r="10" spans="1:40" s="52" customFormat="1" ht="33.75" customHeight="1" thickBot="1" x14ac:dyDescent="0.25">
      <c r="A10" s="195" t="s">
        <v>88</v>
      </c>
      <c r="B10" s="196" t="s">
        <v>89</v>
      </c>
      <c r="C10" s="197" t="s">
        <v>282</v>
      </c>
      <c r="D10" s="198" t="s">
        <v>283</v>
      </c>
      <c r="E10" s="198" t="s">
        <v>244</v>
      </c>
      <c r="F10" s="198" t="s">
        <v>284</v>
      </c>
      <c r="G10" s="198" t="s">
        <v>699</v>
      </c>
      <c r="H10" s="198" t="s">
        <v>248</v>
      </c>
      <c r="I10" s="198" t="s">
        <v>250</v>
      </c>
      <c r="J10" s="199" t="s">
        <v>525</v>
      </c>
      <c r="K10" s="199" t="s">
        <v>646</v>
      </c>
      <c r="L10" s="199" t="s">
        <v>647</v>
      </c>
      <c r="M10" s="199" t="s">
        <v>561</v>
      </c>
      <c r="N10" s="1188"/>
      <c r="O10" s="171"/>
      <c r="P10" s="50"/>
    </row>
    <row r="11" spans="1:40" s="52" customFormat="1" ht="11.25" x14ac:dyDescent="0.2">
      <c r="A11" s="200" t="s">
        <v>2</v>
      </c>
      <c r="B11" s="201" t="s">
        <v>286</v>
      </c>
      <c r="C11" s="670">
        <v>0</v>
      </c>
      <c r="D11" s="863"/>
      <c r="E11" s="863">
        <f>Nomina!I16</f>
        <v>25800</v>
      </c>
      <c r="F11" s="671"/>
      <c r="G11" s="671"/>
      <c r="H11" s="671"/>
      <c r="I11" s="671"/>
      <c r="J11" s="671">
        <f>Nomina!I30</f>
        <v>14580</v>
      </c>
      <c r="K11" s="671">
        <f>Nomina!I36</f>
        <v>4800</v>
      </c>
      <c r="L11" s="671">
        <f>Nomina!I34</f>
        <v>6000</v>
      </c>
      <c r="M11" s="671">
        <f>Nomina!I32</f>
        <v>4800</v>
      </c>
      <c r="N11" s="663">
        <f t="shared" ref="N11:N16" si="0">SUM(C11:M11)</f>
        <v>55980</v>
      </c>
      <c r="O11" s="202"/>
      <c r="P11" s="203"/>
    </row>
    <row r="12" spans="1:40" s="52" customFormat="1" ht="11.25" x14ac:dyDescent="0.2">
      <c r="A12" s="204" t="s">
        <v>694</v>
      </c>
      <c r="B12" s="205" t="s">
        <v>352</v>
      </c>
      <c r="C12" s="672"/>
      <c r="D12" s="864"/>
      <c r="E12" s="864">
        <f>Nomina!J16</f>
        <v>610</v>
      </c>
      <c r="F12" s="206"/>
      <c r="G12" s="206"/>
      <c r="H12" s="206"/>
      <c r="I12" s="206"/>
      <c r="J12" s="206">
        <f>Nomina!J30</f>
        <v>915</v>
      </c>
      <c r="K12" s="206">
        <f>Nomina!J36</f>
        <v>305</v>
      </c>
      <c r="L12" s="206">
        <f>Nomina!J34</f>
        <v>305</v>
      </c>
      <c r="M12" s="206">
        <f>Nomina!J32</f>
        <v>305</v>
      </c>
      <c r="N12" s="663">
        <f t="shared" si="0"/>
        <v>2440</v>
      </c>
      <c r="O12" s="202"/>
      <c r="P12" s="203"/>
    </row>
    <row r="13" spans="1:40" s="52" customFormat="1" ht="11.25" x14ac:dyDescent="0.2">
      <c r="A13" s="204" t="s">
        <v>8</v>
      </c>
      <c r="B13" s="205" t="s">
        <v>287</v>
      </c>
      <c r="C13" s="672"/>
      <c r="D13" s="864"/>
      <c r="E13" s="864"/>
      <c r="F13" s="206"/>
      <c r="G13" s="206"/>
      <c r="H13" s="206"/>
      <c r="I13" s="206"/>
      <c r="J13" s="206">
        <v>0</v>
      </c>
      <c r="K13" s="206"/>
      <c r="L13" s="206"/>
      <c r="M13" s="206"/>
      <c r="N13" s="663">
        <f t="shared" si="0"/>
        <v>0</v>
      </c>
      <c r="O13" s="202"/>
      <c r="P13" s="203"/>
    </row>
    <row r="14" spans="1:40" s="52" customFormat="1" ht="11.25" x14ac:dyDescent="0.2">
      <c r="A14" s="204" t="s">
        <v>6</v>
      </c>
      <c r="B14" s="205" t="s">
        <v>288</v>
      </c>
      <c r="C14" s="672">
        <f>C13*0.085</f>
        <v>0</v>
      </c>
      <c r="D14" s="864"/>
      <c r="E14" s="864">
        <f>Nomina!O16</f>
        <v>1683</v>
      </c>
      <c r="F14" s="206"/>
      <c r="G14" s="206"/>
      <c r="H14" s="206"/>
      <c r="I14" s="206"/>
      <c r="J14" s="206">
        <f>Nomina!O30</f>
        <v>1239.3</v>
      </c>
      <c r="K14" s="206">
        <f>Nomina!M36</f>
        <v>408</v>
      </c>
      <c r="L14" s="206">
        <f>Nomina!M34</f>
        <v>510</v>
      </c>
      <c r="M14" s="206">
        <f>Nomina!M32</f>
        <v>408</v>
      </c>
      <c r="N14" s="663">
        <f t="shared" si="0"/>
        <v>4248.3</v>
      </c>
      <c r="O14" s="202"/>
      <c r="P14" s="203"/>
      <c r="R14" s="114"/>
      <c r="S14" s="114"/>
      <c r="T14" s="114"/>
      <c r="U14" s="114"/>
    </row>
    <row r="15" spans="1:40" s="52" customFormat="1" ht="11.25" x14ac:dyDescent="0.2">
      <c r="A15" s="207" t="s">
        <v>5</v>
      </c>
      <c r="B15" s="208" t="s">
        <v>289</v>
      </c>
      <c r="C15" s="673">
        <f>C13*0.0775</f>
        <v>0</v>
      </c>
      <c r="D15" s="865"/>
      <c r="E15" s="865">
        <f>Nomina!K16</f>
        <v>2257.5</v>
      </c>
      <c r="F15" s="674"/>
      <c r="G15" s="674"/>
      <c r="H15" s="674"/>
      <c r="I15" s="674"/>
      <c r="J15" s="674">
        <f>Nomina!K30</f>
        <v>1275.75</v>
      </c>
      <c r="K15" s="674">
        <f>Nomina!K36</f>
        <v>420</v>
      </c>
      <c r="L15" s="674">
        <f>Nomina!K34</f>
        <v>525</v>
      </c>
      <c r="M15" s="674">
        <f>Nomina!K32</f>
        <v>420</v>
      </c>
      <c r="N15" s="663">
        <f t="shared" si="0"/>
        <v>4898.25</v>
      </c>
      <c r="O15" s="202"/>
      <c r="P15" s="203"/>
      <c r="R15" s="124"/>
      <c r="S15" s="124"/>
      <c r="T15" s="124"/>
      <c r="U15" s="124"/>
    </row>
    <row r="16" spans="1:40" s="52" customFormat="1" ht="12" thickBot="1" x14ac:dyDescent="0.25">
      <c r="A16" s="207" t="s">
        <v>518</v>
      </c>
      <c r="B16" s="208" t="s">
        <v>517</v>
      </c>
      <c r="C16" s="673"/>
      <c r="D16" s="865">
        <v>0</v>
      </c>
      <c r="E16" s="865">
        <v>0</v>
      </c>
      <c r="F16" s="674">
        <v>0</v>
      </c>
      <c r="G16" s="674"/>
      <c r="H16" s="674">
        <v>0</v>
      </c>
      <c r="I16" s="674"/>
      <c r="J16" s="674">
        <v>0</v>
      </c>
      <c r="K16" s="674"/>
      <c r="L16" s="674"/>
      <c r="M16" s="674">
        <v>0</v>
      </c>
      <c r="N16" s="663">
        <f t="shared" si="0"/>
        <v>0</v>
      </c>
      <c r="O16" s="202"/>
      <c r="P16" s="203"/>
      <c r="R16" s="124"/>
      <c r="S16" s="124"/>
      <c r="T16" s="124"/>
      <c r="U16" s="124"/>
    </row>
    <row r="17" spans="1:33" s="52" customFormat="1" ht="12" thickBot="1" x14ac:dyDescent="0.25">
      <c r="A17" s="1183" t="s">
        <v>862</v>
      </c>
      <c r="B17" s="1184"/>
      <c r="C17" s="1027">
        <f>SUM(C11:C16)</f>
        <v>0</v>
      </c>
      <c r="D17" s="1027">
        <f t="shared" ref="D17:N17" si="1">SUM(D11:D16)</f>
        <v>0</v>
      </c>
      <c r="E17" s="1027">
        <f t="shared" si="1"/>
        <v>30350.5</v>
      </c>
      <c r="F17" s="1027">
        <f t="shared" si="1"/>
        <v>0</v>
      </c>
      <c r="G17" s="1027">
        <f t="shared" si="1"/>
        <v>0</v>
      </c>
      <c r="H17" s="1027">
        <f t="shared" si="1"/>
        <v>0</v>
      </c>
      <c r="I17" s="1027">
        <f t="shared" si="1"/>
        <v>0</v>
      </c>
      <c r="J17" s="1027">
        <f t="shared" si="1"/>
        <v>18010.05</v>
      </c>
      <c r="K17" s="1027">
        <f t="shared" si="1"/>
        <v>5933</v>
      </c>
      <c r="L17" s="1027">
        <f t="shared" si="1"/>
        <v>7340</v>
      </c>
      <c r="M17" s="1027">
        <f t="shared" si="1"/>
        <v>5933</v>
      </c>
      <c r="N17" s="1027">
        <f t="shared" si="1"/>
        <v>67566.55</v>
      </c>
      <c r="O17" s="209"/>
      <c r="P17" s="124"/>
      <c r="R17" s="114"/>
      <c r="S17" s="114"/>
      <c r="T17" s="114"/>
      <c r="U17" s="114"/>
    </row>
    <row r="18" spans="1:33" s="32" customFormat="1" thickBot="1" x14ac:dyDescent="0.25">
      <c r="N18" s="210"/>
    </row>
    <row r="19" spans="1:33" s="52" customFormat="1" ht="13.5" customHeight="1" thickTop="1" x14ac:dyDescent="0.2">
      <c r="A19" s="191"/>
      <c r="B19" s="192" t="s">
        <v>184</v>
      </c>
      <c r="C19" s="193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187" t="s">
        <v>31</v>
      </c>
      <c r="O19" s="1182"/>
      <c r="P19" s="1179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</row>
    <row r="20" spans="1:33" s="52" customFormat="1" ht="36" customHeight="1" thickBot="1" x14ac:dyDescent="0.25">
      <c r="A20" s="195" t="s">
        <v>88</v>
      </c>
      <c r="B20" s="196" t="s">
        <v>89</v>
      </c>
      <c r="C20" s="197" t="s">
        <v>282</v>
      </c>
      <c r="D20" s="198" t="s">
        <v>283</v>
      </c>
      <c r="E20" s="198" t="s">
        <v>244</v>
      </c>
      <c r="F20" s="198" t="s">
        <v>284</v>
      </c>
      <c r="G20" s="198" t="s">
        <v>699</v>
      </c>
      <c r="H20" s="198" t="s">
        <v>248</v>
      </c>
      <c r="I20" s="198" t="s">
        <v>250</v>
      </c>
      <c r="J20" s="199" t="s">
        <v>525</v>
      </c>
      <c r="K20" s="199" t="s">
        <v>656</v>
      </c>
      <c r="L20" s="199" t="s">
        <v>647</v>
      </c>
      <c r="M20" s="199" t="s">
        <v>561</v>
      </c>
      <c r="N20" s="1188"/>
      <c r="O20" s="171"/>
      <c r="P20" s="50"/>
    </row>
    <row r="21" spans="1:33" s="52" customFormat="1" ht="11.25" x14ac:dyDescent="0.2">
      <c r="A21" s="200" t="s">
        <v>2</v>
      </c>
      <c r="B21" s="201" t="s">
        <v>286</v>
      </c>
      <c r="C21" s="866">
        <f>Nomina!I214</f>
        <v>109296</v>
      </c>
      <c r="D21" s="863">
        <f>Nomina!I13</f>
        <v>81480</v>
      </c>
      <c r="E21" s="863"/>
      <c r="F21" s="863">
        <f>Nomina!I18</f>
        <v>9000</v>
      </c>
      <c r="G21" s="863">
        <f>Nomina!I22</f>
        <v>10800</v>
      </c>
      <c r="H21" s="671">
        <f>Nomina!I21</f>
        <v>27420</v>
      </c>
      <c r="I21" s="671">
        <f>Nomina!I26</f>
        <v>16284</v>
      </c>
      <c r="J21" s="671"/>
      <c r="K21" s="671"/>
      <c r="L21" s="671"/>
      <c r="M21" s="671"/>
      <c r="N21" s="666">
        <f t="shared" ref="N21:N30" si="2">SUM(C21:M21)</f>
        <v>254280</v>
      </c>
      <c r="O21" s="202"/>
      <c r="P21" s="203"/>
    </row>
    <row r="22" spans="1:33" s="52" customFormat="1" ht="11.25" x14ac:dyDescent="0.2">
      <c r="A22" s="204" t="s">
        <v>8</v>
      </c>
      <c r="B22" s="205" t="s">
        <v>287</v>
      </c>
      <c r="C22" s="867"/>
      <c r="D22" s="864">
        <v>0</v>
      </c>
      <c r="E22" s="864"/>
      <c r="F22" s="864"/>
      <c r="G22" s="864"/>
      <c r="H22" s="206"/>
      <c r="I22" s="206"/>
      <c r="J22" s="206"/>
      <c r="K22" s="206"/>
      <c r="L22" s="206"/>
      <c r="M22" s="206"/>
      <c r="N22" s="666">
        <f t="shared" si="2"/>
        <v>0</v>
      </c>
      <c r="O22" s="202"/>
      <c r="P22" s="203"/>
    </row>
    <row r="23" spans="1:33" s="52" customFormat="1" ht="11.25" x14ac:dyDescent="0.2">
      <c r="A23" s="200" t="s">
        <v>472</v>
      </c>
      <c r="B23" s="201" t="s">
        <v>425</v>
      </c>
      <c r="C23" s="866">
        <f>Nomina!P235</f>
        <v>160353.96</v>
      </c>
      <c r="D23" s="863"/>
      <c r="E23" s="863"/>
      <c r="F23" s="863"/>
      <c r="G23" s="863"/>
      <c r="H23" s="671"/>
      <c r="I23" s="671"/>
      <c r="J23" s="671"/>
      <c r="K23" s="671"/>
      <c r="L23" s="671"/>
      <c r="M23" s="671"/>
      <c r="N23" s="666">
        <f t="shared" si="2"/>
        <v>160353.96</v>
      </c>
      <c r="O23" s="202"/>
      <c r="P23" s="203"/>
    </row>
    <row r="24" spans="1:33" s="52" customFormat="1" ht="11.25" x14ac:dyDescent="0.2">
      <c r="A24" s="200" t="s">
        <v>476</v>
      </c>
      <c r="B24" s="201" t="s">
        <v>351</v>
      </c>
      <c r="C24" s="866"/>
      <c r="D24" s="863"/>
      <c r="E24" s="863"/>
      <c r="F24" s="863"/>
      <c r="G24" s="863"/>
      <c r="H24" s="671"/>
      <c r="I24" s="671"/>
      <c r="J24" s="671"/>
      <c r="K24" s="671"/>
      <c r="L24" s="671"/>
      <c r="M24" s="671"/>
      <c r="N24" s="666">
        <f t="shared" si="2"/>
        <v>0</v>
      </c>
      <c r="O24" s="202"/>
      <c r="P24" s="203"/>
    </row>
    <row r="25" spans="1:33" s="52" customFormat="1" ht="11.25" x14ac:dyDescent="0.2">
      <c r="A25" s="204" t="s">
        <v>694</v>
      </c>
      <c r="B25" s="205" t="s">
        <v>352</v>
      </c>
      <c r="C25" s="867">
        <f>Nomina!J214</f>
        <v>3355</v>
      </c>
      <c r="D25" s="864">
        <f>Nomina!J13</f>
        <v>1220</v>
      </c>
      <c r="E25" s="864"/>
      <c r="F25" s="864">
        <f>Nomina!J18</f>
        <v>305</v>
      </c>
      <c r="G25" s="864">
        <f>Nomina!J22</f>
        <v>610</v>
      </c>
      <c r="H25" s="206">
        <f>Nomina!J21</f>
        <v>610</v>
      </c>
      <c r="I25" s="206">
        <f>Nomina!J26</f>
        <v>610</v>
      </c>
      <c r="J25" s="206"/>
      <c r="K25" s="206"/>
      <c r="L25" s="206"/>
      <c r="M25" s="206"/>
      <c r="N25" s="666">
        <f t="shared" si="2"/>
        <v>6710</v>
      </c>
      <c r="O25" s="202"/>
      <c r="P25" s="203"/>
    </row>
    <row r="26" spans="1:33" s="52" customFormat="1" ht="11.25" x14ac:dyDescent="0.2">
      <c r="A26" s="204">
        <v>51301</v>
      </c>
      <c r="B26" s="211" t="s">
        <v>475</v>
      </c>
      <c r="C26" s="864"/>
      <c r="D26" s="864"/>
      <c r="E26" s="864"/>
      <c r="F26" s="864"/>
      <c r="G26" s="864"/>
      <c r="H26" s="206"/>
      <c r="I26" s="206"/>
      <c r="J26" s="206"/>
      <c r="K26" s="206"/>
      <c r="L26" s="206"/>
      <c r="M26" s="206"/>
      <c r="N26" s="666">
        <f t="shared" si="2"/>
        <v>0</v>
      </c>
      <c r="O26" s="202"/>
      <c r="P26" s="203"/>
    </row>
    <row r="27" spans="1:33" s="52" customFormat="1" ht="11.25" x14ac:dyDescent="0.2">
      <c r="A27" s="204" t="s">
        <v>6</v>
      </c>
      <c r="B27" s="205" t="s">
        <v>288</v>
      </c>
      <c r="C27" s="867">
        <f>Nomina!M214</f>
        <v>5911.920000000001</v>
      </c>
      <c r="D27" s="864">
        <f>Nomina!O13</f>
        <v>2805</v>
      </c>
      <c r="E27" s="864"/>
      <c r="F27" s="864">
        <f>Nomina!M18</f>
        <v>765.00000000000011</v>
      </c>
      <c r="G27" s="864">
        <f>Nomina!M22</f>
        <v>918</v>
      </c>
      <c r="H27" s="206">
        <f>Nomina!M21</f>
        <v>1836</v>
      </c>
      <c r="I27" s="206">
        <f>Nomina!M26</f>
        <v>1384.14</v>
      </c>
      <c r="J27" s="206"/>
      <c r="K27" s="206"/>
      <c r="L27" s="206"/>
      <c r="M27" s="206"/>
      <c r="N27" s="666">
        <f t="shared" si="2"/>
        <v>13620.060000000001</v>
      </c>
      <c r="O27" s="202"/>
      <c r="P27" s="203"/>
      <c r="R27" s="114"/>
      <c r="S27" s="114"/>
      <c r="T27" s="114"/>
      <c r="U27" s="114"/>
    </row>
    <row r="28" spans="1:33" s="52" customFormat="1" ht="11.25" x14ac:dyDescent="0.2">
      <c r="A28" s="207" t="s">
        <v>5</v>
      </c>
      <c r="B28" s="212" t="s">
        <v>289</v>
      </c>
      <c r="C28" s="864">
        <f>Nomina!K214</f>
        <v>6955.2</v>
      </c>
      <c r="D28" s="864">
        <f>Nomina!K13</f>
        <v>7129.5</v>
      </c>
      <c r="E28" s="864"/>
      <c r="F28" s="864">
        <f>Nomina!K18</f>
        <v>787.5</v>
      </c>
      <c r="G28" s="864">
        <f>Nomina!K22</f>
        <v>944.99999999999989</v>
      </c>
      <c r="H28" s="206">
        <f>Nomina!K21</f>
        <v>2399.25</v>
      </c>
      <c r="I28" s="206">
        <f>Nomina!K26</f>
        <v>1424.85</v>
      </c>
      <c r="J28" s="206"/>
      <c r="K28" s="206"/>
      <c r="L28" s="206"/>
      <c r="M28" s="206"/>
      <c r="N28" s="666">
        <f t="shared" si="2"/>
        <v>19641.3</v>
      </c>
      <c r="O28" s="202"/>
      <c r="P28" s="203"/>
      <c r="R28" s="124"/>
      <c r="S28" s="124"/>
      <c r="T28" s="124"/>
      <c r="U28" s="124"/>
    </row>
    <row r="29" spans="1:33" s="52" customFormat="1" ht="11.25" x14ac:dyDescent="0.2">
      <c r="A29" s="207" t="s">
        <v>518</v>
      </c>
      <c r="B29" s="208" t="s">
        <v>517</v>
      </c>
      <c r="C29" s="864">
        <v>6295.95</v>
      </c>
      <c r="D29" s="864"/>
      <c r="E29" s="864"/>
      <c r="F29" s="864"/>
      <c r="G29" s="864"/>
      <c r="H29" s="206"/>
      <c r="I29" s="206"/>
      <c r="J29" s="206"/>
      <c r="K29" s="206"/>
      <c r="L29" s="206"/>
      <c r="M29" s="206"/>
      <c r="N29" s="666">
        <f t="shared" si="2"/>
        <v>6295.95</v>
      </c>
      <c r="O29" s="202"/>
      <c r="P29" s="203"/>
      <c r="R29" s="124"/>
      <c r="S29" s="124"/>
      <c r="T29" s="124"/>
      <c r="U29" s="124"/>
    </row>
    <row r="30" spans="1:33" s="52" customFormat="1" ht="12" thickBot="1" x14ac:dyDescent="0.25">
      <c r="A30" s="213" t="s">
        <v>612</v>
      </c>
      <c r="B30" s="208" t="s">
        <v>613</v>
      </c>
      <c r="C30" s="864">
        <v>33350</v>
      </c>
      <c r="D30" s="864"/>
      <c r="E30" s="864"/>
      <c r="F30" s="864"/>
      <c r="G30" s="864"/>
      <c r="H30" s="206"/>
      <c r="I30" s="206"/>
      <c r="J30" s="206"/>
      <c r="K30" s="206"/>
      <c r="L30" s="206"/>
      <c r="M30" s="206"/>
      <c r="N30" s="666">
        <f t="shared" si="2"/>
        <v>33350</v>
      </c>
      <c r="O30" s="202"/>
      <c r="P30" s="203"/>
      <c r="R30" s="124"/>
      <c r="S30" s="124"/>
      <c r="T30" s="124"/>
      <c r="U30" s="124"/>
    </row>
    <row r="31" spans="1:33" s="52" customFormat="1" ht="12" thickBot="1" x14ac:dyDescent="0.25">
      <c r="A31" s="1183" t="s">
        <v>388</v>
      </c>
      <c r="B31" s="1184"/>
      <c r="C31" s="868">
        <f>SUM(C21:C30)</f>
        <v>325518.02999999997</v>
      </c>
      <c r="D31" s="868">
        <f t="shared" ref="D31:L31" si="3">SUM(D21:D30)</f>
        <v>92634.5</v>
      </c>
      <c r="E31" s="868">
        <f t="shared" si="3"/>
        <v>0</v>
      </c>
      <c r="F31" s="868">
        <f>SUM(F21:F30)</f>
        <v>10857.5</v>
      </c>
      <c r="G31" s="868">
        <f>SUM(G21:G30)</f>
        <v>13273</v>
      </c>
      <c r="H31" s="664">
        <f>SUM(H21:H30)</f>
        <v>32265.25</v>
      </c>
      <c r="I31" s="664">
        <f t="shared" si="3"/>
        <v>19702.989999999998</v>
      </c>
      <c r="J31" s="664">
        <f t="shared" si="3"/>
        <v>0</v>
      </c>
      <c r="K31" s="664">
        <f t="shared" si="3"/>
        <v>0</v>
      </c>
      <c r="L31" s="664">
        <f t="shared" si="3"/>
        <v>0</v>
      </c>
      <c r="M31" s="664">
        <f>SUM(M21:M30)</f>
        <v>0</v>
      </c>
      <c r="N31" s="665">
        <f>SUM(N21:N30)</f>
        <v>494251.26999999996</v>
      </c>
      <c r="O31" s="202"/>
      <c r="P31" s="124"/>
      <c r="R31" s="114"/>
      <c r="S31" s="114"/>
      <c r="T31" s="114"/>
      <c r="U31" s="114"/>
    </row>
    <row r="32" spans="1:33" s="32" customFormat="1" thickBot="1" x14ac:dyDescent="0.25">
      <c r="O32" s="202"/>
    </row>
    <row r="33" spans="1:42" s="32" customFormat="1" ht="13.5" thickTop="1" thickBot="1" x14ac:dyDescent="0.25">
      <c r="A33" s="1185" t="s">
        <v>387</v>
      </c>
      <c r="B33" s="1186"/>
      <c r="C33" s="1028">
        <f>C31+C17</f>
        <v>325518.02999999997</v>
      </c>
      <c r="D33" s="1028">
        <f t="shared" ref="D33:N33" si="4">D31+D17</f>
        <v>92634.5</v>
      </c>
      <c r="E33" s="1028">
        <f t="shared" si="4"/>
        <v>30350.5</v>
      </c>
      <c r="F33" s="1028">
        <f t="shared" si="4"/>
        <v>10857.5</v>
      </c>
      <c r="G33" s="1028">
        <f t="shared" si="4"/>
        <v>13273</v>
      </c>
      <c r="H33" s="1028">
        <f t="shared" si="4"/>
        <v>32265.25</v>
      </c>
      <c r="I33" s="1028">
        <f t="shared" si="4"/>
        <v>19702.989999999998</v>
      </c>
      <c r="J33" s="1028">
        <f t="shared" si="4"/>
        <v>18010.05</v>
      </c>
      <c r="K33" s="1028">
        <f t="shared" si="4"/>
        <v>5933</v>
      </c>
      <c r="L33" s="1028">
        <f t="shared" si="4"/>
        <v>7340</v>
      </c>
      <c r="M33" s="1028">
        <f t="shared" si="4"/>
        <v>5933</v>
      </c>
      <c r="N33" s="1028">
        <f t="shared" si="4"/>
        <v>561817.81999999995</v>
      </c>
      <c r="O33" s="202"/>
      <c r="P33" s="499"/>
    </row>
    <row r="34" spans="1:42" s="32" customFormat="1" thickTop="1" x14ac:dyDescent="0.2"/>
    <row r="35" spans="1:42" s="32" customFormat="1" ht="12" x14ac:dyDescent="0.2"/>
    <row r="36" spans="1:42" ht="15" customHeight="1" x14ac:dyDescent="0.25">
      <c r="A36" s="1140" t="s">
        <v>268</v>
      </c>
      <c r="B36" s="1140"/>
      <c r="C36" s="1140"/>
      <c r="D36" s="1140"/>
      <c r="E36" s="1140"/>
      <c r="F36" s="1140"/>
      <c r="G36" s="1140"/>
      <c r="H36" s="1140"/>
      <c r="I36" s="1140"/>
      <c r="J36" s="1140"/>
      <c r="K36" s="1140"/>
      <c r="L36" s="1140"/>
      <c r="M36" s="1140"/>
      <c r="N36" s="1140"/>
      <c r="O36" s="1140"/>
      <c r="P36" s="1140"/>
      <c r="Q36" s="1140"/>
      <c r="R36" s="51"/>
      <c r="S36" s="51"/>
      <c r="T36" s="51"/>
      <c r="U36" s="51"/>
      <c r="V36" s="51"/>
      <c r="W36" s="51"/>
      <c r="X36" s="51"/>
      <c r="Y36" s="51"/>
      <c r="Z36" s="51"/>
    </row>
    <row r="37" spans="1:42" ht="15" customHeight="1" x14ac:dyDescent="0.25">
      <c r="A37" s="1176" t="s">
        <v>763</v>
      </c>
      <c r="B37" s="1176"/>
      <c r="C37" s="1176"/>
      <c r="D37" s="1176"/>
      <c r="E37" s="1176"/>
      <c r="F37" s="1176"/>
      <c r="G37" s="1176"/>
      <c r="H37" s="1176"/>
      <c r="I37" s="1176"/>
      <c r="J37" s="1176"/>
      <c r="K37" s="1176"/>
      <c r="L37" s="1176"/>
      <c r="M37" s="1176"/>
      <c r="N37" s="1176"/>
      <c r="O37" s="1176"/>
      <c r="P37" s="1176"/>
      <c r="Q37" s="1176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</row>
    <row r="38" spans="1:42" ht="15" customHeight="1" x14ac:dyDescent="0.25">
      <c r="A38" s="1176" t="s">
        <v>186</v>
      </c>
      <c r="B38" s="1176"/>
      <c r="C38" s="1176"/>
      <c r="D38" s="1176"/>
      <c r="E38" s="1176"/>
      <c r="F38" s="1176"/>
      <c r="G38" s="1176"/>
      <c r="H38" s="1176"/>
      <c r="I38" s="1176"/>
      <c r="J38" s="1176"/>
      <c r="K38" s="1176"/>
      <c r="L38" s="1176"/>
      <c r="M38" s="1176"/>
      <c r="N38" s="1176"/>
      <c r="O38" s="1176"/>
      <c r="P38" s="1176"/>
      <c r="Q38" s="1176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</row>
    <row r="39" spans="1:42" ht="15" customHeight="1" x14ac:dyDescent="0.25">
      <c r="A39" s="1176" t="s">
        <v>72</v>
      </c>
      <c r="B39" s="1176"/>
      <c r="C39" s="1176"/>
      <c r="D39" s="1176"/>
      <c r="E39" s="1176"/>
      <c r="F39" s="1176"/>
      <c r="G39" s="1176"/>
      <c r="H39" s="1176"/>
      <c r="I39" s="1176"/>
      <c r="J39" s="1176"/>
      <c r="K39" s="1176"/>
      <c r="L39" s="1176"/>
      <c r="M39" s="1176"/>
      <c r="N39" s="1176"/>
      <c r="O39" s="1176"/>
      <c r="P39" s="1176"/>
      <c r="Q39" s="1176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</row>
    <row r="40" spans="1:42" s="32" customFormat="1" ht="12" x14ac:dyDescent="0.2"/>
    <row r="41" spans="1:42" s="32" customFormat="1" ht="12" x14ac:dyDescent="0.2">
      <c r="A41" s="187" t="s">
        <v>450</v>
      </c>
      <c r="X41" s="188"/>
    </row>
    <row r="42" spans="1:42" s="32" customFormat="1" thickBot="1" x14ac:dyDescent="0.25">
      <c r="A42" s="187" t="s">
        <v>453</v>
      </c>
      <c r="B42" s="189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</row>
    <row r="43" spans="1:42" s="52" customFormat="1" ht="13.5" customHeight="1" thickTop="1" x14ac:dyDescent="0.2">
      <c r="A43" s="191"/>
      <c r="B43" s="192" t="s">
        <v>184</v>
      </c>
      <c r="C43" s="193"/>
      <c r="D43" s="194"/>
      <c r="E43" s="194"/>
      <c r="F43" s="194"/>
      <c r="G43" s="193"/>
      <c r="H43" s="193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177" t="s">
        <v>31</v>
      </c>
      <c r="W43" s="214"/>
      <c r="X43" s="214"/>
      <c r="Z43" s="1179"/>
      <c r="AA43" s="1179"/>
      <c r="AB43" s="1179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</row>
    <row r="44" spans="1:42" s="52" customFormat="1" ht="25.5" customHeight="1" thickBot="1" x14ac:dyDescent="0.25">
      <c r="A44" s="195" t="s">
        <v>88</v>
      </c>
      <c r="B44" s="196" t="s">
        <v>89</v>
      </c>
      <c r="C44" s="197" t="s">
        <v>562</v>
      </c>
      <c r="D44" s="198" t="s">
        <v>563</v>
      </c>
      <c r="E44" s="198" t="s">
        <v>550</v>
      </c>
      <c r="F44" s="197" t="s">
        <v>415</v>
      </c>
      <c r="G44" s="197" t="s">
        <v>673</v>
      </c>
      <c r="H44" s="198" t="s">
        <v>207</v>
      </c>
      <c r="I44" s="198" t="s">
        <v>182</v>
      </c>
      <c r="J44" s="198" t="s">
        <v>206</v>
      </c>
      <c r="K44" s="198" t="s">
        <v>660</v>
      </c>
      <c r="L44" s="198" t="s">
        <v>660</v>
      </c>
      <c r="M44" s="198" t="s">
        <v>440</v>
      </c>
      <c r="N44" s="198" t="s">
        <v>553</v>
      </c>
      <c r="O44" s="198" t="s">
        <v>618</v>
      </c>
      <c r="P44" s="198" t="s">
        <v>514</v>
      </c>
      <c r="Q44" s="198" t="s">
        <v>564</v>
      </c>
      <c r="R44" s="198" t="s">
        <v>623</v>
      </c>
      <c r="S44" s="198" t="s">
        <v>565</v>
      </c>
      <c r="T44" s="198" t="s">
        <v>441</v>
      </c>
      <c r="U44" s="198" t="s">
        <v>849</v>
      </c>
      <c r="V44" s="1178"/>
      <c r="W44" s="215"/>
      <c r="X44" s="215"/>
      <c r="Z44" s="50"/>
      <c r="AA44" s="50"/>
      <c r="AB44" s="50"/>
    </row>
    <row r="45" spans="1:42" s="52" customFormat="1" ht="11.25" x14ac:dyDescent="0.2">
      <c r="A45" s="200" t="s">
        <v>2</v>
      </c>
      <c r="B45" s="201" t="s">
        <v>286</v>
      </c>
      <c r="C45" s="216">
        <f>Nomina!I45</f>
        <v>9600</v>
      </c>
      <c r="D45" s="217">
        <v>0</v>
      </c>
      <c r="E45" s="217">
        <f>Nomina!I48</f>
        <v>28200</v>
      </c>
      <c r="F45" s="217">
        <f>Nomina!H54*12</f>
        <v>39864</v>
      </c>
      <c r="G45" s="216"/>
      <c r="H45" s="216">
        <f>Nomina!H65*12</f>
        <v>71208</v>
      </c>
      <c r="I45" s="217">
        <f>Nomina!H70*12</f>
        <v>27444</v>
      </c>
      <c r="J45" s="217">
        <f>Nomina!I73</f>
        <v>15600</v>
      </c>
      <c r="K45" s="217"/>
      <c r="L45" s="217"/>
      <c r="M45" s="217">
        <f>Nomina!I76</f>
        <v>9000</v>
      </c>
      <c r="N45" s="217">
        <f>Nomina!I81</f>
        <v>20160</v>
      </c>
      <c r="O45" s="217"/>
      <c r="P45" s="217">
        <f>Nomina!I89</f>
        <v>8400</v>
      </c>
      <c r="Q45" s="217">
        <f>Nomina!I100</f>
        <v>71760</v>
      </c>
      <c r="R45" s="217">
        <v>0</v>
      </c>
      <c r="S45" s="217"/>
      <c r="T45" s="217">
        <f>Nomina!I117</f>
        <v>7200</v>
      </c>
      <c r="U45" s="511">
        <f>Nomina!I126</f>
        <v>63960</v>
      </c>
      <c r="V45" s="667">
        <f>SUM(C45:U45)</f>
        <v>372396</v>
      </c>
      <c r="W45" s="219"/>
      <c r="X45" s="219"/>
      <c r="Z45" s="114"/>
      <c r="AA45" s="114"/>
      <c r="AB45" s="203"/>
    </row>
    <row r="46" spans="1:42" s="52" customFormat="1" ht="11.25" x14ac:dyDescent="0.2">
      <c r="A46" s="204" t="s">
        <v>694</v>
      </c>
      <c r="B46" s="205" t="s">
        <v>352</v>
      </c>
      <c r="C46" s="220">
        <f>Nomina!J45</f>
        <v>305</v>
      </c>
      <c r="D46" s="221">
        <v>0</v>
      </c>
      <c r="E46" s="221">
        <f>Nomina!J48</f>
        <v>610</v>
      </c>
      <c r="F46" s="221">
        <f>Nomina!J54</f>
        <v>2135</v>
      </c>
      <c r="G46" s="220"/>
      <c r="H46" s="220">
        <f>Nomina!J65</f>
        <v>3660</v>
      </c>
      <c r="I46" s="221">
        <f>Nomina!J70</f>
        <v>1220</v>
      </c>
      <c r="J46" s="221">
        <f>Nomina!J73</f>
        <v>610</v>
      </c>
      <c r="K46" s="221"/>
      <c r="L46" s="221"/>
      <c r="M46" s="221">
        <f>Nomina!J76</f>
        <v>305</v>
      </c>
      <c r="N46" s="221">
        <f>Nomina!J81</f>
        <v>1220</v>
      </c>
      <c r="O46" s="221"/>
      <c r="P46" s="221">
        <f>Nomina!J89</f>
        <v>305</v>
      </c>
      <c r="Q46" s="221">
        <f>Nomina!J100</f>
        <v>3050</v>
      </c>
      <c r="R46" s="221">
        <v>0</v>
      </c>
      <c r="S46" s="221"/>
      <c r="T46" s="221">
        <f>Nomina!J117</f>
        <v>305</v>
      </c>
      <c r="U46" s="551">
        <f>Nomina!J126</f>
        <v>4270</v>
      </c>
      <c r="V46" s="667">
        <f>SUM(C46:U46)</f>
        <v>17995</v>
      </c>
      <c r="W46" s="219"/>
      <c r="X46" s="219"/>
      <c r="Z46" s="114"/>
      <c r="AA46" s="114"/>
      <c r="AB46" s="203"/>
    </row>
    <row r="47" spans="1:42" s="52" customFormat="1" ht="11.25" x14ac:dyDescent="0.2">
      <c r="A47" s="204" t="s">
        <v>8</v>
      </c>
      <c r="B47" s="205" t="s">
        <v>287</v>
      </c>
      <c r="C47" s="220"/>
      <c r="D47" s="221"/>
      <c r="E47" s="221"/>
      <c r="F47" s="221"/>
      <c r="G47" s="220"/>
      <c r="H47" s="220">
        <f>+Nomina!P284</f>
        <v>0</v>
      </c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551"/>
      <c r="V47" s="667">
        <f>SUM(C47:U47)</f>
        <v>0</v>
      </c>
      <c r="W47" s="219"/>
      <c r="X47" s="219"/>
      <c r="Z47" s="114"/>
      <c r="AA47" s="114"/>
      <c r="AB47" s="203"/>
    </row>
    <row r="48" spans="1:42" s="52" customFormat="1" ht="11.25" x14ac:dyDescent="0.2">
      <c r="A48" s="204" t="s">
        <v>6</v>
      </c>
      <c r="B48" s="205" t="s">
        <v>288</v>
      </c>
      <c r="C48" s="220">
        <f>Nomina!M45</f>
        <v>816</v>
      </c>
      <c r="D48" s="221">
        <v>0</v>
      </c>
      <c r="E48" s="221">
        <f>Nomina!O48</f>
        <v>1887</v>
      </c>
      <c r="F48" s="221">
        <f>Nomina!M54</f>
        <v>3388.4400000000005</v>
      </c>
      <c r="G48" s="220"/>
      <c r="H48" s="220">
        <f>Nomina!O65</f>
        <v>6052.68</v>
      </c>
      <c r="I48" s="221">
        <f>Nomina!O70</f>
        <v>2332.7399999999998</v>
      </c>
      <c r="J48" s="221">
        <f>Nomina!O73</f>
        <v>1326</v>
      </c>
      <c r="K48" s="221"/>
      <c r="L48" s="221"/>
      <c r="M48" s="221">
        <f>Nomina!O76</f>
        <v>765.00000000000011</v>
      </c>
      <c r="N48" s="221">
        <f>Nomina!O81</f>
        <v>1713.6</v>
      </c>
      <c r="O48" s="221"/>
      <c r="P48" s="221">
        <f>Nomina!O89</f>
        <v>714.00000000000011</v>
      </c>
      <c r="Q48" s="221">
        <f>Nomina!O100</f>
        <v>5844.6</v>
      </c>
      <c r="R48" s="221">
        <v>0</v>
      </c>
      <c r="S48" s="221"/>
      <c r="T48" s="221">
        <f>Nomina!O117</f>
        <v>612.00000000000011</v>
      </c>
      <c r="U48" s="551">
        <f>Nomina!O126</f>
        <v>5436.6</v>
      </c>
      <c r="V48" s="667">
        <f>SUM(C48:U48)</f>
        <v>30888.659999999996</v>
      </c>
      <c r="W48" s="219"/>
      <c r="X48" s="219"/>
      <c r="Z48" s="114"/>
      <c r="AA48" s="114"/>
      <c r="AB48" s="203"/>
      <c r="AD48" s="114"/>
    </row>
    <row r="49" spans="1:42" s="52" customFormat="1" ht="12" thickBot="1" x14ac:dyDescent="0.25">
      <c r="A49" s="207" t="s">
        <v>5</v>
      </c>
      <c r="B49" s="208" t="s">
        <v>289</v>
      </c>
      <c r="C49" s="222">
        <f>Nomina!K45</f>
        <v>840</v>
      </c>
      <c r="D49" s="223">
        <v>0</v>
      </c>
      <c r="E49" s="223">
        <f>Nomina!K48</f>
        <v>2468</v>
      </c>
      <c r="F49" s="223">
        <f>Nomina!K54</f>
        <v>3488</v>
      </c>
      <c r="G49" s="222"/>
      <c r="H49" s="222">
        <f>Nomina!K65</f>
        <v>6234</v>
      </c>
      <c r="I49" s="223">
        <f>Nomina!K70</f>
        <v>2402</v>
      </c>
      <c r="J49" s="223">
        <f>Nomina!K73</f>
        <v>1366</v>
      </c>
      <c r="K49" s="223"/>
      <c r="L49" s="223"/>
      <c r="M49" s="223">
        <f>Nomina!K76</f>
        <v>788</v>
      </c>
      <c r="N49" s="223">
        <f>Nomina!K81</f>
        <v>1765</v>
      </c>
      <c r="O49" s="223"/>
      <c r="P49" s="223">
        <f>Nomina!K89</f>
        <v>735</v>
      </c>
      <c r="Q49" s="223">
        <f>Nomina!K100</f>
        <v>6281</v>
      </c>
      <c r="R49" s="223">
        <v>0</v>
      </c>
      <c r="S49" s="223"/>
      <c r="T49" s="223">
        <f>Nomina!K116</f>
        <v>630</v>
      </c>
      <c r="U49" s="549">
        <f>Nomina!K126</f>
        <v>5596.5</v>
      </c>
      <c r="V49" s="667">
        <f>SUM(C49:U49)</f>
        <v>32593.5</v>
      </c>
      <c r="W49" s="219"/>
      <c r="X49" s="219"/>
      <c r="Z49" s="114"/>
      <c r="AA49" s="114"/>
      <c r="AB49" s="203"/>
      <c r="AD49" s="124"/>
    </row>
    <row r="50" spans="1:42" s="52" customFormat="1" ht="12" thickBot="1" x14ac:dyDescent="0.25">
      <c r="A50" s="1183" t="s">
        <v>862</v>
      </c>
      <c r="B50" s="1184"/>
      <c r="C50" s="224">
        <f>SUM(C45:C49)</f>
        <v>11561</v>
      </c>
      <c r="D50" s="224">
        <f t="shared" ref="D50:V50" si="5">SUM(D45:D49)</f>
        <v>0</v>
      </c>
      <c r="E50" s="224">
        <f t="shared" si="5"/>
        <v>33165</v>
      </c>
      <c r="F50" s="224">
        <f t="shared" si="5"/>
        <v>48875.44</v>
      </c>
      <c r="G50" s="224"/>
      <c r="H50" s="224">
        <f t="shared" si="5"/>
        <v>87154.68</v>
      </c>
      <c r="I50" s="224">
        <f t="shared" si="5"/>
        <v>33398.74</v>
      </c>
      <c r="J50" s="224">
        <f t="shared" si="5"/>
        <v>18902</v>
      </c>
      <c r="K50" s="224">
        <f t="shared" si="5"/>
        <v>0</v>
      </c>
      <c r="L50" s="224">
        <f t="shared" si="5"/>
        <v>0</v>
      </c>
      <c r="M50" s="224">
        <f t="shared" si="5"/>
        <v>10858</v>
      </c>
      <c r="N50" s="224">
        <f t="shared" si="5"/>
        <v>24858.6</v>
      </c>
      <c r="O50" s="224">
        <f t="shared" si="5"/>
        <v>0</v>
      </c>
      <c r="P50" s="224">
        <f t="shared" si="5"/>
        <v>10154</v>
      </c>
      <c r="Q50" s="224">
        <f t="shared" si="5"/>
        <v>86935.6</v>
      </c>
      <c r="R50" s="224">
        <f t="shared" si="5"/>
        <v>0</v>
      </c>
      <c r="S50" s="224">
        <f t="shared" si="5"/>
        <v>0</v>
      </c>
      <c r="T50" s="224">
        <f t="shared" si="5"/>
        <v>8747</v>
      </c>
      <c r="U50" s="224">
        <f t="shared" si="5"/>
        <v>79263.100000000006</v>
      </c>
      <c r="V50" s="224">
        <f t="shared" si="5"/>
        <v>453873.16</v>
      </c>
      <c r="W50" s="219"/>
      <c r="X50" s="227"/>
      <c r="Z50" s="124"/>
      <c r="AA50" s="124"/>
      <c r="AB50" s="124"/>
      <c r="AD50" s="114"/>
    </row>
    <row r="51" spans="1:42" s="32" customFormat="1" thickBot="1" x14ac:dyDescent="0.25">
      <c r="C51" s="228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552"/>
    </row>
    <row r="52" spans="1:42" s="52" customFormat="1" ht="13.5" customHeight="1" thickTop="1" x14ac:dyDescent="0.2">
      <c r="A52" s="191"/>
      <c r="B52" s="192" t="s">
        <v>184</v>
      </c>
      <c r="C52" s="513"/>
      <c r="D52" s="514"/>
      <c r="E52" s="514"/>
      <c r="F52" s="514"/>
      <c r="G52" s="513"/>
      <c r="H52" s="513"/>
      <c r="I52" s="514"/>
      <c r="J52" s="514"/>
      <c r="K52" s="514"/>
      <c r="L52" s="514"/>
      <c r="M52" s="514"/>
      <c r="N52" s="514"/>
      <c r="O52" s="514"/>
      <c r="P52" s="514"/>
      <c r="Q52" s="514"/>
      <c r="R52" s="514"/>
      <c r="S52" s="514"/>
      <c r="T52" s="514"/>
      <c r="U52" s="514"/>
      <c r="V52" s="1180" t="s">
        <v>31</v>
      </c>
      <c r="W52" s="214"/>
      <c r="X52" s="214"/>
      <c r="Z52" s="1179"/>
      <c r="AA52" s="1179"/>
      <c r="AB52" s="1179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</row>
    <row r="53" spans="1:42" s="52" customFormat="1" ht="25.5" customHeight="1" thickBot="1" x14ac:dyDescent="0.25">
      <c r="A53" s="195" t="s">
        <v>88</v>
      </c>
      <c r="B53" s="196" t="s">
        <v>89</v>
      </c>
      <c r="C53" s="515" t="s">
        <v>562</v>
      </c>
      <c r="D53" s="516" t="s">
        <v>563</v>
      </c>
      <c r="E53" s="516" t="s">
        <v>550</v>
      </c>
      <c r="F53" s="515" t="s">
        <v>415</v>
      </c>
      <c r="G53" s="515" t="s">
        <v>673</v>
      </c>
      <c r="H53" s="516" t="s">
        <v>207</v>
      </c>
      <c r="I53" s="516" t="s">
        <v>182</v>
      </c>
      <c r="J53" s="516" t="s">
        <v>206</v>
      </c>
      <c r="K53" s="516" t="s">
        <v>736</v>
      </c>
      <c r="L53" s="516" t="s">
        <v>729</v>
      </c>
      <c r="M53" s="516" t="s">
        <v>440</v>
      </c>
      <c r="N53" s="516" t="s">
        <v>553</v>
      </c>
      <c r="O53" s="198" t="s">
        <v>618</v>
      </c>
      <c r="P53" s="516" t="s">
        <v>514</v>
      </c>
      <c r="Q53" s="516" t="s">
        <v>564</v>
      </c>
      <c r="R53" s="198" t="s">
        <v>623</v>
      </c>
      <c r="S53" s="516" t="s">
        <v>565</v>
      </c>
      <c r="T53" s="516" t="s">
        <v>580</v>
      </c>
      <c r="U53" s="516"/>
      <c r="V53" s="1181"/>
      <c r="W53" s="215"/>
      <c r="X53" s="215"/>
      <c r="Z53" s="50"/>
      <c r="AA53" s="50"/>
      <c r="AB53" s="50"/>
    </row>
    <row r="54" spans="1:42" s="52" customFormat="1" ht="11.25" x14ac:dyDescent="0.2">
      <c r="A54" s="200" t="s">
        <v>2</v>
      </c>
      <c r="B54" s="201" t="s">
        <v>286</v>
      </c>
      <c r="C54" s="216"/>
      <c r="D54" s="217">
        <v>0</v>
      </c>
      <c r="E54" s="217"/>
      <c r="F54" s="217"/>
      <c r="G54" s="216"/>
      <c r="H54" s="216"/>
      <c r="I54" s="217"/>
      <c r="J54" s="217"/>
      <c r="K54" s="217">
        <f>Nomina!I87</f>
        <v>9600</v>
      </c>
      <c r="L54" s="217">
        <f>Nomina!I115</f>
        <v>6000</v>
      </c>
      <c r="M54" s="217"/>
      <c r="N54" s="217"/>
      <c r="O54" s="217">
        <f>Nomina!I84</f>
        <v>10980</v>
      </c>
      <c r="P54" s="217"/>
      <c r="Q54" s="217"/>
      <c r="R54" s="217">
        <f>Nomina!I119</f>
        <v>6000</v>
      </c>
      <c r="S54" s="217">
        <f>Nomina!I112</f>
        <v>70080</v>
      </c>
      <c r="T54" s="217"/>
      <c r="U54" s="217"/>
      <c r="V54" s="667">
        <f>SUM(C54:U54)</f>
        <v>102660</v>
      </c>
      <c r="W54" s="219"/>
      <c r="X54" s="219"/>
      <c r="Z54" s="114"/>
      <c r="AA54" s="114"/>
      <c r="AB54" s="203"/>
    </row>
    <row r="55" spans="1:42" s="52" customFormat="1" ht="11.25" x14ac:dyDescent="0.2">
      <c r="A55" s="204" t="s">
        <v>694</v>
      </c>
      <c r="B55" s="205" t="s">
        <v>352</v>
      </c>
      <c r="C55" s="220"/>
      <c r="D55" s="221">
        <v>0</v>
      </c>
      <c r="E55" s="221"/>
      <c r="F55" s="221"/>
      <c r="G55" s="220"/>
      <c r="H55" s="220"/>
      <c r="I55" s="221"/>
      <c r="J55" s="221"/>
      <c r="K55" s="221">
        <f>Nomina!J87</f>
        <v>305</v>
      </c>
      <c r="L55" s="221">
        <f>Nomina!J115</f>
        <v>305</v>
      </c>
      <c r="M55" s="221"/>
      <c r="N55" s="221"/>
      <c r="O55" s="221">
        <f>Nomina!J84</f>
        <v>610</v>
      </c>
      <c r="P55" s="221"/>
      <c r="Q55" s="221"/>
      <c r="R55" s="221">
        <f>Nomina!J119</f>
        <v>305</v>
      </c>
      <c r="S55" s="221">
        <f>Nomina!J112</f>
        <v>3965</v>
      </c>
      <c r="T55" s="221"/>
      <c r="U55" s="221"/>
      <c r="V55" s="667">
        <f>SUM(C55:U55)</f>
        <v>5490</v>
      </c>
      <c r="W55" s="219"/>
      <c r="X55" s="219"/>
      <c r="Z55" s="114"/>
      <c r="AA55" s="114"/>
      <c r="AB55" s="203"/>
    </row>
    <row r="56" spans="1:42" s="52" customFormat="1" ht="11.25" x14ac:dyDescent="0.2">
      <c r="A56" s="204" t="s">
        <v>8</v>
      </c>
      <c r="B56" s="205" t="s">
        <v>287</v>
      </c>
      <c r="C56" s="220"/>
      <c r="D56" s="221"/>
      <c r="E56" s="221"/>
      <c r="F56" s="221"/>
      <c r="G56" s="220"/>
      <c r="H56" s="220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667">
        <f>SUM(C56:U56)</f>
        <v>0</v>
      </c>
      <c r="W56" s="219"/>
      <c r="X56" s="219"/>
      <c r="Z56" s="114"/>
      <c r="AA56" s="114"/>
      <c r="AB56" s="203"/>
    </row>
    <row r="57" spans="1:42" s="52" customFormat="1" ht="11.25" x14ac:dyDescent="0.2">
      <c r="A57" s="204" t="s">
        <v>6</v>
      </c>
      <c r="B57" s="205" t="s">
        <v>288</v>
      </c>
      <c r="C57" s="220"/>
      <c r="D57" s="221">
        <v>0</v>
      </c>
      <c r="E57" s="221"/>
      <c r="F57" s="221"/>
      <c r="G57" s="220"/>
      <c r="H57" s="220"/>
      <c r="I57" s="221"/>
      <c r="J57" s="221"/>
      <c r="K57" s="221">
        <f>Nomina!O87</f>
        <v>816</v>
      </c>
      <c r="L57" s="221">
        <f>Nomina!O115</f>
        <v>510</v>
      </c>
      <c r="M57" s="221"/>
      <c r="N57" s="221"/>
      <c r="O57" s="221">
        <f>Nomina!O84</f>
        <v>933.3</v>
      </c>
      <c r="P57" s="221"/>
      <c r="Q57" s="221"/>
      <c r="R57" s="221">
        <f>Nomina!O119</f>
        <v>510</v>
      </c>
      <c r="S57" s="221">
        <f>Nomina!O112</f>
        <v>5956.8</v>
      </c>
      <c r="T57" s="221"/>
      <c r="U57" s="221"/>
      <c r="V57" s="667">
        <f>SUM(C57:U57)</f>
        <v>8726.1</v>
      </c>
      <c r="W57" s="219"/>
      <c r="X57" s="219"/>
      <c r="Z57" s="114"/>
      <c r="AA57" s="114"/>
      <c r="AB57" s="203"/>
      <c r="AD57" s="114"/>
    </row>
    <row r="58" spans="1:42" s="52" customFormat="1" ht="12" thickBot="1" x14ac:dyDescent="0.25">
      <c r="A58" s="207" t="s">
        <v>5</v>
      </c>
      <c r="B58" s="208" t="s">
        <v>289</v>
      </c>
      <c r="C58" s="222"/>
      <c r="D58" s="223">
        <v>0</v>
      </c>
      <c r="E58" s="223"/>
      <c r="F58" s="223"/>
      <c r="G58" s="222"/>
      <c r="H58" s="222"/>
      <c r="I58" s="223"/>
      <c r="J58" s="223"/>
      <c r="K58" s="223">
        <f>Nomina!K87</f>
        <v>840</v>
      </c>
      <c r="L58" s="223">
        <f>Nomina!K115</f>
        <v>525</v>
      </c>
      <c r="M58" s="223"/>
      <c r="N58" s="223"/>
      <c r="O58" s="223">
        <f>Nomina!K84</f>
        <v>961</v>
      </c>
      <c r="P58" s="223"/>
      <c r="Q58" s="223"/>
      <c r="R58" s="223">
        <f>Nomina!K119</f>
        <v>525</v>
      </c>
      <c r="S58" s="223">
        <f>Nomina!K112</f>
        <v>6132</v>
      </c>
      <c r="T58" s="223"/>
      <c r="U58" s="223"/>
      <c r="V58" s="667">
        <f>SUM(C58:U58)</f>
        <v>8983</v>
      </c>
      <c r="W58" s="219"/>
      <c r="X58" s="219"/>
      <c r="Z58" s="114"/>
      <c r="AA58" s="114"/>
      <c r="AB58" s="203"/>
      <c r="AD58" s="124"/>
    </row>
    <row r="59" spans="1:42" s="52" customFormat="1" ht="12" thickBot="1" x14ac:dyDescent="0.25">
      <c r="A59" s="1183" t="s">
        <v>862</v>
      </c>
      <c r="B59" s="1184"/>
      <c r="C59" s="224">
        <f>SUM(C54:C58)</f>
        <v>0</v>
      </c>
      <c r="D59" s="224">
        <f t="shared" ref="D59:V59" si="6">SUM(D54:D58)</f>
        <v>0</v>
      </c>
      <c r="E59" s="224">
        <f t="shared" si="6"/>
        <v>0</v>
      </c>
      <c r="F59" s="224">
        <f t="shared" si="6"/>
        <v>0</v>
      </c>
      <c r="G59" s="224"/>
      <c r="H59" s="224">
        <f t="shared" si="6"/>
        <v>0</v>
      </c>
      <c r="I59" s="224">
        <f t="shared" si="6"/>
        <v>0</v>
      </c>
      <c r="J59" s="224">
        <f t="shared" si="6"/>
        <v>0</v>
      </c>
      <c r="K59" s="224">
        <f t="shared" si="6"/>
        <v>11561</v>
      </c>
      <c r="L59" s="224">
        <f>SUM(L54:L58)</f>
        <v>7340</v>
      </c>
      <c r="M59" s="224">
        <f t="shared" si="6"/>
        <v>0</v>
      </c>
      <c r="N59" s="224">
        <f t="shared" si="6"/>
        <v>0</v>
      </c>
      <c r="O59" s="224">
        <f t="shared" si="6"/>
        <v>13484.3</v>
      </c>
      <c r="P59" s="224">
        <f t="shared" si="6"/>
        <v>0</v>
      </c>
      <c r="Q59" s="224">
        <f t="shared" si="6"/>
        <v>0</v>
      </c>
      <c r="R59" s="224">
        <f t="shared" si="6"/>
        <v>7340</v>
      </c>
      <c r="S59" s="224">
        <f t="shared" si="6"/>
        <v>86133.8</v>
      </c>
      <c r="T59" s="224">
        <f t="shared" si="6"/>
        <v>0</v>
      </c>
      <c r="U59" s="224">
        <f t="shared" si="6"/>
        <v>0</v>
      </c>
      <c r="V59" s="224">
        <f t="shared" si="6"/>
        <v>125859.1</v>
      </c>
      <c r="W59" s="219"/>
      <c r="X59" s="227"/>
      <c r="Z59" s="124"/>
      <c r="AA59" s="124"/>
      <c r="AB59" s="124"/>
      <c r="AD59" s="114"/>
    </row>
    <row r="60" spans="1:42" s="32" customFormat="1" thickBot="1" x14ac:dyDescent="0.25">
      <c r="C60" s="553"/>
      <c r="D60" s="553"/>
      <c r="E60" s="553"/>
      <c r="F60" s="553"/>
      <c r="G60" s="553"/>
      <c r="H60" s="553"/>
      <c r="I60" s="553"/>
      <c r="J60" s="553"/>
      <c r="K60" s="553"/>
      <c r="L60" s="553"/>
      <c r="M60" s="553"/>
      <c r="N60" s="553"/>
      <c r="O60" s="553"/>
      <c r="P60" s="553"/>
      <c r="Q60" s="553"/>
      <c r="R60" s="553"/>
      <c r="S60" s="553"/>
      <c r="T60" s="553"/>
      <c r="U60" s="553"/>
      <c r="V60" s="553"/>
      <c r="W60" s="219"/>
    </row>
    <row r="61" spans="1:42" s="32" customFormat="1" ht="13.5" thickTop="1" thickBot="1" x14ac:dyDescent="0.25">
      <c r="A61" s="1185" t="s">
        <v>389</v>
      </c>
      <c r="B61" s="1186"/>
      <c r="C61" s="1029">
        <f>C59+C50</f>
        <v>11561</v>
      </c>
      <c r="D61" s="1029">
        <f t="shared" ref="D61:V61" si="7">D59+D50</f>
        <v>0</v>
      </c>
      <c r="E61" s="1029">
        <f t="shared" si="7"/>
        <v>33165</v>
      </c>
      <c r="F61" s="1029">
        <f t="shared" si="7"/>
        <v>48875.44</v>
      </c>
      <c r="G61" s="1029">
        <f t="shared" si="7"/>
        <v>0</v>
      </c>
      <c r="H61" s="1029">
        <f t="shared" si="7"/>
        <v>87154.68</v>
      </c>
      <c r="I61" s="1029">
        <f t="shared" si="7"/>
        <v>33398.74</v>
      </c>
      <c r="J61" s="1029">
        <f t="shared" si="7"/>
        <v>18902</v>
      </c>
      <c r="K61" s="1029">
        <f t="shared" si="7"/>
        <v>11561</v>
      </c>
      <c r="L61" s="1029">
        <f t="shared" si="7"/>
        <v>7340</v>
      </c>
      <c r="M61" s="1029">
        <f t="shared" si="7"/>
        <v>10858</v>
      </c>
      <c r="N61" s="1029">
        <f t="shared" si="7"/>
        <v>24858.6</v>
      </c>
      <c r="O61" s="1029">
        <f t="shared" si="7"/>
        <v>13484.3</v>
      </c>
      <c r="P61" s="1029">
        <f t="shared" si="7"/>
        <v>10154</v>
      </c>
      <c r="Q61" s="1029">
        <f t="shared" si="7"/>
        <v>86935.6</v>
      </c>
      <c r="R61" s="1029">
        <f t="shared" si="7"/>
        <v>7340</v>
      </c>
      <c r="S61" s="1029">
        <f t="shared" si="7"/>
        <v>86133.8</v>
      </c>
      <c r="T61" s="1029">
        <f t="shared" si="7"/>
        <v>8747</v>
      </c>
      <c r="U61" s="1029">
        <f t="shared" si="7"/>
        <v>79263.100000000006</v>
      </c>
      <c r="V61" s="1029">
        <f t="shared" si="7"/>
        <v>579732.26</v>
      </c>
      <c r="W61" s="219"/>
      <c r="X61" s="227"/>
    </row>
    <row r="62" spans="1:42" s="32" customFormat="1" thickTop="1" x14ac:dyDescent="0.2"/>
    <row r="63" spans="1:42" s="32" customFormat="1" ht="12" x14ac:dyDescent="0.2"/>
    <row r="64" spans="1:42" ht="15" customHeight="1" x14ac:dyDescent="0.25">
      <c r="A64" s="1140" t="s">
        <v>268</v>
      </c>
      <c r="B64" s="1140"/>
      <c r="C64" s="1140"/>
      <c r="D64" s="1140"/>
      <c r="E64" s="1140"/>
      <c r="F64" s="1140"/>
      <c r="G64" s="1140"/>
      <c r="H64" s="1140"/>
      <c r="I64" s="1140"/>
      <c r="J64" s="1140"/>
      <c r="K64" s="1140"/>
      <c r="L64" s="1140"/>
      <c r="M64" s="1140"/>
      <c r="N64" s="1140"/>
      <c r="O64" s="1140"/>
      <c r="P64" s="1140"/>
      <c r="Q64" s="1140"/>
      <c r="R64" s="51"/>
      <c r="S64" s="51"/>
      <c r="T64" s="51"/>
      <c r="U64" s="51"/>
      <c r="V64" s="51"/>
      <c r="W64" s="51"/>
      <c r="X64" s="51"/>
      <c r="Y64" s="51"/>
      <c r="Z64" s="51"/>
    </row>
    <row r="65" spans="1:40" ht="15" customHeight="1" x14ac:dyDescent="0.25">
      <c r="A65" s="1176" t="s">
        <v>763</v>
      </c>
      <c r="B65" s="1176"/>
      <c r="C65" s="1176"/>
      <c r="D65" s="1176"/>
      <c r="E65" s="1176"/>
      <c r="F65" s="1176"/>
      <c r="G65" s="1176"/>
      <c r="H65" s="1176"/>
      <c r="I65" s="1176"/>
      <c r="J65" s="1176"/>
      <c r="K65" s="1176"/>
      <c r="L65" s="1176"/>
      <c r="M65" s="1176"/>
      <c r="N65" s="1176"/>
      <c r="O65" s="1176"/>
      <c r="P65" s="1176"/>
      <c r="Q65" s="1176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</row>
    <row r="66" spans="1:40" ht="15" customHeight="1" x14ac:dyDescent="0.25">
      <c r="A66" s="1176" t="s">
        <v>186</v>
      </c>
      <c r="B66" s="1176"/>
      <c r="C66" s="1176"/>
      <c r="D66" s="1176"/>
      <c r="E66" s="1176"/>
      <c r="F66" s="1176"/>
      <c r="G66" s="1176"/>
      <c r="H66" s="1176"/>
      <c r="I66" s="1176"/>
      <c r="J66" s="1176"/>
      <c r="K66" s="1176"/>
      <c r="L66" s="1176"/>
      <c r="M66" s="1176"/>
      <c r="N66" s="1176"/>
      <c r="O66" s="1176"/>
      <c r="P66" s="1176"/>
      <c r="Q66" s="1176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</row>
    <row r="67" spans="1:40" ht="15" customHeight="1" x14ac:dyDescent="0.25">
      <c r="A67" s="1176" t="s">
        <v>72</v>
      </c>
      <c r="B67" s="1176"/>
      <c r="C67" s="1176"/>
      <c r="D67" s="1176"/>
      <c r="E67" s="1176"/>
      <c r="F67" s="1176"/>
      <c r="G67" s="1176"/>
      <c r="H67" s="1176"/>
      <c r="I67" s="1176"/>
      <c r="J67" s="1176"/>
      <c r="K67" s="1176"/>
      <c r="L67" s="1176"/>
      <c r="M67" s="1176"/>
      <c r="N67" s="1176"/>
      <c r="O67" s="1176"/>
      <c r="P67" s="1176"/>
      <c r="Q67" s="1176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</row>
    <row r="68" spans="1:40" s="32" customFormat="1" ht="12" x14ac:dyDescent="0.2">
      <c r="Q68" s="101"/>
    </row>
    <row r="69" spans="1:40" s="32" customFormat="1" ht="12" x14ac:dyDescent="0.2">
      <c r="A69" s="187" t="s">
        <v>454</v>
      </c>
      <c r="X69" s="188"/>
    </row>
    <row r="70" spans="1:40" s="32" customFormat="1" thickBot="1" x14ac:dyDescent="0.25">
      <c r="A70" s="187" t="s">
        <v>455</v>
      </c>
      <c r="B70" s="189"/>
      <c r="AB70" s="190"/>
      <c r="AC70" s="190"/>
      <c r="AD70" s="190"/>
      <c r="AE70" s="190"/>
      <c r="AF70" s="190"/>
      <c r="AG70" s="190"/>
      <c r="AH70" s="190"/>
      <c r="AI70" s="190"/>
      <c r="AJ70" s="190"/>
      <c r="AK70" s="190"/>
      <c r="AL70" s="190"/>
      <c r="AM70" s="190"/>
      <c r="AN70" s="190"/>
    </row>
    <row r="71" spans="1:40" s="52" customFormat="1" ht="13.5" customHeight="1" thickTop="1" x14ac:dyDescent="0.2">
      <c r="A71" s="191"/>
      <c r="B71" s="192" t="s">
        <v>184</v>
      </c>
      <c r="C71" s="193"/>
      <c r="D71" s="194"/>
      <c r="E71" s="1177" t="s">
        <v>31</v>
      </c>
      <c r="F71" s="214"/>
      <c r="G71" s="214"/>
      <c r="H71" s="214"/>
      <c r="I71" s="214"/>
      <c r="J71" s="214"/>
      <c r="K71" s="214"/>
      <c r="L71" s="214"/>
      <c r="N71" s="1179"/>
      <c r="O71" s="1179"/>
      <c r="P71" s="1179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</row>
    <row r="72" spans="1:40" s="52" customFormat="1" ht="25.5" customHeight="1" thickBot="1" x14ac:dyDescent="0.25">
      <c r="A72" s="195" t="s">
        <v>88</v>
      </c>
      <c r="B72" s="196" t="s">
        <v>89</v>
      </c>
      <c r="C72" s="197" t="s">
        <v>183</v>
      </c>
      <c r="D72" s="198" t="s">
        <v>285</v>
      </c>
      <c r="E72" s="1178"/>
      <c r="F72" s="215"/>
      <c r="G72" s="215"/>
      <c r="H72" s="215"/>
      <c r="I72" s="215"/>
      <c r="J72" s="215"/>
      <c r="K72" s="215"/>
      <c r="L72" s="215"/>
      <c r="N72" s="50"/>
      <c r="O72" s="50"/>
      <c r="P72" s="50"/>
    </row>
    <row r="73" spans="1:40" s="52" customFormat="1" ht="11.25" x14ac:dyDescent="0.2">
      <c r="A73" s="200" t="s">
        <v>2</v>
      </c>
      <c r="B73" s="201" t="s">
        <v>286</v>
      </c>
      <c r="C73" s="216"/>
      <c r="D73" s="511"/>
      <c r="E73" s="554">
        <f>SUM(C73:D73)</f>
        <v>0</v>
      </c>
      <c r="F73" s="219"/>
      <c r="G73" s="219"/>
      <c r="H73" s="219"/>
      <c r="I73" s="219"/>
      <c r="J73" s="219"/>
      <c r="K73" s="219"/>
      <c r="L73" s="219"/>
      <c r="N73" s="114"/>
      <c r="O73" s="114"/>
      <c r="P73" s="203"/>
    </row>
    <row r="74" spans="1:40" s="52" customFormat="1" ht="11.25" x14ac:dyDescent="0.2">
      <c r="A74" s="204" t="s">
        <v>694</v>
      </c>
      <c r="B74" s="205" t="s">
        <v>352</v>
      </c>
      <c r="C74" s="220"/>
      <c r="D74" s="551"/>
      <c r="E74" s="554">
        <f>SUM(C74:D74)</f>
        <v>0</v>
      </c>
      <c r="F74" s="219"/>
      <c r="G74" s="219"/>
      <c r="H74" s="219"/>
      <c r="I74" s="219"/>
      <c r="J74" s="219"/>
      <c r="K74" s="219"/>
      <c r="L74" s="219"/>
      <c r="N74" s="114"/>
      <c r="O74" s="114"/>
      <c r="P74" s="203"/>
    </row>
    <row r="75" spans="1:40" s="52" customFormat="1" ht="11.25" x14ac:dyDescent="0.2">
      <c r="A75" s="204" t="s">
        <v>8</v>
      </c>
      <c r="B75" s="205" t="s">
        <v>287</v>
      </c>
      <c r="C75" s="220"/>
      <c r="D75" s="551"/>
      <c r="E75" s="554">
        <f>SUM(C75:D75)</f>
        <v>0</v>
      </c>
      <c r="F75" s="219"/>
      <c r="G75" s="219"/>
      <c r="H75" s="219"/>
      <c r="I75" s="219"/>
      <c r="J75" s="219"/>
      <c r="K75" s="219"/>
      <c r="L75" s="219"/>
      <c r="N75" s="114"/>
      <c r="O75" s="114"/>
      <c r="P75" s="203"/>
    </row>
    <row r="76" spans="1:40" s="52" customFormat="1" ht="11.25" x14ac:dyDescent="0.2">
      <c r="A76" s="204" t="s">
        <v>6</v>
      </c>
      <c r="B76" s="205" t="s">
        <v>288</v>
      </c>
      <c r="C76" s="556"/>
      <c r="D76" s="551"/>
      <c r="E76" s="554">
        <f>SUM(C76:D76)</f>
        <v>0</v>
      </c>
      <c r="F76" s="219"/>
      <c r="G76" s="219"/>
      <c r="H76" s="219"/>
      <c r="I76" s="219"/>
      <c r="J76" s="219"/>
      <c r="K76" s="219"/>
      <c r="L76" s="219"/>
      <c r="N76" s="114"/>
      <c r="O76" s="114"/>
      <c r="P76" s="203"/>
      <c r="R76" s="114"/>
    </row>
    <row r="77" spans="1:40" s="52" customFormat="1" ht="12" thickBot="1" x14ac:dyDescent="0.25">
      <c r="A77" s="207" t="s">
        <v>5</v>
      </c>
      <c r="B77" s="208" t="s">
        <v>289</v>
      </c>
      <c r="C77" s="557"/>
      <c r="D77" s="549"/>
      <c r="E77" s="554">
        <f>SUM(C77:D77)</f>
        <v>0</v>
      </c>
      <c r="F77" s="219"/>
      <c r="G77" s="219"/>
      <c r="H77" s="219"/>
      <c r="I77" s="219"/>
      <c r="J77" s="219"/>
      <c r="K77" s="219"/>
      <c r="L77" s="219"/>
      <c r="N77" s="114"/>
      <c r="O77" s="114"/>
      <c r="P77" s="203"/>
      <c r="R77" s="124"/>
    </row>
    <row r="78" spans="1:40" s="52" customFormat="1" ht="12" thickBot="1" x14ac:dyDescent="0.25">
      <c r="A78" s="1183" t="s">
        <v>862</v>
      </c>
      <c r="B78" s="1184"/>
      <c r="C78" s="558">
        <f>SUM(C73:C77)</f>
        <v>0</v>
      </c>
      <c r="D78" s="550">
        <f>SUM(D73:D77)</f>
        <v>0</v>
      </c>
      <c r="E78" s="555">
        <f>SUM(E73:E77)</f>
        <v>0</v>
      </c>
      <c r="F78" s="227"/>
      <c r="G78" s="227"/>
      <c r="H78" s="227"/>
      <c r="I78" s="227"/>
      <c r="J78" s="227"/>
      <c r="K78" s="227"/>
      <c r="L78" s="227"/>
      <c r="N78" s="124"/>
      <c r="O78" s="124"/>
      <c r="P78" s="124"/>
      <c r="R78" s="114"/>
    </row>
    <row r="79" spans="1:40" s="32" customFormat="1" thickBot="1" x14ac:dyDescent="0.25">
      <c r="E79" s="210"/>
    </row>
    <row r="80" spans="1:40" s="52" customFormat="1" ht="13.5" customHeight="1" thickTop="1" x14ac:dyDescent="0.2">
      <c r="A80" s="191"/>
      <c r="B80" s="192" t="s">
        <v>184</v>
      </c>
      <c r="C80" s="193"/>
      <c r="D80" s="194"/>
      <c r="E80" s="1177" t="s">
        <v>31</v>
      </c>
      <c r="F80" s="214"/>
      <c r="G80" s="214"/>
      <c r="H80" s="214"/>
      <c r="I80" s="214"/>
      <c r="J80" s="214"/>
      <c r="K80" s="214"/>
      <c r="L80" s="214"/>
      <c r="N80" s="1179"/>
      <c r="O80" s="1179"/>
      <c r="P80" s="1179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</row>
    <row r="81" spans="1:40" s="52" customFormat="1" ht="25.5" customHeight="1" thickBot="1" x14ac:dyDescent="0.25">
      <c r="A81" s="195" t="s">
        <v>88</v>
      </c>
      <c r="B81" s="196" t="s">
        <v>89</v>
      </c>
      <c r="C81" s="197" t="s">
        <v>183</v>
      </c>
      <c r="D81" s="198" t="s">
        <v>285</v>
      </c>
      <c r="E81" s="1178"/>
      <c r="F81" s="215"/>
      <c r="G81" s="215"/>
      <c r="H81" s="215"/>
      <c r="I81" s="215"/>
      <c r="J81" s="215"/>
      <c r="K81" s="215"/>
      <c r="L81" s="215"/>
      <c r="N81" s="50"/>
      <c r="O81" s="50"/>
      <c r="P81" s="50"/>
    </row>
    <row r="82" spans="1:40" s="52" customFormat="1" ht="11.25" x14ac:dyDescent="0.2">
      <c r="A82" s="200" t="s">
        <v>2</v>
      </c>
      <c r="B82" s="201" t="s">
        <v>286</v>
      </c>
      <c r="C82" s="216">
        <f>Nomina!I148</f>
        <v>92652</v>
      </c>
      <c r="D82" s="217">
        <f>Nomina!I153</f>
        <v>30900</v>
      </c>
      <c r="E82" s="667">
        <f>SUM(C82:D82)</f>
        <v>123552</v>
      </c>
      <c r="F82" s="219"/>
      <c r="G82" s="219"/>
      <c r="H82" s="219"/>
      <c r="I82" s="219"/>
      <c r="J82" s="219"/>
      <c r="K82" s="219"/>
      <c r="L82" s="219"/>
      <c r="N82" s="114"/>
      <c r="O82" s="114"/>
      <c r="P82" s="203"/>
    </row>
    <row r="83" spans="1:40" s="52" customFormat="1" ht="11.25" x14ac:dyDescent="0.2">
      <c r="A83" s="204" t="s">
        <v>694</v>
      </c>
      <c r="B83" s="205" t="s">
        <v>352</v>
      </c>
      <c r="C83" s="220">
        <f>Nomina!J148</f>
        <v>5490</v>
      </c>
      <c r="D83" s="221">
        <f>Nomina!J153</f>
        <v>1830</v>
      </c>
      <c r="E83" s="667">
        <f>SUM(C83:D83)</f>
        <v>7320</v>
      </c>
      <c r="F83" s="219"/>
      <c r="G83" s="219"/>
      <c r="H83" s="219"/>
      <c r="I83" s="219"/>
      <c r="J83" s="219"/>
      <c r="K83" s="219"/>
      <c r="L83" s="219"/>
      <c r="N83" s="114"/>
      <c r="O83" s="114"/>
      <c r="P83" s="203"/>
    </row>
    <row r="84" spans="1:40" s="52" customFormat="1" ht="11.25" x14ac:dyDescent="0.2">
      <c r="A84" s="204" t="s">
        <v>8</v>
      </c>
      <c r="B84" s="205" t="s">
        <v>287</v>
      </c>
      <c r="C84" s="220"/>
      <c r="D84" s="221"/>
      <c r="E84" s="667">
        <f>SUM(C84:D84)</f>
        <v>0</v>
      </c>
      <c r="F84" s="219"/>
      <c r="G84" s="219"/>
      <c r="H84" s="219"/>
      <c r="I84" s="219"/>
      <c r="J84" s="219"/>
      <c r="K84" s="219"/>
      <c r="L84" s="219"/>
      <c r="N84" s="114"/>
      <c r="O84" s="114"/>
      <c r="P84" s="203"/>
    </row>
    <row r="85" spans="1:40" s="52" customFormat="1" ht="11.25" x14ac:dyDescent="0.2">
      <c r="A85" s="204" t="s">
        <v>6</v>
      </c>
      <c r="B85" s="205" t="s">
        <v>288</v>
      </c>
      <c r="C85" s="220">
        <f>Nomina!O148</f>
        <v>7875.42</v>
      </c>
      <c r="D85" s="221">
        <f>Nomina!O153</f>
        <v>2626.5000000000005</v>
      </c>
      <c r="E85" s="667">
        <f>SUM(C85:D85)</f>
        <v>10501.92</v>
      </c>
      <c r="F85" s="219"/>
      <c r="G85" s="219"/>
      <c r="H85" s="219"/>
      <c r="I85" s="219"/>
      <c r="J85" s="219"/>
      <c r="K85" s="219"/>
      <c r="L85" s="219"/>
      <c r="N85" s="114"/>
      <c r="O85" s="114"/>
      <c r="P85" s="203"/>
      <c r="R85" s="114"/>
    </row>
    <row r="86" spans="1:40" s="52" customFormat="1" ht="12" thickBot="1" x14ac:dyDescent="0.25">
      <c r="A86" s="207" t="s">
        <v>5</v>
      </c>
      <c r="B86" s="208" t="s">
        <v>289</v>
      </c>
      <c r="C86" s="222">
        <f>Nomina!K148</f>
        <v>8109</v>
      </c>
      <c r="D86" s="223">
        <f>Nomina!K153</f>
        <v>2704</v>
      </c>
      <c r="E86" s="667">
        <f>SUM(C86:D86)</f>
        <v>10813</v>
      </c>
      <c r="F86" s="219"/>
      <c r="G86" s="219"/>
      <c r="H86" s="219"/>
      <c r="I86" s="219"/>
      <c r="J86" s="219"/>
      <c r="K86" s="219"/>
      <c r="L86" s="219"/>
      <c r="N86" s="114"/>
      <c r="O86" s="114"/>
      <c r="P86" s="203"/>
      <c r="R86" s="124"/>
    </row>
    <row r="87" spans="1:40" s="52" customFormat="1" ht="12" thickBot="1" x14ac:dyDescent="0.25">
      <c r="A87" s="1183" t="s">
        <v>388</v>
      </c>
      <c r="B87" s="1184"/>
      <c r="C87" s="224">
        <f>SUM(C82:C86)</f>
        <v>114126.42</v>
      </c>
      <c r="D87" s="225">
        <f>SUM(D82:D86)</f>
        <v>38060.5</v>
      </c>
      <c r="E87" s="668">
        <f>SUM(E82:E86)</f>
        <v>152186.92000000001</v>
      </c>
      <c r="F87" s="219"/>
      <c r="G87" s="219"/>
      <c r="H87" s="227"/>
      <c r="I87" s="227"/>
      <c r="J87" s="227"/>
      <c r="K87" s="227"/>
      <c r="L87" s="227"/>
      <c r="N87" s="124"/>
      <c r="O87" s="124"/>
      <c r="P87" s="124"/>
      <c r="R87" s="114"/>
    </row>
    <row r="88" spans="1:40" s="32" customFormat="1" thickBot="1" x14ac:dyDescent="0.25">
      <c r="C88" s="228"/>
      <c r="D88" s="228"/>
      <c r="E88" s="228"/>
      <c r="F88" s="219"/>
      <c r="G88" s="219"/>
    </row>
    <row r="89" spans="1:40" s="32" customFormat="1" ht="13.5" thickTop="1" thickBot="1" x14ac:dyDescent="0.25">
      <c r="A89" s="1185" t="s">
        <v>390</v>
      </c>
      <c r="B89" s="1186"/>
      <c r="C89" s="1029">
        <f>C87+C78</f>
        <v>114126.42</v>
      </c>
      <c r="D89" s="1029">
        <f t="shared" ref="D89:E89" si="8">D87+D78</f>
        <v>38060.5</v>
      </c>
      <c r="E89" s="1029">
        <f t="shared" si="8"/>
        <v>152186.92000000001</v>
      </c>
      <c r="F89" s="219"/>
      <c r="G89" s="219"/>
      <c r="H89" s="227"/>
      <c r="I89" s="227"/>
      <c r="J89" s="227"/>
      <c r="K89" s="227"/>
      <c r="L89" s="227"/>
    </row>
    <row r="90" spans="1:40" s="32" customFormat="1" thickTop="1" x14ac:dyDescent="0.2"/>
    <row r="91" spans="1:40" s="32" customFormat="1" ht="12" x14ac:dyDescent="0.2"/>
    <row r="93" spans="1:40" ht="15" customHeight="1" x14ac:dyDescent="0.25">
      <c r="A93" s="1140" t="s">
        <v>268</v>
      </c>
      <c r="B93" s="1140"/>
      <c r="C93" s="1140"/>
      <c r="D93" s="1140"/>
      <c r="E93" s="1140"/>
      <c r="F93" s="1140"/>
      <c r="G93" s="1140"/>
      <c r="H93" s="1140"/>
      <c r="I93" s="1140"/>
      <c r="J93" s="1140"/>
      <c r="K93" s="1140"/>
      <c r="L93" s="1140"/>
      <c r="M93" s="1140"/>
      <c r="N93" s="1140"/>
      <c r="O93" s="1140"/>
      <c r="P93" s="1140"/>
      <c r="Q93" s="1140"/>
      <c r="R93" s="51"/>
      <c r="S93" s="51"/>
      <c r="T93" s="51"/>
      <c r="U93" s="51"/>
      <c r="V93" s="51"/>
      <c r="W93" s="51"/>
      <c r="X93" s="51"/>
      <c r="Y93" s="51"/>
      <c r="Z93" s="51"/>
    </row>
    <row r="94" spans="1:40" ht="15" customHeight="1" x14ac:dyDescent="0.25">
      <c r="A94" s="1176" t="s">
        <v>763</v>
      </c>
      <c r="B94" s="1176"/>
      <c r="C94" s="1176"/>
      <c r="D94" s="1176"/>
      <c r="E94" s="1176"/>
      <c r="F94" s="1176"/>
      <c r="G94" s="1176"/>
      <c r="H94" s="1176"/>
      <c r="I94" s="1176"/>
      <c r="J94" s="1176"/>
      <c r="K94" s="1176"/>
      <c r="L94" s="1176"/>
      <c r="M94" s="1176"/>
      <c r="N94" s="1176"/>
      <c r="O94" s="1176"/>
      <c r="P94" s="1176"/>
      <c r="Q94" s="1176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</row>
    <row r="95" spans="1:40" ht="15" customHeight="1" x14ac:dyDescent="0.25">
      <c r="A95" s="1176" t="s">
        <v>186</v>
      </c>
      <c r="B95" s="1176"/>
      <c r="C95" s="1176"/>
      <c r="D95" s="1176"/>
      <c r="E95" s="1176"/>
      <c r="F95" s="1176"/>
      <c r="G95" s="1176"/>
      <c r="H95" s="1176"/>
      <c r="I95" s="1176"/>
      <c r="J95" s="1176"/>
      <c r="K95" s="1176"/>
      <c r="L95" s="1176"/>
      <c r="M95" s="1176"/>
      <c r="N95" s="1176"/>
      <c r="O95" s="1176"/>
      <c r="P95" s="1176"/>
      <c r="Q95" s="1176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</row>
    <row r="96" spans="1:40" ht="15" customHeight="1" x14ac:dyDescent="0.25">
      <c r="A96" s="1176" t="s">
        <v>72</v>
      </c>
      <c r="B96" s="1176"/>
      <c r="C96" s="1176"/>
      <c r="D96" s="1176"/>
      <c r="E96" s="1176"/>
      <c r="F96" s="1176"/>
      <c r="G96" s="1176"/>
      <c r="H96" s="1176"/>
      <c r="I96" s="1176"/>
      <c r="J96" s="1176"/>
      <c r="K96" s="1176"/>
      <c r="L96" s="1176"/>
      <c r="M96" s="1176"/>
      <c r="N96" s="1176"/>
      <c r="O96" s="1176"/>
      <c r="P96" s="1176"/>
      <c r="Q96" s="1176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</row>
    <row r="98" spans="1:40" s="32" customFormat="1" ht="12" x14ac:dyDescent="0.2">
      <c r="A98" s="187" t="s">
        <v>456</v>
      </c>
      <c r="X98" s="188"/>
    </row>
    <row r="99" spans="1:40" s="32" customFormat="1" thickBot="1" x14ac:dyDescent="0.25">
      <c r="A99" s="187" t="s">
        <v>457</v>
      </c>
      <c r="B99" s="189"/>
      <c r="AB99" s="190"/>
      <c r="AC99" s="190"/>
      <c r="AD99" s="190"/>
      <c r="AE99" s="190"/>
      <c r="AF99" s="190"/>
      <c r="AG99" s="190"/>
      <c r="AH99" s="190"/>
      <c r="AI99" s="190"/>
      <c r="AJ99" s="190"/>
      <c r="AK99" s="190"/>
      <c r="AL99" s="190"/>
      <c r="AM99" s="190"/>
      <c r="AN99" s="190"/>
    </row>
    <row r="100" spans="1:40" s="52" customFormat="1" ht="13.5" customHeight="1" thickTop="1" x14ac:dyDescent="0.2">
      <c r="A100" s="191"/>
      <c r="B100" s="192" t="s">
        <v>184</v>
      </c>
      <c r="C100" s="193"/>
      <c r="D100" s="194"/>
      <c r="E100" s="194"/>
      <c r="F100" s="194"/>
      <c r="G100" s="194"/>
      <c r="H100" s="432"/>
      <c r="I100" s="432"/>
      <c r="J100" s="432"/>
      <c r="K100" s="1177" t="s">
        <v>31</v>
      </c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</row>
    <row r="101" spans="1:40" s="52" customFormat="1" ht="33.75" customHeight="1" thickBot="1" x14ac:dyDescent="0.25">
      <c r="A101" s="195" t="s">
        <v>88</v>
      </c>
      <c r="B101" s="196" t="s">
        <v>89</v>
      </c>
      <c r="C101" s="197" t="s">
        <v>280</v>
      </c>
      <c r="D101" s="198" t="s">
        <v>201</v>
      </c>
      <c r="E101" s="198" t="s">
        <v>567</v>
      </c>
      <c r="F101" s="199" t="s">
        <v>267</v>
      </c>
      <c r="G101" s="199" t="s">
        <v>695</v>
      </c>
      <c r="H101" s="433" t="s">
        <v>511</v>
      </c>
      <c r="I101" s="625" t="s">
        <v>651</v>
      </c>
      <c r="J101" s="625" t="s">
        <v>648</v>
      </c>
      <c r="K101" s="1178"/>
    </row>
    <row r="102" spans="1:40" s="52" customFormat="1" ht="11.25" x14ac:dyDescent="0.2">
      <c r="A102" s="200" t="s">
        <v>2</v>
      </c>
      <c r="B102" s="201" t="s">
        <v>286</v>
      </c>
      <c r="C102" s="216">
        <v>0</v>
      </c>
      <c r="D102" s="217">
        <v>0</v>
      </c>
      <c r="E102" s="217"/>
      <c r="F102" s="217"/>
      <c r="G102" s="217"/>
      <c r="H102" s="221">
        <v>0</v>
      </c>
      <c r="I102" s="218">
        <f t="shared" ref="I102:K106" si="9">SUM(C102:H102)</f>
        <v>0</v>
      </c>
      <c r="J102" s="218">
        <f t="shared" si="9"/>
        <v>0</v>
      </c>
      <c r="K102" s="218">
        <f t="shared" si="9"/>
        <v>0</v>
      </c>
    </row>
    <row r="103" spans="1:40" s="52" customFormat="1" ht="11.25" x14ac:dyDescent="0.2">
      <c r="A103" s="204" t="s">
        <v>694</v>
      </c>
      <c r="B103" s="205" t="s">
        <v>352</v>
      </c>
      <c r="C103" s="220"/>
      <c r="D103" s="221"/>
      <c r="E103" s="221"/>
      <c r="F103" s="221"/>
      <c r="G103" s="221"/>
      <c r="H103" s="221">
        <v>0</v>
      </c>
      <c r="I103" s="218">
        <f t="shared" si="9"/>
        <v>0</v>
      </c>
      <c r="J103" s="218">
        <f t="shared" si="9"/>
        <v>0</v>
      </c>
      <c r="K103" s="218">
        <f t="shared" si="9"/>
        <v>0</v>
      </c>
    </row>
    <row r="104" spans="1:40" s="52" customFormat="1" ht="11.25" x14ac:dyDescent="0.2">
      <c r="A104" s="204" t="s">
        <v>8</v>
      </c>
      <c r="B104" s="205" t="s">
        <v>287</v>
      </c>
      <c r="C104" s="220"/>
      <c r="D104" s="221"/>
      <c r="E104" s="221"/>
      <c r="F104" s="221"/>
      <c r="G104" s="221"/>
      <c r="H104" s="221"/>
      <c r="I104" s="218">
        <f t="shared" si="9"/>
        <v>0</v>
      </c>
      <c r="J104" s="218">
        <f t="shared" si="9"/>
        <v>0</v>
      </c>
      <c r="K104" s="218">
        <f t="shared" si="9"/>
        <v>0</v>
      </c>
    </row>
    <row r="105" spans="1:40" s="52" customFormat="1" ht="11.25" x14ac:dyDescent="0.2">
      <c r="A105" s="204" t="s">
        <v>6</v>
      </c>
      <c r="B105" s="205" t="s">
        <v>288</v>
      </c>
      <c r="C105" s="220">
        <v>0</v>
      </c>
      <c r="D105" s="221">
        <v>0</v>
      </c>
      <c r="E105" s="221"/>
      <c r="F105" s="221"/>
      <c r="G105" s="221"/>
      <c r="H105" s="221">
        <v>0</v>
      </c>
      <c r="I105" s="218">
        <f t="shared" si="9"/>
        <v>0</v>
      </c>
      <c r="J105" s="218">
        <f t="shared" si="9"/>
        <v>0</v>
      </c>
      <c r="K105" s="218">
        <f t="shared" si="9"/>
        <v>0</v>
      </c>
      <c r="M105" s="114"/>
    </row>
    <row r="106" spans="1:40" s="52" customFormat="1" ht="12" thickBot="1" x14ac:dyDescent="0.25">
      <c r="A106" s="207" t="s">
        <v>5</v>
      </c>
      <c r="B106" s="208" t="s">
        <v>289</v>
      </c>
      <c r="C106" s="222">
        <v>0</v>
      </c>
      <c r="D106" s="223">
        <v>0</v>
      </c>
      <c r="E106" s="223"/>
      <c r="F106" s="223"/>
      <c r="G106" s="223"/>
      <c r="H106" s="221">
        <v>0</v>
      </c>
      <c r="I106" s="218">
        <f t="shared" si="9"/>
        <v>0</v>
      </c>
      <c r="J106" s="218">
        <f t="shared" si="9"/>
        <v>0</v>
      </c>
      <c r="K106" s="218">
        <f t="shared" si="9"/>
        <v>0</v>
      </c>
      <c r="M106" s="124"/>
    </row>
    <row r="107" spans="1:40" s="52" customFormat="1" ht="12" thickBot="1" x14ac:dyDescent="0.25">
      <c r="A107" s="1183" t="s">
        <v>862</v>
      </c>
      <c r="B107" s="1184"/>
      <c r="C107" s="224">
        <f t="shared" ref="C107:I107" si="10">SUM(C102:C106)</f>
        <v>0</v>
      </c>
      <c r="D107" s="224">
        <f t="shared" si="10"/>
        <v>0</v>
      </c>
      <c r="E107" s="225">
        <f t="shared" si="10"/>
        <v>0</v>
      </c>
      <c r="F107" s="229">
        <f t="shared" si="10"/>
        <v>0</v>
      </c>
      <c r="G107" s="229"/>
      <c r="H107" s="229">
        <f t="shared" si="10"/>
        <v>0</v>
      </c>
      <c r="I107" s="226">
        <f t="shared" si="10"/>
        <v>0</v>
      </c>
      <c r="J107" s="226">
        <f>SUM(J102:J106)</f>
        <v>0</v>
      </c>
      <c r="K107" s="226">
        <f>SUM(K102:K106)</f>
        <v>0</v>
      </c>
      <c r="M107" s="114"/>
    </row>
    <row r="108" spans="1:40" s="32" customFormat="1" thickBot="1" x14ac:dyDescent="0.25">
      <c r="C108" s="228"/>
      <c r="D108" s="228"/>
      <c r="E108" s="228"/>
      <c r="F108" s="228"/>
      <c r="G108" s="228"/>
      <c r="H108" s="228"/>
      <c r="I108" s="517"/>
      <c r="J108" s="517"/>
      <c r="K108" s="517"/>
    </row>
    <row r="109" spans="1:40" s="52" customFormat="1" ht="13.5" customHeight="1" thickTop="1" x14ac:dyDescent="0.2">
      <c r="A109" s="191"/>
      <c r="B109" s="192" t="s">
        <v>184</v>
      </c>
      <c r="C109" s="513"/>
      <c r="D109" s="514"/>
      <c r="E109" s="514"/>
      <c r="F109" s="514"/>
      <c r="G109" s="514"/>
      <c r="H109" s="514"/>
      <c r="I109" s="514"/>
      <c r="J109" s="514"/>
      <c r="K109" s="1189" t="s">
        <v>31</v>
      </c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</row>
    <row r="110" spans="1:40" s="52" customFormat="1" ht="36" customHeight="1" thickBot="1" x14ac:dyDescent="0.25">
      <c r="A110" s="195" t="s">
        <v>88</v>
      </c>
      <c r="B110" s="196" t="s">
        <v>89</v>
      </c>
      <c r="C110" s="515" t="s">
        <v>280</v>
      </c>
      <c r="D110" s="516" t="s">
        <v>201</v>
      </c>
      <c r="E110" s="516" t="s">
        <v>567</v>
      </c>
      <c r="F110" s="518" t="s">
        <v>267</v>
      </c>
      <c r="G110" s="518" t="s">
        <v>695</v>
      </c>
      <c r="H110" s="516" t="s">
        <v>503</v>
      </c>
      <c r="I110" s="624" t="s">
        <v>651</v>
      </c>
      <c r="J110" s="624" t="s">
        <v>648</v>
      </c>
      <c r="K110" s="1190"/>
    </row>
    <row r="111" spans="1:40" s="52" customFormat="1" ht="11.25" x14ac:dyDescent="0.2">
      <c r="A111" s="200" t="s">
        <v>2</v>
      </c>
      <c r="B111" s="201" t="s">
        <v>286</v>
      </c>
      <c r="C111" s="216">
        <f>Nomina!I171</f>
        <v>92556</v>
      </c>
      <c r="D111" s="217">
        <f>Nomina!I176</f>
        <v>20100</v>
      </c>
      <c r="E111" s="217">
        <f>Nomina!I188</f>
        <v>104472</v>
      </c>
      <c r="F111" s="217">
        <f>Nomina!I196</f>
        <v>207360</v>
      </c>
      <c r="G111" s="217">
        <f>Nomina!I208</f>
        <v>4800</v>
      </c>
      <c r="H111" s="221">
        <f>Nomina!I199</f>
        <v>25320</v>
      </c>
      <c r="I111" s="667">
        <f>Nomina!I203</f>
        <v>32100</v>
      </c>
      <c r="J111" s="667">
        <f>Nomina!I206</f>
        <v>0</v>
      </c>
      <c r="K111" s="667">
        <f>SUM(C111:J111)</f>
        <v>486708</v>
      </c>
    </row>
    <row r="112" spans="1:40" s="52" customFormat="1" ht="11.25" x14ac:dyDescent="0.2">
      <c r="A112" s="204" t="s">
        <v>694</v>
      </c>
      <c r="B112" s="205" t="s">
        <v>352</v>
      </c>
      <c r="C112" s="220">
        <f>Nomina!J171</f>
        <v>5795</v>
      </c>
      <c r="D112" s="221">
        <f>Nomina!J176</f>
        <v>1220</v>
      </c>
      <c r="E112" s="221">
        <f>Nomina!J188</f>
        <v>6405</v>
      </c>
      <c r="F112" s="221">
        <f>Nomina!J196</f>
        <v>13725</v>
      </c>
      <c r="G112" s="221">
        <f>Nomina!J208</f>
        <v>305</v>
      </c>
      <c r="H112" s="221">
        <f>Nomina!J199</f>
        <v>1525</v>
      </c>
      <c r="I112" s="667">
        <f>Nomina!J203</f>
        <v>2135</v>
      </c>
      <c r="J112" s="667">
        <f>Nomina!J206</f>
        <v>0</v>
      </c>
      <c r="K112" s="667">
        <f>SUM(C112:J112)</f>
        <v>31110</v>
      </c>
    </row>
    <row r="113" spans="1:17" s="52" customFormat="1" ht="11.25" x14ac:dyDescent="0.2">
      <c r="A113" s="204" t="s">
        <v>8</v>
      </c>
      <c r="B113" s="205" t="s">
        <v>287</v>
      </c>
      <c r="C113" s="220"/>
      <c r="D113" s="221"/>
      <c r="E113" s="221"/>
      <c r="F113" s="221"/>
      <c r="G113" s="221"/>
      <c r="H113" s="221"/>
      <c r="I113" s="667"/>
      <c r="J113" s="667"/>
      <c r="K113" s="667">
        <f>SUM(C113:J113)</f>
        <v>0</v>
      </c>
    </row>
    <row r="114" spans="1:17" s="52" customFormat="1" ht="11.25" x14ac:dyDescent="0.2">
      <c r="A114" s="204" t="s">
        <v>6</v>
      </c>
      <c r="B114" s="205" t="s">
        <v>288</v>
      </c>
      <c r="C114" s="220">
        <f>Nomina!O171</f>
        <v>7867.2600000000011</v>
      </c>
      <c r="D114" s="221">
        <f>Nomina!O176</f>
        <v>1708.5</v>
      </c>
      <c r="E114" s="221">
        <f>Nomina!O188</f>
        <v>8880.1200000000008</v>
      </c>
      <c r="F114" s="221">
        <f>Nomina!O196</f>
        <v>17625.600000000002</v>
      </c>
      <c r="G114" s="221">
        <f>Nomina!M208</f>
        <v>408</v>
      </c>
      <c r="H114" s="221">
        <f>Nomina!O199</f>
        <v>2152.2000000000003</v>
      </c>
      <c r="I114" s="667">
        <f>Nomina!M203</f>
        <v>2728.5</v>
      </c>
      <c r="J114" s="667">
        <f>Nomina!M206</f>
        <v>0</v>
      </c>
      <c r="K114" s="667">
        <f>SUM(C114:J114)</f>
        <v>41370.180000000008</v>
      </c>
      <c r="M114" s="114"/>
    </row>
    <row r="115" spans="1:17" s="52" customFormat="1" ht="12" thickBot="1" x14ac:dyDescent="0.25">
      <c r="A115" s="207" t="s">
        <v>5</v>
      </c>
      <c r="B115" s="208" t="s">
        <v>289</v>
      </c>
      <c r="C115" s="222">
        <f>Nomina!K171</f>
        <v>8098.65</v>
      </c>
      <c r="D115" s="223">
        <f>Nomina!K176</f>
        <v>1758.75</v>
      </c>
      <c r="E115" s="223">
        <f>Nomina!K188</f>
        <v>9141.2999999999993</v>
      </c>
      <c r="F115" s="223">
        <f>Nomina!K196</f>
        <v>18144</v>
      </c>
      <c r="G115" s="223">
        <f>Nomina!K208</f>
        <v>420</v>
      </c>
      <c r="H115" s="221">
        <f>Nomina!K199</f>
        <v>2215.5</v>
      </c>
      <c r="I115" s="667">
        <f>Nomina!K203</f>
        <v>2808.75</v>
      </c>
      <c r="J115" s="667">
        <f>Nomina!K206</f>
        <v>0</v>
      </c>
      <c r="K115" s="667">
        <f>SUM(C115:J115)</f>
        <v>42586.95</v>
      </c>
      <c r="M115" s="124"/>
    </row>
    <row r="116" spans="1:17" s="52" customFormat="1" ht="12" thickBot="1" x14ac:dyDescent="0.25">
      <c r="A116" s="1183" t="s">
        <v>388</v>
      </c>
      <c r="B116" s="1184"/>
      <c r="C116" s="224">
        <f>SUM(C111:C115)</f>
        <v>114316.90999999999</v>
      </c>
      <c r="D116" s="224">
        <f t="shared" ref="D116:K116" si="11">SUM(D111:D115)</f>
        <v>24787.25</v>
      </c>
      <c r="E116" s="224">
        <f t="shared" si="11"/>
        <v>128898.42</v>
      </c>
      <c r="F116" s="224">
        <f t="shared" si="11"/>
        <v>256854.6</v>
      </c>
      <c r="G116" s="224">
        <f t="shared" si="11"/>
        <v>5933</v>
      </c>
      <c r="H116" s="224">
        <f t="shared" si="11"/>
        <v>31212.7</v>
      </c>
      <c r="I116" s="224">
        <f t="shared" si="11"/>
        <v>39772.25</v>
      </c>
      <c r="J116" s="224">
        <f t="shared" si="11"/>
        <v>0</v>
      </c>
      <c r="K116" s="224">
        <f t="shared" si="11"/>
        <v>601775.13</v>
      </c>
      <c r="M116" s="114"/>
    </row>
    <row r="117" spans="1:17" s="32" customFormat="1" thickBot="1" x14ac:dyDescent="0.25">
      <c r="C117" s="228"/>
      <c r="D117" s="228"/>
      <c r="E117" s="228"/>
      <c r="F117" s="228"/>
      <c r="G117" s="228"/>
      <c r="H117" s="228"/>
      <c r="I117" s="228"/>
      <c r="J117" s="228"/>
      <c r="K117" s="228"/>
    </row>
    <row r="118" spans="1:17" s="32" customFormat="1" ht="13.5" thickTop="1" thickBot="1" x14ac:dyDescent="0.25">
      <c r="A118" s="1185" t="s">
        <v>524</v>
      </c>
      <c r="B118" s="1186"/>
      <c r="C118" s="1029">
        <f>C116+C107</f>
        <v>114316.90999999999</v>
      </c>
      <c r="D118" s="1029">
        <f t="shared" ref="D118:K118" si="12">D116+D107</f>
        <v>24787.25</v>
      </c>
      <c r="E118" s="1029">
        <f t="shared" si="12"/>
        <v>128898.42</v>
      </c>
      <c r="F118" s="1029">
        <f t="shared" si="12"/>
        <v>256854.6</v>
      </c>
      <c r="G118" s="1029">
        <f t="shared" si="12"/>
        <v>5933</v>
      </c>
      <c r="H118" s="1029">
        <f t="shared" si="12"/>
        <v>31212.7</v>
      </c>
      <c r="I118" s="1029">
        <f t="shared" si="12"/>
        <v>39772.25</v>
      </c>
      <c r="J118" s="1029">
        <f t="shared" si="12"/>
        <v>0</v>
      </c>
      <c r="K118" s="1029">
        <f t="shared" si="12"/>
        <v>601775.13</v>
      </c>
      <c r="N118" s="669">
        <f>K118+E89+V61+N33</f>
        <v>1895512.13</v>
      </c>
    </row>
    <row r="119" spans="1:17" ht="13.5" thickTop="1" x14ac:dyDescent="0.2">
      <c r="N119" s="669">
        <f>Nomina!P239</f>
        <v>1855866.1799999997</v>
      </c>
      <c r="O119" s="718"/>
    </row>
    <row r="120" spans="1:17" x14ac:dyDescent="0.2">
      <c r="N120" s="1074">
        <f>N118-N119</f>
        <v>39645.950000000186</v>
      </c>
      <c r="O120" s="1075" t="s">
        <v>969</v>
      </c>
      <c r="P120" s="1075"/>
      <c r="Q120" s="1075"/>
    </row>
    <row r="121" spans="1:17" x14ac:dyDescent="0.2">
      <c r="K121" s="601"/>
      <c r="N121" s="718">
        <f>N120-C24-C29-C30-C26</f>
        <v>1.8917489796876907E-10</v>
      </c>
    </row>
  </sheetData>
  <mergeCells count="42">
    <mergeCell ref="K100:K101"/>
    <mergeCell ref="K109:K110"/>
    <mergeCell ref="N80:P80"/>
    <mergeCell ref="A96:Q96"/>
    <mergeCell ref="A36:Q36"/>
    <mergeCell ref="A38:Q38"/>
    <mergeCell ref="A39:Q39"/>
    <mergeCell ref="A64:Q64"/>
    <mergeCell ref="A65:Q65"/>
    <mergeCell ref="A50:B50"/>
    <mergeCell ref="A66:Q66"/>
    <mergeCell ref="A67:Q67"/>
    <mergeCell ref="A93:Q93"/>
    <mergeCell ref="A94:Q94"/>
    <mergeCell ref="A95:Q95"/>
    <mergeCell ref="E80:E81"/>
    <mergeCell ref="A118:B118"/>
    <mergeCell ref="A59:B59"/>
    <mergeCell ref="A61:B61"/>
    <mergeCell ref="A87:B87"/>
    <mergeCell ref="A89:B89"/>
    <mergeCell ref="A107:B107"/>
    <mergeCell ref="A116:B116"/>
    <mergeCell ref="Z43:AB43"/>
    <mergeCell ref="A37:Q37"/>
    <mergeCell ref="N9:N10"/>
    <mergeCell ref="A78:B78"/>
    <mergeCell ref="Z52:AB52"/>
    <mergeCell ref="N19:N20"/>
    <mergeCell ref="A2:Q2"/>
    <mergeCell ref="A3:Q3"/>
    <mergeCell ref="E71:E72"/>
    <mergeCell ref="N71:P71"/>
    <mergeCell ref="V43:V44"/>
    <mergeCell ref="V52:V53"/>
    <mergeCell ref="O19:P19"/>
    <mergeCell ref="A31:B31"/>
    <mergeCell ref="A17:B17"/>
    <mergeCell ref="O9:P9"/>
    <mergeCell ref="A4:Q4"/>
    <mergeCell ref="A5:Q5"/>
    <mergeCell ref="A33:B33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67" orientation="landscape" horizontalDpi="4294967294" verticalDpi="300" r:id="rId1"/>
  <headerFooter alignWithMargins="0"/>
  <rowBreaks count="3" manualBreakCount="3">
    <brk id="34" max="16383" man="1"/>
    <brk id="62" max="16383" man="1"/>
    <brk id="9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/>
  <dimension ref="A1:Y44"/>
  <sheetViews>
    <sheetView showGridLines="0" topLeftCell="A21" zoomScale="110" zoomScaleNormal="110" workbookViewId="0">
      <selection activeCell="I35" sqref="I35"/>
    </sheetView>
  </sheetViews>
  <sheetFormatPr baseColWidth="10" defaultColWidth="11.42578125" defaultRowHeight="12.75" x14ac:dyDescent="0.2"/>
  <cols>
    <col min="1" max="1" width="7.85546875" style="30" customWidth="1"/>
    <col min="2" max="2" width="26.140625" style="30" customWidth="1"/>
    <col min="3" max="3" width="17" style="30" customWidth="1"/>
    <col min="4" max="4" width="17.42578125" style="30" customWidth="1"/>
    <col min="5" max="5" width="17.5703125" style="30" customWidth="1"/>
    <col min="6" max="6" width="16" style="30" customWidth="1"/>
    <col min="7" max="7" width="16.42578125" style="30" customWidth="1"/>
    <col min="8" max="8" width="15.85546875" style="30" customWidth="1"/>
    <col min="9" max="9" width="16.42578125" style="30" customWidth="1"/>
    <col min="10" max="10" width="11.42578125" style="30"/>
    <col min="11" max="11" width="12" style="30" bestFit="1" customWidth="1"/>
    <col min="12" max="16384" width="11.42578125" style="30"/>
  </cols>
  <sheetData>
    <row r="1" spans="1:25" x14ac:dyDescent="0.2">
      <c r="A1" s="1114" t="s">
        <v>268</v>
      </c>
      <c r="B1" s="1114"/>
      <c r="C1" s="1114"/>
      <c r="D1" s="1114"/>
      <c r="E1" s="1114"/>
      <c r="F1" s="1114"/>
      <c r="G1" s="1114"/>
      <c r="H1" s="1114"/>
      <c r="I1" s="1114"/>
    </row>
    <row r="2" spans="1:25" x14ac:dyDescent="0.2">
      <c r="A2" s="1191" t="s">
        <v>948</v>
      </c>
      <c r="B2" s="1191"/>
      <c r="C2" s="1191"/>
      <c r="D2" s="1191"/>
      <c r="E2" s="1191"/>
      <c r="F2" s="1191"/>
      <c r="G2" s="1191"/>
      <c r="H2" s="1191"/>
      <c r="I2" s="119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x14ac:dyDescent="0.2">
      <c r="A3" s="1191" t="s">
        <v>72</v>
      </c>
      <c r="B3" s="1191"/>
      <c r="C3" s="1191"/>
      <c r="D3" s="1191"/>
      <c r="E3" s="1191"/>
      <c r="F3" s="1191"/>
      <c r="G3" s="1191"/>
      <c r="H3" s="1191"/>
      <c r="I3" s="119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3.5" thickBot="1" x14ac:dyDescent="0.25">
      <c r="A4" s="230"/>
      <c r="B4" s="230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s="32" customFormat="1" thickBot="1" x14ac:dyDescent="0.25">
      <c r="A5" s="231"/>
      <c r="B5" s="232"/>
      <c r="C5" s="1192" t="s">
        <v>780</v>
      </c>
      <c r="D5" s="1193"/>
      <c r="E5" s="1193"/>
      <c r="F5" s="1193"/>
      <c r="G5" s="1193"/>
      <c r="H5" s="1193"/>
      <c r="I5" s="1194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</row>
    <row r="6" spans="1:25" s="32" customFormat="1" ht="12" x14ac:dyDescent="0.2">
      <c r="A6" s="233" t="s">
        <v>88</v>
      </c>
      <c r="B6" s="232"/>
      <c r="C6" s="1197" t="s">
        <v>468</v>
      </c>
      <c r="D6" s="1197" t="s">
        <v>469</v>
      </c>
      <c r="E6" s="1197" t="s">
        <v>470</v>
      </c>
      <c r="F6" s="1197" t="s">
        <v>471</v>
      </c>
      <c r="G6" s="1197" t="s">
        <v>348</v>
      </c>
      <c r="H6" s="1197" t="s">
        <v>349</v>
      </c>
      <c r="I6" s="1195" t="s">
        <v>83</v>
      </c>
    </row>
    <row r="7" spans="1:25" s="32" customFormat="1" ht="33" customHeight="1" thickBot="1" x14ac:dyDescent="0.25">
      <c r="A7" s="234"/>
      <c r="B7" s="235" t="s">
        <v>89</v>
      </c>
      <c r="C7" s="1199"/>
      <c r="D7" s="1199"/>
      <c r="E7" s="1198"/>
      <c r="F7" s="1198"/>
      <c r="G7" s="1198"/>
      <c r="H7" s="1198"/>
      <c r="I7" s="1196"/>
    </row>
    <row r="8" spans="1:25" s="32" customFormat="1" ht="12" x14ac:dyDescent="0.2">
      <c r="A8" s="236" t="s">
        <v>2</v>
      </c>
      <c r="B8" s="237" t="s">
        <v>286</v>
      </c>
      <c r="C8" s="699"/>
      <c r="D8" s="699"/>
      <c r="E8" s="699">
        <f>Res_Nom_CR!E73</f>
        <v>0</v>
      </c>
      <c r="F8" s="699">
        <f>Res_Nom_CR!I102</f>
        <v>0</v>
      </c>
      <c r="G8" s="700">
        <f>C8+D8</f>
        <v>0</v>
      </c>
      <c r="H8" s="700">
        <f t="shared" ref="H8:H14" si="0">F8+E8</f>
        <v>0</v>
      </c>
      <c r="I8" s="701">
        <f t="shared" ref="I8:I14" si="1">SUM(C8:F8)</f>
        <v>0</v>
      </c>
      <c r="J8" s="238"/>
    </row>
    <row r="9" spans="1:25" s="32" customFormat="1" ht="12" x14ac:dyDescent="0.2">
      <c r="A9" s="239" t="s">
        <v>8</v>
      </c>
      <c r="B9" s="240" t="s">
        <v>287</v>
      </c>
      <c r="C9" s="702"/>
      <c r="D9" s="702"/>
      <c r="E9" s="702">
        <f>Res_Nom_CR!E75</f>
        <v>0</v>
      </c>
      <c r="F9" s="702">
        <f>Res_Nom_CR!I104</f>
        <v>0</v>
      </c>
      <c r="G9" s="702">
        <f t="shared" ref="G9:G14" si="2">C9+D9</f>
        <v>0</v>
      </c>
      <c r="H9" s="702">
        <f t="shared" si="0"/>
        <v>0</v>
      </c>
      <c r="I9" s="703">
        <f t="shared" si="1"/>
        <v>0</v>
      </c>
      <c r="J9" s="238"/>
    </row>
    <row r="10" spans="1:25" s="32" customFormat="1" ht="12" x14ac:dyDescent="0.2">
      <c r="A10" s="239" t="s">
        <v>694</v>
      </c>
      <c r="B10" s="240" t="s">
        <v>352</v>
      </c>
      <c r="C10" s="702"/>
      <c r="D10" s="702"/>
      <c r="E10" s="702">
        <f>Res_Nom_CR!E74</f>
        <v>0</v>
      </c>
      <c r="F10" s="702">
        <f>Res_Nom_CR!I103</f>
        <v>0</v>
      </c>
      <c r="G10" s="702">
        <f t="shared" si="2"/>
        <v>0</v>
      </c>
      <c r="H10" s="702">
        <f t="shared" si="0"/>
        <v>0</v>
      </c>
      <c r="I10" s="703">
        <f t="shared" si="1"/>
        <v>0</v>
      </c>
      <c r="J10" s="238"/>
    </row>
    <row r="11" spans="1:25" s="32" customFormat="1" ht="12" x14ac:dyDescent="0.2">
      <c r="A11" s="239" t="s">
        <v>6</v>
      </c>
      <c r="B11" s="240" t="s">
        <v>474</v>
      </c>
      <c r="C11" s="702"/>
      <c r="D11" s="702"/>
      <c r="E11" s="702">
        <f>Res_Nom_CR!E76</f>
        <v>0</v>
      </c>
      <c r="F11" s="702">
        <f>Res_Nom_CR!I105</f>
        <v>0</v>
      </c>
      <c r="G11" s="702">
        <f t="shared" si="2"/>
        <v>0</v>
      </c>
      <c r="H11" s="702">
        <f t="shared" si="0"/>
        <v>0</v>
      </c>
      <c r="I11" s="703">
        <f t="shared" si="1"/>
        <v>0</v>
      </c>
      <c r="J11" s="238"/>
      <c r="K11" s="238"/>
      <c r="M11" s="238"/>
    </row>
    <row r="12" spans="1:25" s="32" customFormat="1" ht="12" x14ac:dyDescent="0.2">
      <c r="A12" s="241" t="s">
        <v>5</v>
      </c>
      <c r="B12" s="242" t="s">
        <v>473</v>
      </c>
      <c r="C12" s="702"/>
      <c r="D12" s="702"/>
      <c r="E12" s="702">
        <f>Res_Nom_CR!E77</f>
        <v>0</v>
      </c>
      <c r="F12" s="702">
        <f>Res_Nom_CR!I106</f>
        <v>0</v>
      </c>
      <c r="G12" s="702">
        <f t="shared" si="2"/>
        <v>0</v>
      </c>
      <c r="H12" s="702">
        <f t="shared" si="0"/>
        <v>0</v>
      </c>
      <c r="I12" s="704">
        <f t="shared" si="1"/>
        <v>0</v>
      </c>
      <c r="J12" s="243"/>
      <c r="K12" s="243"/>
      <c r="M12" s="243"/>
    </row>
    <row r="13" spans="1:25" s="32" customFormat="1" ht="12" x14ac:dyDescent="0.2">
      <c r="A13" s="241" t="s">
        <v>518</v>
      </c>
      <c r="B13" s="242" t="s">
        <v>517</v>
      </c>
      <c r="C13" s="705"/>
      <c r="D13" s="706">
        <v>0</v>
      </c>
      <c r="E13" s="706">
        <v>0</v>
      </c>
      <c r="F13" s="706">
        <v>0</v>
      </c>
      <c r="G13" s="707">
        <f>C13+D13</f>
        <v>0</v>
      </c>
      <c r="H13" s="707">
        <f>F13+E13</f>
        <v>0</v>
      </c>
      <c r="I13" s="704">
        <f>SUM(C13:F13)</f>
        <v>0</v>
      </c>
      <c r="J13" s="243"/>
      <c r="K13" s="243"/>
      <c r="M13" s="243"/>
    </row>
    <row r="14" spans="1:25" s="32" customFormat="1" thickBot="1" x14ac:dyDescent="0.25">
      <c r="A14" s="241" t="s">
        <v>612</v>
      </c>
      <c r="B14" s="242" t="s">
        <v>613</v>
      </c>
      <c r="C14" s="705">
        <f>Res_Nom_CR!N16</f>
        <v>0</v>
      </c>
      <c r="D14" s="706">
        <v>0</v>
      </c>
      <c r="E14" s="706">
        <v>0</v>
      </c>
      <c r="F14" s="706">
        <v>0</v>
      </c>
      <c r="G14" s="707">
        <f t="shared" si="2"/>
        <v>0</v>
      </c>
      <c r="H14" s="707">
        <f t="shared" si="0"/>
        <v>0</v>
      </c>
      <c r="I14" s="704">
        <f t="shared" si="1"/>
        <v>0</v>
      </c>
      <c r="J14" s="243"/>
      <c r="K14" s="243"/>
      <c r="M14" s="243"/>
    </row>
    <row r="15" spans="1:25" s="32" customFormat="1" ht="13.5" customHeight="1" thickBot="1" x14ac:dyDescent="0.25">
      <c r="A15" s="1203" t="s">
        <v>59</v>
      </c>
      <c r="B15" s="1204"/>
      <c r="C15" s="708">
        <f t="shared" ref="C15:I15" si="3">SUM(C8:C14)</f>
        <v>0</v>
      </c>
      <c r="D15" s="708">
        <f t="shared" si="3"/>
        <v>0</v>
      </c>
      <c r="E15" s="708">
        <f t="shared" si="3"/>
        <v>0</v>
      </c>
      <c r="F15" s="708">
        <f t="shared" si="3"/>
        <v>0</v>
      </c>
      <c r="G15" s="708">
        <f t="shared" si="3"/>
        <v>0</v>
      </c>
      <c r="H15" s="708">
        <f t="shared" si="3"/>
        <v>0</v>
      </c>
      <c r="I15" s="806">
        <f t="shared" si="3"/>
        <v>0</v>
      </c>
      <c r="J15" s="238"/>
      <c r="K15" s="238"/>
      <c r="M15" s="238"/>
    </row>
    <row r="16" spans="1:25" ht="7.5" customHeight="1" x14ac:dyDescent="0.2">
      <c r="A16" s="244"/>
      <c r="B16" s="245"/>
      <c r="C16" s="51"/>
      <c r="D16" s="51"/>
      <c r="E16" s="51"/>
      <c r="F16" s="51"/>
      <c r="G16" s="51"/>
      <c r="H16" s="51"/>
      <c r="I16" s="246"/>
      <c r="J16" s="246"/>
      <c r="K16" s="246"/>
      <c r="M16" s="246"/>
    </row>
    <row r="17" spans="1:13" ht="9.75" customHeight="1" thickBot="1" x14ac:dyDescent="0.25">
      <c r="A17" s="230"/>
      <c r="B17" s="230"/>
      <c r="C17" s="182"/>
    </row>
    <row r="18" spans="1:13" s="32" customFormat="1" thickBot="1" x14ac:dyDescent="0.25">
      <c r="A18" s="231"/>
      <c r="B18" s="232"/>
      <c r="C18" s="1192" t="s">
        <v>776</v>
      </c>
      <c r="D18" s="1193"/>
      <c r="E18" s="1193"/>
      <c r="F18" s="1193"/>
      <c r="G18" s="1193"/>
      <c r="H18" s="1193"/>
      <c r="I18" s="1194"/>
      <c r="K18" s="238"/>
    </row>
    <row r="19" spans="1:13" s="32" customFormat="1" ht="12.75" customHeight="1" x14ac:dyDescent="0.2">
      <c r="A19" s="233" t="s">
        <v>88</v>
      </c>
      <c r="B19" s="232"/>
      <c r="C19" s="1197" t="s">
        <v>468</v>
      </c>
      <c r="D19" s="1197" t="s">
        <v>469</v>
      </c>
      <c r="E19" s="1197" t="s">
        <v>470</v>
      </c>
      <c r="F19" s="1197" t="s">
        <v>471</v>
      </c>
      <c r="G19" s="1197" t="s">
        <v>348</v>
      </c>
      <c r="H19" s="1197" t="s">
        <v>349</v>
      </c>
      <c r="I19" s="1195" t="s">
        <v>83</v>
      </c>
      <c r="K19" s="238"/>
    </row>
    <row r="20" spans="1:13" s="32" customFormat="1" ht="38.25" customHeight="1" thickBot="1" x14ac:dyDescent="0.25">
      <c r="A20" s="234"/>
      <c r="B20" s="235" t="s">
        <v>89</v>
      </c>
      <c r="C20" s="1199"/>
      <c r="D20" s="1199"/>
      <c r="E20" s="1198"/>
      <c r="F20" s="1198"/>
      <c r="G20" s="1198"/>
      <c r="H20" s="1198"/>
      <c r="I20" s="1196"/>
    </row>
    <row r="21" spans="1:13" s="32" customFormat="1" ht="12" x14ac:dyDescent="0.2">
      <c r="A21" s="200" t="s">
        <v>2</v>
      </c>
      <c r="B21" s="201" t="s">
        <v>286</v>
      </c>
      <c r="C21" s="709">
        <f>Res_Nom_CR!N21+Res_Nom_CR!N11</f>
        <v>310260</v>
      </c>
      <c r="D21" s="709">
        <f>Res_Nom_CR!V54+Res_Nom_CR!V45</f>
        <v>475056</v>
      </c>
      <c r="E21" s="709">
        <f>Res_Nom_CR!E82</f>
        <v>123552</v>
      </c>
      <c r="F21" s="709">
        <f>Res_Nom_CR!K111</f>
        <v>486708</v>
      </c>
      <c r="G21" s="700">
        <f>C21+D21</f>
        <v>785316</v>
      </c>
      <c r="H21" s="700">
        <f>F21+E21</f>
        <v>610260</v>
      </c>
      <c r="I21" s="701">
        <f>SUM(C21:F21)</f>
        <v>1395576</v>
      </c>
      <c r="J21" s="238"/>
      <c r="K21" s="238"/>
    </row>
    <row r="22" spans="1:13" s="32" customFormat="1" ht="12" x14ac:dyDescent="0.2">
      <c r="A22" s="204" t="s">
        <v>8</v>
      </c>
      <c r="B22" s="205" t="s">
        <v>287</v>
      </c>
      <c r="C22" s="709">
        <f>Res_Nom_CR!N22</f>
        <v>0</v>
      </c>
      <c r="D22" s="709">
        <v>0</v>
      </c>
      <c r="E22" s="709">
        <v>0</v>
      </c>
      <c r="F22" s="709">
        <v>0</v>
      </c>
      <c r="G22" s="702">
        <f t="shared" ref="G22:G30" si="4">C22+D22</f>
        <v>0</v>
      </c>
      <c r="H22" s="702">
        <f t="shared" ref="H22:H30" si="5">F22+E22</f>
        <v>0</v>
      </c>
      <c r="I22" s="703">
        <f t="shared" ref="I22:I30" si="6">SUM(C22:F22)</f>
        <v>0</v>
      </c>
      <c r="J22" s="238"/>
    </row>
    <row r="23" spans="1:13" s="32" customFormat="1" ht="12" x14ac:dyDescent="0.2">
      <c r="A23" s="200" t="s">
        <v>472</v>
      </c>
      <c r="B23" s="201" t="s">
        <v>425</v>
      </c>
      <c r="C23" s="709">
        <f>Res_Nom_CR!N23</f>
        <v>160353.96</v>
      </c>
      <c r="D23" s="709">
        <v>0</v>
      </c>
      <c r="E23" s="709">
        <v>0</v>
      </c>
      <c r="F23" s="709">
        <v>0</v>
      </c>
      <c r="G23" s="702">
        <f t="shared" si="4"/>
        <v>160353.96</v>
      </c>
      <c r="H23" s="702">
        <f t="shared" si="5"/>
        <v>0</v>
      </c>
      <c r="I23" s="703">
        <f t="shared" si="6"/>
        <v>160353.96</v>
      </c>
      <c r="J23" s="238"/>
      <c r="K23" s="238"/>
    </row>
    <row r="24" spans="1:13" s="32" customFormat="1" ht="12" x14ac:dyDescent="0.2">
      <c r="A24" s="200" t="s">
        <v>476</v>
      </c>
      <c r="B24" s="201" t="s">
        <v>351</v>
      </c>
      <c r="C24" s="709">
        <f>Res_Nom_CR!N24</f>
        <v>0</v>
      </c>
      <c r="D24" s="709">
        <v>0</v>
      </c>
      <c r="E24" s="709">
        <v>0</v>
      </c>
      <c r="F24" s="709">
        <v>0</v>
      </c>
      <c r="G24" s="702">
        <f t="shared" si="4"/>
        <v>0</v>
      </c>
      <c r="H24" s="702">
        <f t="shared" si="5"/>
        <v>0</v>
      </c>
      <c r="I24" s="703">
        <f t="shared" si="6"/>
        <v>0</v>
      </c>
      <c r="J24" s="238"/>
      <c r="K24" s="238"/>
    </row>
    <row r="25" spans="1:13" s="32" customFormat="1" ht="12" x14ac:dyDescent="0.2">
      <c r="A25" s="204" t="s">
        <v>694</v>
      </c>
      <c r="B25" s="205" t="s">
        <v>352</v>
      </c>
      <c r="C25" s="709">
        <f>Res_Nom_CR!N25+Res_Nom_CR!N12</f>
        <v>9150</v>
      </c>
      <c r="D25" s="709">
        <f>Res_Nom_CR!V55+Res_Nom_CR!V46</f>
        <v>23485</v>
      </c>
      <c r="E25" s="709">
        <f>Res_Nom_CR!E83</f>
        <v>7320</v>
      </c>
      <c r="F25" s="709">
        <f>Res_Nom_CR!K112</f>
        <v>31110</v>
      </c>
      <c r="G25" s="702">
        <f t="shared" si="4"/>
        <v>32635</v>
      </c>
      <c r="H25" s="702">
        <f t="shared" si="5"/>
        <v>38430</v>
      </c>
      <c r="I25" s="703">
        <f t="shared" si="6"/>
        <v>71065</v>
      </c>
      <c r="J25" s="238"/>
      <c r="K25" s="238"/>
    </row>
    <row r="26" spans="1:13" s="32" customFormat="1" ht="12" x14ac:dyDescent="0.2">
      <c r="A26" s="204">
        <v>51301</v>
      </c>
      <c r="B26" s="211" t="s">
        <v>475</v>
      </c>
      <c r="C26" s="709">
        <f>Res_Nom_CR!N26</f>
        <v>0</v>
      </c>
      <c r="D26" s="709">
        <v>0</v>
      </c>
      <c r="E26" s="709">
        <v>0</v>
      </c>
      <c r="F26" s="709">
        <v>0</v>
      </c>
      <c r="G26" s="702">
        <f t="shared" si="4"/>
        <v>0</v>
      </c>
      <c r="H26" s="702">
        <f t="shared" si="5"/>
        <v>0</v>
      </c>
      <c r="I26" s="703">
        <f t="shared" si="6"/>
        <v>0</v>
      </c>
      <c r="J26" s="238"/>
      <c r="K26" s="238"/>
    </row>
    <row r="27" spans="1:13" s="32" customFormat="1" ht="12" x14ac:dyDescent="0.2">
      <c r="A27" s="204" t="s">
        <v>6</v>
      </c>
      <c r="B27" s="205" t="s">
        <v>288</v>
      </c>
      <c r="C27" s="709">
        <f>Res_Nom_CR!N27+Res_Nom_CR!N14</f>
        <v>17868.36</v>
      </c>
      <c r="D27" s="709">
        <f>Res_Nom_CR!V57+Res_Nom_CR!V48</f>
        <v>39614.759999999995</v>
      </c>
      <c r="E27" s="709">
        <f>Res_Nom_CR!E85</f>
        <v>10501.92</v>
      </c>
      <c r="F27" s="709">
        <f>Res_Nom_CR!K114</f>
        <v>41370.180000000008</v>
      </c>
      <c r="G27" s="702">
        <f t="shared" si="4"/>
        <v>57483.119999999995</v>
      </c>
      <c r="H27" s="702">
        <f t="shared" si="5"/>
        <v>51872.100000000006</v>
      </c>
      <c r="I27" s="703">
        <f>SUM(C27:F27)</f>
        <v>109355.22</v>
      </c>
      <c r="J27" s="238"/>
      <c r="K27" s="238"/>
      <c r="M27" s="238"/>
    </row>
    <row r="28" spans="1:13" s="32" customFormat="1" ht="12" x14ac:dyDescent="0.2">
      <c r="A28" s="207" t="s">
        <v>5</v>
      </c>
      <c r="B28" s="212" t="s">
        <v>289</v>
      </c>
      <c r="C28" s="709">
        <f>Res_Nom_CR!N28+Res_Nom_CR!N15</f>
        <v>24539.55</v>
      </c>
      <c r="D28" s="709">
        <f>Res_Nom_CR!V58+Res_Nom_CR!V49</f>
        <v>41576.5</v>
      </c>
      <c r="E28" s="709">
        <f>Res_Nom_CR!E86</f>
        <v>10813</v>
      </c>
      <c r="F28" s="709">
        <f>Res_Nom_CR!K115</f>
        <v>42586.95</v>
      </c>
      <c r="G28" s="702">
        <f t="shared" si="4"/>
        <v>66116.05</v>
      </c>
      <c r="H28" s="702">
        <f t="shared" si="5"/>
        <v>53399.95</v>
      </c>
      <c r="I28" s="703">
        <f t="shared" si="6"/>
        <v>119516</v>
      </c>
      <c r="J28" s="243"/>
      <c r="K28" s="243"/>
      <c r="M28" s="243"/>
    </row>
    <row r="29" spans="1:13" s="32" customFormat="1" ht="12" x14ac:dyDescent="0.2">
      <c r="A29" s="207" t="s">
        <v>518</v>
      </c>
      <c r="B29" s="208" t="s">
        <v>517</v>
      </c>
      <c r="C29" s="709">
        <f>Res_Nom_CR!N29</f>
        <v>6295.95</v>
      </c>
      <c r="D29" s="710">
        <v>0</v>
      </c>
      <c r="E29" s="710">
        <v>0</v>
      </c>
      <c r="F29" s="710">
        <v>0</v>
      </c>
      <c r="G29" s="709">
        <f>C29+D29</f>
        <v>6295.95</v>
      </c>
      <c r="H29" s="709">
        <f>F29+E29</f>
        <v>0</v>
      </c>
      <c r="I29" s="703">
        <f>SUM(C29:F29)</f>
        <v>6295.95</v>
      </c>
      <c r="J29" s="243"/>
      <c r="K29" s="243"/>
      <c r="M29" s="243"/>
    </row>
    <row r="30" spans="1:13" s="32" customFormat="1" thickBot="1" x14ac:dyDescent="0.25">
      <c r="A30" s="213" t="s">
        <v>612</v>
      </c>
      <c r="B30" s="208" t="s">
        <v>613</v>
      </c>
      <c r="C30" s="709">
        <f>Res_Nom_CR!C30</f>
        <v>33350</v>
      </c>
      <c r="D30" s="710">
        <v>0</v>
      </c>
      <c r="E30" s="710">
        <v>0</v>
      </c>
      <c r="F30" s="710">
        <v>0</v>
      </c>
      <c r="G30" s="707">
        <f t="shared" si="4"/>
        <v>33350</v>
      </c>
      <c r="H30" s="707">
        <f t="shared" si="5"/>
        <v>0</v>
      </c>
      <c r="I30" s="703">
        <f t="shared" si="6"/>
        <v>33350</v>
      </c>
      <c r="J30" s="243"/>
      <c r="K30" s="243"/>
      <c r="M30" s="243"/>
    </row>
    <row r="31" spans="1:13" s="32" customFormat="1" ht="15.75" customHeight="1" thickBot="1" x14ac:dyDescent="0.25">
      <c r="A31" s="1205" t="s">
        <v>59</v>
      </c>
      <c r="B31" s="1206"/>
      <c r="C31" s="711">
        <f t="shared" ref="C31:H31" si="7">SUM(C21:C30)</f>
        <v>561817.81999999995</v>
      </c>
      <c r="D31" s="711">
        <f t="shared" si="7"/>
        <v>579732.26</v>
      </c>
      <c r="E31" s="711">
        <f t="shared" si="7"/>
        <v>152186.92000000001</v>
      </c>
      <c r="F31" s="711">
        <f t="shared" si="7"/>
        <v>601775.13</v>
      </c>
      <c r="G31" s="711">
        <f t="shared" si="7"/>
        <v>1141550.0799999998</v>
      </c>
      <c r="H31" s="711">
        <f t="shared" si="7"/>
        <v>753962.04999999993</v>
      </c>
      <c r="I31" s="712">
        <f>SUM(I21:I30)</f>
        <v>1895512.13</v>
      </c>
      <c r="J31" s="238"/>
      <c r="K31" s="238"/>
      <c r="M31" s="238"/>
    </row>
    <row r="32" spans="1:13" x14ac:dyDescent="0.2">
      <c r="C32" s="713"/>
      <c r="D32" s="713"/>
      <c r="E32" s="713"/>
      <c r="F32" s="713"/>
      <c r="G32" s="713"/>
      <c r="H32" s="713"/>
      <c r="I32" s="713"/>
    </row>
    <row r="33" spans="1:15" x14ac:dyDescent="0.2">
      <c r="A33" s="30" t="s">
        <v>481</v>
      </c>
      <c r="C33" s="713"/>
      <c r="D33" s="713"/>
      <c r="E33" s="713"/>
      <c r="F33" s="713"/>
      <c r="G33" s="713"/>
      <c r="H33" s="713"/>
      <c r="I33" s="714">
        <f>+I31+I15</f>
        <v>1895512.13</v>
      </c>
      <c r="L33" s="182"/>
    </row>
    <row r="34" spans="1:15" ht="13.5" thickBot="1" x14ac:dyDescent="0.25">
      <c r="A34" s="30" t="s">
        <v>90</v>
      </c>
      <c r="C34" s="713"/>
      <c r="D34" s="713"/>
      <c r="E34" s="713"/>
      <c r="F34" s="713"/>
      <c r="G34" s="713"/>
      <c r="H34" s="713"/>
      <c r="I34" s="714">
        <f>+Nomina!P213</f>
        <v>0</v>
      </c>
      <c r="K34" s="43"/>
    </row>
    <row r="35" spans="1:15" ht="13.5" thickBot="1" x14ac:dyDescent="0.25">
      <c r="A35" s="247" t="s">
        <v>91</v>
      </c>
      <c r="B35" s="248"/>
      <c r="C35" s="715"/>
      <c r="D35" s="716"/>
      <c r="E35" s="716"/>
      <c r="F35" s="716"/>
      <c r="G35" s="716"/>
      <c r="H35" s="716"/>
      <c r="I35" s="717">
        <f>+I33</f>
        <v>1895512.13</v>
      </c>
      <c r="K35" s="1076">
        <f>I35-Nomina!P239</f>
        <v>39645.950000000186</v>
      </c>
      <c r="L35" s="1077" t="s">
        <v>970</v>
      </c>
      <c r="M35" s="1077"/>
      <c r="N35" s="1077"/>
      <c r="O35" s="1077"/>
    </row>
    <row r="36" spans="1:15" x14ac:dyDescent="0.2">
      <c r="C36" s="249"/>
      <c r="I36" s="182"/>
      <c r="J36" s="182"/>
    </row>
    <row r="37" spans="1:15" x14ac:dyDescent="0.2">
      <c r="A37" s="1200" t="s">
        <v>777</v>
      </c>
      <c r="B37" s="1201"/>
      <c r="C37" s="1201"/>
      <c r="D37" s="1201"/>
      <c r="E37" s="1201"/>
      <c r="F37" s="1201"/>
      <c r="G37" s="1201"/>
      <c r="H37" s="1201"/>
      <c r="I37" s="1202"/>
      <c r="J37" s="182"/>
    </row>
    <row r="38" spans="1:15" x14ac:dyDescent="0.2">
      <c r="A38" s="926" t="s">
        <v>477</v>
      </c>
      <c r="B38" s="927"/>
      <c r="C38" s="927"/>
      <c r="D38" s="927"/>
      <c r="E38" s="927"/>
      <c r="F38" s="927"/>
      <c r="G38" s="927"/>
      <c r="H38" s="927"/>
      <c r="I38" s="932">
        <f>+ProyIng!F57+SdoBcos!F26</f>
        <v>658012.84</v>
      </c>
    </row>
    <row r="39" spans="1:15" x14ac:dyDescent="0.2">
      <c r="A39" s="928" t="s">
        <v>385</v>
      </c>
      <c r="B39" s="929"/>
      <c r="C39" s="929"/>
      <c r="D39" s="929"/>
      <c r="E39" s="929"/>
      <c r="F39" s="929"/>
      <c r="G39" s="929"/>
      <c r="H39" s="929"/>
      <c r="I39" s="933">
        <f>I15/I35</f>
        <v>0</v>
      </c>
    </row>
    <row r="40" spans="1:15" x14ac:dyDescent="0.2">
      <c r="A40" s="930" t="s">
        <v>180</v>
      </c>
      <c r="B40" s="931"/>
      <c r="C40" s="931"/>
      <c r="D40" s="931"/>
      <c r="E40" s="931"/>
      <c r="F40" s="931"/>
      <c r="G40" s="931"/>
      <c r="H40" s="931"/>
      <c r="I40" s="934">
        <f>1-I39</f>
        <v>1</v>
      </c>
    </row>
    <row r="42" spans="1:15" x14ac:dyDescent="0.2">
      <c r="I42" s="251"/>
    </row>
    <row r="44" spans="1:15" x14ac:dyDescent="0.2">
      <c r="I44" s="251"/>
    </row>
  </sheetData>
  <mergeCells count="22">
    <mergeCell ref="A37:I37"/>
    <mergeCell ref="A15:B15"/>
    <mergeCell ref="A31:B31"/>
    <mergeCell ref="D19:D20"/>
    <mergeCell ref="E19:E20"/>
    <mergeCell ref="F19:F20"/>
    <mergeCell ref="C19:C20"/>
    <mergeCell ref="C18:I18"/>
    <mergeCell ref="I19:I20"/>
    <mergeCell ref="H19:H20"/>
    <mergeCell ref="G19:G20"/>
    <mergeCell ref="A1:I1"/>
    <mergeCell ref="A2:I2"/>
    <mergeCell ref="A3:I3"/>
    <mergeCell ref="C5:I5"/>
    <mergeCell ref="I6:I7"/>
    <mergeCell ref="G6:G7"/>
    <mergeCell ref="E6:E7"/>
    <mergeCell ref="C6:C7"/>
    <mergeCell ref="D6:D7"/>
    <mergeCell ref="H6:H7"/>
    <mergeCell ref="F6:F7"/>
  </mergeCells>
  <phoneticPr fontId="0" type="noConversion"/>
  <printOptions horizontalCentered="1" verticalCentered="1"/>
  <pageMargins left="0.25" right="0.25" top="0.75" bottom="0.75" header="0.3" footer="0.3"/>
  <pageSetup scale="75" orientation="landscape" horizontalDpi="4294967294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1">
    <pageSetUpPr fitToPage="1"/>
  </sheetPr>
  <dimension ref="A1:BK417"/>
  <sheetViews>
    <sheetView showGridLines="0" topLeftCell="A5" zoomScale="159" zoomScaleNormal="159" workbookViewId="0">
      <pane xSplit="1" topLeftCell="AO1" activePane="topRight" state="frozen"/>
      <selection pane="topRight" activeCell="AR13" sqref="AR13"/>
    </sheetView>
  </sheetViews>
  <sheetFormatPr baseColWidth="10" defaultColWidth="11.42578125" defaultRowHeight="12.75" x14ac:dyDescent="0.2"/>
  <cols>
    <col min="1" max="1" width="8" style="30" customWidth="1"/>
    <col min="2" max="2" width="45.28515625" style="30" bestFit="1" customWidth="1"/>
    <col min="3" max="3" width="13.85546875" style="30" bestFit="1" customWidth="1"/>
    <col min="4" max="4" width="12.140625" style="30" bestFit="1" customWidth="1"/>
    <col min="5" max="5" width="12.140625" style="30" customWidth="1"/>
    <col min="6" max="6" width="13.140625" style="30" bestFit="1" customWidth="1"/>
    <col min="7" max="7" width="12.85546875" style="30" bestFit="1" customWidth="1"/>
    <col min="8" max="8" width="15.28515625" style="30" customWidth="1"/>
    <col min="9" max="9" width="10.140625" style="30" bestFit="1" customWidth="1"/>
    <col min="10" max="10" width="12.5703125" style="30" customWidth="1"/>
    <col min="11" max="11" width="11.5703125" style="30" bestFit="1" customWidth="1"/>
    <col min="12" max="12" width="12.42578125" style="30" bestFit="1" customWidth="1"/>
    <col min="13" max="13" width="14" style="30" customWidth="1"/>
    <col min="14" max="14" width="13.7109375" style="30" customWidth="1"/>
    <col min="15" max="15" width="14" style="30" customWidth="1"/>
    <col min="16" max="16" width="8.140625" style="30" customWidth="1"/>
    <col min="17" max="17" width="37.5703125" style="30" customWidth="1"/>
    <col min="18" max="18" width="11.85546875" style="30" bestFit="1" customWidth="1"/>
    <col min="19" max="19" width="12.5703125" style="30" customWidth="1"/>
    <col min="20" max="20" width="13.5703125" style="30" bestFit="1" customWidth="1"/>
    <col min="21" max="22" width="13.140625" style="30" bestFit="1" customWidth="1"/>
    <col min="23" max="24" width="11.5703125" style="30" bestFit="1" customWidth="1"/>
    <col min="25" max="25" width="13.140625" style="30" bestFit="1" customWidth="1"/>
    <col min="26" max="26" width="14.28515625" style="30" bestFit="1" customWidth="1"/>
    <col min="27" max="27" width="10.140625" style="30" customWidth="1"/>
    <col min="28" max="28" width="12.5703125" style="30" bestFit="1" customWidth="1"/>
    <col min="29" max="29" width="15" style="30" bestFit="1" customWidth="1"/>
    <col min="30" max="30" width="11.85546875" style="30" bestFit="1" customWidth="1"/>
    <col min="31" max="31" width="12.85546875" style="30" bestFit="1" customWidth="1"/>
    <col min="32" max="32" width="12.85546875" style="30" customWidth="1"/>
    <col min="33" max="33" width="12.5703125" style="30" bestFit="1" customWidth="1"/>
    <col min="34" max="35" width="12.5703125" style="30" customWidth="1"/>
    <col min="36" max="36" width="13.42578125" style="30" bestFit="1" customWidth="1"/>
    <col min="37" max="37" width="12.140625" style="30" bestFit="1" customWidth="1"/>
    <col min="38" max="38" width="8.140625" style="30" customWidth="1"/>
    <col min="39" max="39" width="37.85546875" style="30" customWidth="1"/>
    <col min="40" max="40" width="11.42578125" style="30" bestFit="1" customWidth="1"/>
    <col min="41" max="41" width="11.42578125" style="30" customWidth="1"/>
    <col min="42" max="42" width="11.140625" style="30" bestFit="1" customWidth="1"/>
    <col min="43" max="43" width="12.7109375" style="30" bestFit="1" customWidth="1"/>
    <col min="44" max="44" width="11.42578125" style="30"/>
    <col min="45" max="45" width="8.140625" style="30" customWidth="1"/>
    <col min="46" max="46" width="37.28515625" style="30" customWidth="1"/>
    <col min="47" max="47" width="11.7109375" style="30" bestFit="1" customWidth="1"/>
    <col min="48" max="48" width="11.7109375" style="30" customWidth="1"/>
    <col min="49" max="49" width="12.7109375" style="182" bestFit="1" customWidth="1"/>
    <col min="50" max="50" width="14.42578125" style="30" bestFit="1" customWidth="1"/>
    <col min="51" max="51" width="13.7109375" style="30" bestFit="1" customWidth="1"/>
    <col min="52" max="52" width="11.7109375" style="30" bestFit="1" customWidth="1"/>
    <col min="53" max="53" width="12.140625" style="30" bestFit="1" customWidth="1"/>
    <col min="54" max="54" width="14.28515625" style="30" bestFit="1" customWidth="1"/>
    <col min="55" max="55" width="11.42578125" style="30"/>
    <col min="56" max="56" width="17.140625" style="30" customWidth="1"/>
    <col min="57" max="57" width="14.85546875" style="30" bestFit="1" customWidth="1"/>
    <col min="58" max="58" width="16.7109375" style="30" bestFit="1" customWidth="1"/>
    <col min="59" max="59" width="17" style="30" bestFit="1" customWidth="1"/>
    <col min="60" max="60" width="11.42578125" style="30"/>
    <col min="61" max="62" width="15.140625" style="30" bestFit="1" customWidth="1"/>
    <col min="63" max="16384" width="11.42578125" style="30"/>
  </cols>
  <sheetData>
    <row r="1" spans="1:58" ht="31.5" customHeight="1" x14ac:dyDescent="0.2">
      <c r="A1" s="1114" t="s">
        <v>268</v>
      </c>
      <c r="B1" s="1114"/>
      <c r="C1" s="1114"/>
      <c r="D1" s="1114"/>
      <c r="E1" s="1114"/>
      <c r="F1" s="1114"/>
      <c r="G1" s="1114"/>
      <c r="H1" s="1114"/>
      <c r="I1" s="1114"/>
      <c r="J1" s="1114"/>
      <c r="K1" s="1114"/>
      <c r="L1" s="1114"/>
      <c r="M1" s="1114"/>
      <c r="N1" s="1114"/>
      <c r="O1" s="51"/>
      <c r="P1" s="1114" t="s">
        <v>268</v>
      </c>
      <c r="Q1" s="1114"/>
      <c r="R1" s="1114"/>
      <c r="S1" s="1114"/>
      <c r="T1" s="1114"/>
      <c r="U1" s="1114"/>
      <c r="V1" s="1114"/>
      <c r="W1" s="1114"/>
      <c r="X1" s="1114"/>
      <c r="Y1" s="1114"/>
      <c r="Z1" s="1114"/>
      <c r="AA1" s="1114"/>
      <c r="AB1" s="1114"/>
      <c r="AC1" s="1114"/>
      <c r="AD1" s="1114"/>
      <c r="AE1" s="1114"/>
      <c r="AF1" s="1114"/>
      <c r="AG1" s="1114"/>
      <c r="AH1" s="1114"/>
      <c r="AI1" s="1114"/>
      <c r="AJ1" s="1114"/>
      <c r="AK1" s="51"/>
      <c r="AL1" s="1207" t="s">
        <v>268</v>
      </c>
      <c r="AM1" s="1207"/>
      <c r="AN1" s="1207"/>
      <c r="AO1" s="1207"/>
      <c r="AP1" s="1207"/>
      <c r="AQ1" s="1207"/>
      <c r="AS1" s="1114" t="s">
        <v>268</v>
      </c>
      <c r="AT1" s="1114"/>
      <c r="AU1" s="1114"/>
      <c r="AV1" s="1114"/>
      <c r="AW1" s="1114"/>
      <c r="AX1" s="1114"/>
      <c r="AY1" s="1114"/>
    </row>
    <row r="2" spans="1:58" x14ac:dyDescent="0.2">
      <c r="A2" s="1114" t="s">
        <v>781</v>
      </c>
      <c r="B2" s="1114"/>
      <c r="C2" s="1114"/>
      <c r="D2" s="1114"/>
      <c r="E2" s="1114"/>
      <c r="F2" s="1114"/>
      <c r="G2" s="1114"/>
      <c r="H2" s="1114"/>
      <c r="I2" s="1114"/>
      <c r="J2" s="1114"/>
      <c r="K2" s="1114"/>
      <c r="L2" s="1114"/>
      <c r="M2" s="1114"/>
      <c r="N2" s="1114"/>
      <c r="O2" s="51"/>
      <c r="P2" s="1114" t="s">
        <v>185</v>
      </c>
      <c r="Q2" s="1114"/>
      <c r="R2" s="1114"/>
      <c r="S2" s="1114"/>
      <c r="T2" s="1114"/>
      <c r="U2" s="1114"/>
      <c r="V2" s="1114"/>
      <c r="W2" s="1114"/>
      <c r="X2" s="1114"/>
      <c r="Y2" s="1114"/>
      <c r="Z2" s="1114"/>
      <c r="AA2" s="1114"/>
      <c r="AB2" s="1114"/>
      <c r="AC2" s="1114"/>
      <c r="AD2" s="1114"/>
      <c r="AE2" s="1114"/>
      <c r="AF2" s="1114"/>
      <c r="AG2" s="1114"/>
      <c r="AH2" s="1114"/>
      <c r="AI2" s="1114"/>
      <c r="AJ2" s="1114"/>
      <c r="AK2" s="51"/>
      <c r="AL2" s="1114" t="s">
        <v>185</v>
      </c>
      <c r="AM2" s="1114"/>
      <c r="AN2" s="1114"/>
      <c r="AO2" s="1114"/>
      <c r="AP2" s="1114"/>
      <c r="AQ2" s="1114"/>
      <c r="AS2" s="1114" t="s">
        <v>185</v>
      </c>
      <c r="AT2" s="1114"/>
      <c r="AU2" s="1114"/>
      <c r="AV2" s="1114"/>
      <c r="AW2" s="1114"/>
      <c r="AX2" s="1114"/>
      <c r="AY2" s="1114"/>
    </row>
    <row r="3" spans="1:58" x14ac:dyDescent="0.2">
      <c r="A3" s="1191" t="s">
        <v>72</v>
      </c>
      <c r="B3" s="1191"/>
      <c r="C3" s="1191"/>
      <c r="D3" s="1191"/>
      <c r="E3" s="1191"/>
      <c r="F3" s="1191"/>
      <c r="G3" s="1191"/>
      <c r="H3" s="1191"/>
      <c r="I3" s="1191"/>
      <c r="J3" s="1191"/>
      <c r="K3" s="1191"/>
      <c r="L3" s="1191"/>
      <c r="M3" s="1191"/>
      <c r="N3" s="1191"/>
      <c r="P3" s="1191" t="s">
        <v>72</v>
      </c>
      <c r="Q3" s="1191"/>
      <c r="R3" s="1191"/>
      <c r="S3" s="1191"/>
      <c r="T3" s="1191"/>
      <c r="U3" s="1191"/>
      <c r="V3" s="1191"/>
      <c r="W3" s="1191"/>
      <c r="X3" s="1191"/>
      <c r="Y3" s="1191"/>
      <c r="Z3" s="1191"/>
      <c r="AA3" s="1191"/>
      <c r="AB3" s="1191"/>
      <c r="AC3" s="1191"/>
      <c r="AD3" s="1191"/>
      <c r="AE3" s="1191"/>
      <c r="AF3" s="1191"/>
      <c r="AG3" s="1191"/>
      <c r="AH3" s="1191"/>
      <c r="AI3" s="1191"/>
      <c r="AJ3" s="1191"/>
      <c r="AL3" s="1191" t="s">
        <v>72</v>
      </c>
      <c r="AM3" s="1191"/>
      <c r="AN3" s="1191"/>
      <c r="AO3" s="1191"/>
      <c r="AP3" s="1191"/>
      <c r="AQ3" s="1191"/>
      <c r="AS3" s="1191" t="s">
        <v>72</v>
      </c>
      <c r="AT3" s="1191"/>
      <c r="AU3" s="1191"/>
      <c r="AV3" s="1191"/>
      <c r="AW3" s="1191"/>
      <c r="AX3" s="1191"/>
      <c r="AY3" s="1191"/>
    </row>
    <row r="4" spans="1:58" x14ac:dyDescent="0.2">
      <c r="A4" s="51" t="s">
        <v>458</v>
      </c>
      <c r="P4" s="51" t="s">
        <v>458</v>
      </c>
      <c r="AL4" s="51" t="s">
        <v>290</v>
      </c>
      <c r="AS4" s="51" t="s">
        <v>290</v>
      </c>
    </row>
    <row r="5" spans="1:58" ht="13.5" thickBot="1" x14ac:dyDescent="0.25">
      <c r="A5" s="51" t="s">
        <v>459</v>
      </c>
      <c r="B5" s="252"/>
      <c r="P5" s="51" t="s">
        <v>453</v>
      </c>
      <c r="Q5" s="252"/>
      <c r="AL5" s="51" t="s">
        <v>455</v>
      </c>
      <c r="AM5" s="252"/>
      <c r="AS5" s="51" t="s">
        <v>457</v>
      </c>
      <c r="AT5" s="252"/>
    </row>
    <row r="6" spans="1:58" ht="46.5" thickTop="1" thickBot="1" x14ac:dyDescent="0.25">
      <c r="A6" s="640" t="s">
        <v>88</v>
      </c>
      <c r="B6" s="253" t="s">
        <v>89</v>
      </c>
      <c r="C6" s="1064" t="s">
        <v>282</v>
      </c>
      <c r="D6" s="1058" t="s">
        <v>283</v>
      </c>
      <c r="E6" s="1058" t="s">
        <v>244</v>
      </c>
      <c r="F6" s="1068" t="s">
        <v>346</v>
      </c>
      <c r="G6" s="1068" t="s">
        <v>248</v>
      </c>
      <c r="H6" s="1068" t="s">
        <v>716</v>
      </c>
      <c r="I6" s="1058" t="s">
        <v>250</v>
      </c>
      <c r="J6" s="1068" t="s">
        <v>438</v>
      </c>
      <c r="K6" s="1030" t="s">
        <v>637</v>
      </c>
      <c r="L6" s="1068" t="s">
        <v>657</v>
      </c>
      <c r="M6" s="1072" t="s">
        <v>526</v>
      </c>
      <c r="N6" s="254" t="s">
        <v>31</v>
      </c>
      <c r="P6" s="396" t="s">
        <v>88</v>
      </c>
      <c r="Q6" s="397" t="s">
        <v>89</v>
      </c>
      <c r="R6" s="1067" t="s">
        <v>575</v>
      </c>
      <c r="S6" s="1032" t="s">
        <v>576</v>
      </c>
      <c r="T6" s="1032" t="s">
        <v>528</v>
      </c>
      <c r="U6" s="1069" t="s">
        <v>529</v>
      </c>
      <c r="V6" s="1032" t="s">
        <v>207</v>
      </c>
      <c r="W6" s="1069" t="s">
        <v>182</v>
      </c>
      <c r="X6" s="1070" t="s">
        <v>943</v>
      </c>
      <c r="Y6" s="1069" t="s">
        <v>578</v>
      </c>
      <c r="Z6" s="1032" t="s">
        <v>553</v>
      </c>
      <c r="AA6" s="1069" t="s">
        <v>618</v>
      </c>
      <c r="AB6" s="1032" t="s">
        <v>514</v>
      </c>
      <c r="AC6" s="1069" t="s">
        <v>532</v>
      </c>
      <c r="AD6" s="1065" t="s">
        <v>623</v>
      </c>
      <c r="AE6" s="1071" t="s">
        <v>533</v>
      </c>
      <c r="AF6" s="1069" t="s">
        <v>729</v>
      </c>
      <c r="AG6" s="1069" t="s">
        <v>441</v>
      </c>
      <c r="AH6" s="1034" t="s">
        <v>850</v>
      </c>
      <c r="AI6" s="1069" t="s">
        <v>936</v>
      </c>
      <c r="AJ6" s="1011" t="s">
        <v>31</v>
      </c>
      <c r="AK6" s="257"/>
      <c r="AL6" s="255" t="s">
        <v>88</v>
      </c>
      <c r="AM6" s="256" t="s">
        <v>89</v>
      </c>
      <c r="AN6" s="1031" t="s">
        <v>183</v>
      </c>
      <c r="AO6" s="1031" t="s">
        <v>695</v>
      </c>
      <c r="AP6" s="1065" t="s">
        <v>460</v>
      </c>
      <c r="AQ6" s="254" t="s">
        <v>31</v>
      </c>
      <c r="AS6" s="258" t="s">
        <v>88</v>
      </c>
      <c r="AT6" s="259" t="s">
        <v>89</v>
      </c>
      <c r="AU6" s="769" t="s">
        <v>280</v>
      </c>
      <c r="AV6" s="769" t="s">
        <v>673</v>
      </c>
      <c r="AW6" s="1069" t="s">
        <v>534</v>
      </c>
      <c r="AX6" s="1069" t="s">
        <v>535</v>
      </c>
      <c r="AY6" s="1066" t="s">
        <v>536</v>
      </c>
      <c r="AZ6" s="1066" t="s">
        <v>443</v>
      </c>
      <c r="BA6" s="1033" t="s">
        <v>686</v>
      </c>
      <c r="BB6" s="403" t="s">
        <v>31</v>
      </c>
    </row>
    <row r="7" spans="1:58" s="810" customFormat="1" ht="15" customHeight="1" x14ac:dyDescent="0.2">
      <c r="A7" s="639">
        <v>54</v>
      </c>
      <c r="B7" s="265" t="s">
        <v>107</v>
      </c>
      <c r="C7" s="722">
        <f>C8+C30+C35+C50+C55</f>
        <v>201595.05</v>
      </c>
      <c r="D7" s="722">
        <f t="shared" ref="D7" si="0">D8+D30+D35+D50+D55</f>
        <v>13193.220000000001</v>
      </c>
      <c r="E7" s="722">
        <f>E8+E30+E35+E50+E55</f>
        <v>1000</v>
      </c>
      <c r="F7" s="722">
        <f>F8+F30+F35+F50+F55</f>
        <v>735</v>
      </c>
      <c r="G7" s="722">
        <f>G8+G30+G35+G50+G55</f>
        <v>6200</v>
      </c>
      <c r="H7" s="722">
        <f>H8+H30+H35+H50+H55</f>
        <v>4300</v>
      </c>
      <c r="I7" s="722">
        <f t="shared" ref="I7:J7" si="1">I8+I30+I35+I50+I55</f>
        <v>500</v>
      </c>
      <c r="J7" s="722">
        <f t="shared" si="1"/>
        <v>16522.900000000001</v>
      </c>
      <c r="K7" s="722">
        <f>K8+K30+K35+K50+K55</f>
        <v>1000</v>
      </c>
      <c r="L7" s="722">
        <f>L8+L30+L35+L50+L55</f>
        <v>440</v>
      </c>
      <c r="M7" s="722">
        <f>M8+M30+M35+M50+M55</f>
        <v>9938</v>
      </c>
      <c r="N7" s="808">
        <f t="shared" ref="N7:N70" si="2">SUM(C7:M7)</f>
        <v>255424.16999999998</v>
      </c>
      <c r="O7" s="125"/>
      <c r="P7" s="264">
        <v>54</v>
      </c>
      <c r="Q7" s="265" t="s">
        <v>107</v>
      </c>
      <c r="R7" s="722">
        <f>R8+R30+R35+R50+R55</f>
        <v>0</v>
      </c>
      <c r="S7" s="722">
        <f t="shared" ref="S7:AF7" si="3">S8+S30+S35+S50+S55</f>
        <v>10000</v>
      </c>
      <c r="T7" s="722">
        <f t="shared" si="3"/>
        <v>1000</v>
      </c>
      <c r="U7" s="722">
        <f t="shared" si="3"/>
        <v>26650</v>
      </c>
      <c r="V7" s="722">
        <f t="shared" si="3"/>
        <v>32300</v>
      </c>
      <c r="W7" s="722">
        <f t="shared" si="3"/>
        <v>0</v>
      </c>
      <c r="X7" s="722">
        <f t="shared" si="3"/>
        <v>1560</v>
      </c>
      <c r="Y7" s="722">
        <f t="shared" si="3"/>
        <v>24680</v>
      </c>
      <c r="Z7" s="722">
        <f>Z8+Z30+Z35+Z50+Z55</f>
        <v>119000</v>
      </c>
      <c r="AA7" s="722">
        <f t="shared" si="3"/>
        <v>900</v>
      </c>
      <c r="AB7" s="722">
        <f t="shared" si="3"/>
        <v>0</v>
      </c>
      <c r="AC7" s="722">
        <f t="shared" si="3"/>
        <v>54200</v>
      </c>
      <c r="AD7" s="722">
        <f t="shared" si="3"/>
        <v>2600</v>
      </c>
      <c r="AE7" s="722">
        <f t="shared" si="3"/>
        <v>35150</v>
      </c>
      <c r="AF7" s="722">
        <f t="shared" si="3"/>
        <v>24760</v>
      </c>
      <c r="AG7" s="722">
        <f t="shared" ref="AG7:AI7" si="4">AG8+AG30+AG35+AG50+AG55</f>
        <v>0</v>
      </c>
      <c r="AH7" s="722">
        <f t="shared" si="4"/>
        <v>0</v>
      </c>
      <c r="AI7" s="722">
        <f t="shared" si="4"/>
        <v>965</v>
      </c>
      <c r="AJ7" s="597">
        <f>SUM(R7:AI7)</f>
        <v>333765</v>
      </c>
      <c r="AK7" s="266"/>
      <c r="AL7" s="576">
        <v>54</v>
      </c>
      <c r="AM7" s="531" t="s">
        <v>107</v>
      </c>
      <c r="AN7" s="809">
        <f>AN8+AN30+AN35+AN50+AN55</f>
        <v>97000</v>
      </c>
      <c r="AO7" s="809">
        <f>AO8+AO30+AO35+AO50+AO55</f>
        <v>14500</v>
      </c>
      <c r="AP7" s="809">
        <f>AP8+AP30+AP35+AP50+AP55</f>
        <v>4469.8999999999996</v>
      </c>
      <c r="AQ7" s="809">
        <f>SUM(AN7:AP7)</f>
        <v>115969.9</v>
      </c>
      <c r="AS7" s="264">
        <v>54</v>
      </c>
      <c r="AT7" s="650" t="s">
        <v>107</v>
      </c>
      <c r="AU7" s="807">
        <f t="shared" ref="AU7:BA7" si="5">AU8+AU30+AU35+AU50+AU55</f>
        <v>3362.5</v>
      </c>
      <c r="AV7" s="807">
        <f t="shared" si="5"/>
        <v>0</v>
      </c>
      <c r="AW7" s="807">
        <f t="shared" si="5"/>
        <v>111576</v>
      </c>
      <c r="AX7" s="807">
        <f t="shared" si="5"/>
        <v>414000</v>
      </c>
      <c r="AY7" s="807">
        <f t="shared" si="5"/>
        <v>48999.68</v>
      </c>
      <c r="AZ7" s="807">
        <f t="shared" si="5"/>
        <v>5800</v>
      </c>
      <c r="BA7" s="807">
        <f t="shared" si="5"/>
        <v>15340</v>
      </c>
      <c r="BB7" s="600">
        <f t="shared" ref="BB7:BB40" si="6">SUM(AU7:BA7)</f>
        <v>599078.18000000005</v>
      </c>
      <c r="BD7" s="1088">
        <f>BB7+AQ7+AJ7+N7</f>
        <v>1304237.25</v>
      </c>
    </row>
    <row r="8" spans="1:58" s="51" customFormat="1" ht="12.75" customHeight="1" x14ac:dyDescent="0.2">
      <c r="A8" s="267">
        <v>541</v>
      </c>
      <c r="B8" s="121" t="s">
        <v>108</v>
      </c>
      <c r="C8" s="723">
        <f>SUM(C9:C29)</f>
        <v>800</v>
      </c>
      <c r="D8" s="723">
        <f t="shared" ref="D8" si="7">SUM(D9:D29)</f>
        <v>5910</v>
      </c>
      <c r="E8" s="723">
        <f>SUM(E9:E29)</f>
        <v>1000</v>
      </c>
      <c r="F8" s="723">
        <f>SUM(F9:F29)</f>
        <v>735</v>
      </c>
      <c r="G8" s="723">
        <f>SUM(G9:G29)</f>
        <v>0</v>
      </c>
      <c r="H8" s="723">
        <f>SUM(H9:H29)</f>
        <v>1300</v>
      </c>
      <c r="I8" s="723">
        <f t="shared" ref="I8:J8" si="8">SUM(I9:I29)</f>
        <v>0</v>
      </c>
      <c r="J8" s="723">
        <f t="shared" si="8"/>
        <v>4422.8999999999996</v>
      </c>
      <c r="K8" s="723">
        <f>SUM(K9:K29)</f>
        <v>0</v>
      </c>
      <c r="L8" s="723">
        <f>SUM(L9:L29)</f>
        <v>40</v>
      </c>
      <c r="M8" s="723">
        <f>SUM(M9:M29)</f>
        <v>7658</v>
      </c>
      <c r="N8" s="597">
        <f>SUM(C8:M8)</f>
        <v>21865.9</v>
      </c>
      <c r="O8" s="125"/>
      <c r="P8" s="267">
        <v>541</v>
      </c>
      <c r="Q8" s="121" t="s">
        <v>108</v>
      </c>
      <c r="R8" s="723">
        <f>SUM(R9:R29)</f>
        <v>0</v>
      </c>
      <c r="S8" s="723">
        <f t="shared" ref="S8:AI8" si="9">SUM(S9:S29)</f>
        <v>0</v>
      </c>
      <c r="T8" s="723">
        <f t="shared" si="9"/>
        <v>1000</v>
      </c>
      <c r="U8" s="723">
        <f t="shared" si="9"/>
        <v>600</v>
      </c>
      <c r="V8" s="723">
        <f t="shared" si="9"/>
        <v>31700</v>
      </c>
      <c r="W8" s="723">
        <f t="shared" si="9"/>
        <v>0</v>
      </c>
      <c r="X8" s="723">
        <f t="shared" si="9"/>
        <v>0</v>
      </c>
      <c r="Y8" s="723">
        <f t="shared" si="9"/>
        <v>22400</v>
      </c>
      <c r="Z8" s="723">
        <f t="shared" si="9"/>
        <v>41500</v>
      </c>
      <c r="AA8" s="723">
        <f t="shared" si="9"/>
        <v>0</v>
      </c>
      <c r="AB8" s="723">
        <f t="shared" si="9"/>
        <v>0</v>
      </c>
      <c r="AC8" s="723">
        <f t="shared" si="9"/>
        <v>19200</v>
      </c>
      <c r="AD8" s="723">
        <f t="shared" si="9"/>
        <v>2200</v>
      </c>
      <c r="AE8" s="723">
        <f t="shared" si="9"/>
        <v>27550</v>
      </c>
      <c r="AF8" s="723">
        <f t="shared" si="9"/>
        <v>24760</v>
      </c>
      <c r="AG8" s="723">
        <f t="shared" si="9"/>
        <v>0</v>
      </c>
      <c r="AH8" s="723">
        <f t="shared" si="9"/>
        <v>0</v>
      </c>
      <c r="AI8" s="723">
        <f t="shared" si="9"/>
        <v>500</v>
      </c>
      <c r="AJ8" s="597">
        <f t="shared" ref="AJ8:AJ71" si="10">SUM(R8:AI8)</f>
        <v>171410</v>
      </c>
      <c r="AK8" s="266"/>
      <c r="AL8" s="577">
        <v>541</v>
      </c>
      <c r="AM8" s="533" t="s">
        <v>108</v>
      </c>
      <c r="AN8" s="737">
        <f>SUM(AN9:AN29)</f>
        <v>57000</v>
      </c>
      <c r="AO8" s="737">
        <f>SUM(AO9:AO29)</f>
        <v>14500</v>
      </c>
      <c r="AP8" s="737">
        <f>SUM(AP9:AP29)</f>
        <v>2799.9</v>
      </c>
      <c r="AQ8" s="737">
        <f>SUM(AN8:AP8)</f>
        <v>74299.899999999994</v>
      </c>
      <c r="AS8" s="267">
        <v>541</v>
      </c>
      <c r="AT8" s="651" t="s">
        <v>108</v>
      </c>
      <c r="AU8" s="726">
        <f t="shared" ref="AU8:BA8" si="11">SUM(AU9:AU29)</f>
        <v>3362.5</v>
      </c>
      <c r="AV8" s="726">
        <f t="shared" si="11"/>
        <v>0</v>
      </c>
      <c r="AW8" s="726">
        <f t="shared" si="11"/>
        <v>50676</v>
      </c>
      <c r="AX8" s="726">
        <f t="shared" si="11"/>
        <v>67000</v>
      </c>
      <c r="AY8" s="726">
        <f t="shared" si="11"/>
        <v>25499.68</v>
      </c>
      <c r="AZ8" s="726">
        <f t="shared" si="11"/>
        <v>5800</v>
      </c>
      <c r="BA8" s="726">
        <f t="shared" si="11"/>
        <v>340</v>
      </c>
      <c r="BB8" s="599">
        <f>SUM(AU8:BA8)</f>
        <v>152678.18</v>
      </c>
      <c r="BD8" s="1088">
        <f t="shared" ref="BD8:BD71" si="12">BB8+AQ8+AJ8+N8</f>
        <v>420253.98</v>
      </c>
    </row>
    <row r="9" spans="1:58" s="52" customFormat="1" ht="11.25" x14ac:dyDescent="0.2">
      <c r="A9" s="115">
        <v>54101</v>
      </c>
      <c r="B9" s="116" t="s">
        <v>291</v>
      </c>
      <c r="C9" s="719"/>
      <c r="D9" s="719">
        <f>4250+500</f>
        <v>4750</v>
      </c>
      <c r="E9" s="719">
        <v>1000</v>
      </c>
      <c r="F9" s="719"/>
      <c r="G9" s="719"/>
      <c r="H9" s="719">
        <v>900</v>
      </c>
      <c r="I9" s="719"/>
      <c r="J9" s="719"/>
      <c r="K9" s="719"/>
      <c r="L9" s="719"/>
      <c r="M9" s="719"/>
      <c r="N9" s="512">
        <f t="shared" si="2"/>
        <v>6650</v>
      </c>
      <c r="P9" s="115">
        <v>54101</v>
      </c>
      <c r="Q9" s="116" t="s">
        <v>291</v>
      </c>
      <c r="R9" s="719"/>
      <c r="S9" s="719"/>
      <c r="T9" s="719">
        <v>1000</v>
      </c>
      <c r="U9" s="719"/>
      <c r="V9" s="719"/>
      <c r="W9" s="719"/>
      <c r="X9" s="719"/>
      <c r="Y9" s="732">
        <v>600</v>
      </c>
      <c r="Z9" s="719">
        <v>10000</v>
      </c>
      <c r="AA9" s="719"/>
      <c r="AB9" s="719"/>
      <c r="AC9" s="719"/>
      <c r="AD9" s="719">
        <v>600</v>
      </c>
      <c r="AE9" s="732">
        <v>1500</v>
      </c>
      <c r="AF9" s="732">
        <v>8100</v>
      </c>
      <c r="AG9" s="719"/>
      <c r="AH9" s="719"/>
      <c r="AI9" s="719"/>
      <c r="AJ9" s="597">
        <f t="shared" si="10"/>
        <v>21800</v>
      </c>
      <c r="AK9" s="219"/>
      <c r="AL9" s="578">
        <v>54101</v>
      </c>
      <c r="AM9" s="535" t="s">
        <v>291</v>
      </c>
      <c r="AN9" s="735"/>
      <c r="AO9" s="735"/>
      <c r="AP9" s="735"/>
      <c r="AQ9" s="735">
        <f t="shared" ref="AQ9:AQ75" si="13">SUM(AN9:AP9)</f>
        <v>0</v>
      </c>
      <c r="AS9" s="115">
        <v>54101</v>
      </c>
      <c r="AT9" s="652" t="s">
        <v>291</v>
      </c>
      <c r="AU9" s="724"/>
      <c r="AV9" s="724"/>
      <c r="AW9" s="724"/>
      <c r="AX9" s="724"/>
      <c r="AY9" s="724"/>
      <c r="AZ9" s="724"/>
      <c r="BA9" s="729"/>
      <c r="BB9" s="599">
        <f t="shared" si="6"/>
        <v>0</v>
      </c>
      <c r="BD9" s="1088">
        <f t="shared" si="12"/>
        <v>28450</v>
      </c>
      <c r="BF9" s="269"/>
    </row>
    <row r="10" spans="1:58" s="52" customFormat="1" ht="11.25" x14ac:dyDescent="0.2">
      <c r="A10" s="115">
        <v>54102</v>
      </c>
      <c r="B10" s="116" t="s">
        <v>841</v>
      </c>
      <c r="C10" s="719"/>
      <c r="D10" s="719"/>
      <c r="E10" s="719"/>
      <c r="F10" s="719"/>
      <c r="G10" s="719"/>
      <c r="H10" s="719"/>
      <c r="I10" s="719"/>
      <c r="J10" s="719"/>
      <c r="K10" s="719"/>
      <c r="L10" s="719"/>
      <c r="M10" s="719"/>
      <c r="N10" s="512">
        <f t="shared" si="2"/>
        <v>0</v>
      </c>
      <c r="P10" s="115">
        <v>54102</v>
      </c>
      <c r="Q10" s="116" t="s">
        <v>841</v>
      </c>
      <c r="R10" s="719"/>
      <c r="S10" s="719"/>
      <c r="T10" s="719"/>
      <c r="U10" s="719"/>
      <c r="V10" s="719"/>
      <c r="W10" s="719"/>
      <c r="X10" s="719"/>
      <c r="Y10" s="732"/>
      <c r="Z10" s="719"/>
      <c r="AA10" s="719"/>
      <c r="AB10" s="719"/>
      <c r="AC10" s="719"/>
      <c r="AD10" s="719"/>
      <c r="AE10" s="732"/>
      <c r="AF10" s="732">
        <v>2100</v>
      </c>
      <c r="AG10" s="719"/>
      <c r="AH10" s="719"/>
      <c r="AI10" s="719"/>
      <c r="AJ10" s="597">
        <f t="shared" si="10"/>
        <v>2100</v>
      </c>
      <c r="AK10" s="219"/>
      <c r="AL10" s="578">
        <v>54102</v>
      </c>
      <c r="AM10" s="535" t="s">
        <v>841</v>
      </c>
      <c r="AN10" s="735"/>
      <c r="AO10" s="735"/>
      <c r="AP10" s="735"/>
      <c r="AQ10" s="735">
        <f t="shared" si="13"/>
        <v>0</v>
      </c>
      <c r="AS10" s="115">
        <v>54102</v>
      </c>
      <c r="AT10" s="652" t="s">
        <v>841</v>
      </c>
      <c r="AU10" s="724"/>
      <c r="AV10" s="724"/>
      <c r="AW10" s="724"/>
      <c r="AX10" s="724"/>
      <c r="AY10" s="724"/>
      <c r="AZ10" s="724"/>
      <c r="BA10" s="729"/>
      <c r="BB10" s="599">
        <f t="shared" si="6"/>
        <v>0</v>
      </c>
      <c r="BD10" s="1088">
        <f t="shared" si="12"/>
        <v>2100</v>
      </c>
      <c r="BF10" s="269"/>
    </row>
    <row r="11" spans="1:58" s="52" customFormat="1" ht="11.25" x14ac:dyDescent="0.2">
      <c r="A11" s="115">
        <v>54103</v>
      </c>
      <c r="B11" s="116" t="s">
        <v>292</v>
      </c>
      <c r="C11" s="719"/>
      <c r="D11" s="719"/>
      <c r="E11" s="719"/>
      <c r="F11" s="719"/>
      <c r="G11" s="719"/>
      <c r="H11" s="719"/>
      <c r="I11" s="719"/>
      <c r="J11" s="719"/>
      <c r="K11" s="719"/>
      <c r="L11" s="719"/>
      <c r="M11" s="719"/>
      <c r="N11" s="512">
        <f t="shared" si="2"/>
        <v>0</v>
      </c>
      <c r="P11" s="115">
        <v>54103</v>
      </c>
      <c r="Q11" s="116" t="s">
        <v>292</v>
      </c>
      <c r="R11" s="719"/>
      <c r="S11" s="719"/>
      <c r="T11" s="719"/>
      <c r="U11" s="719"/>
      <c r="V11" s="719"/>
      <c r="W11" s="719"/>
      <c r="X11" s="719"/>
      <c r="Y11" s="732"/>
      <c r="Z11" s="719">
        <v>4500</v>
      </c>
      <c r="AA11" s="719"/>
      <c r="AB11" s="719"/>
      <c r="AC11" s="719"/>
      <c r="AD11" s="719"/>
      <c r="AE11" s="732">
        <v>7500</v>
      </c>
      <c r="AF11" s="732">
        <v>3600</v>
      </c>
      <c r="AG11" s="719"/>
      <c r="AH11" s="719"/>
      <c r="AI11" s="719">
        <v>500</v>
      </c>
      <c r="AJ11" s="597">
        <f t="shared" si="10"/>
        <v>16100</v>
      </c>
      <c r="AK11" s="219"/>
      <c r="AL11" s="578">
        <v>54103</v>
      </c>
      <c r="AM11" s="535" t="s">
        <v>292</v>
      </c>
      <c r="AN11" s="735"/>
      <c r="AO11" s="735"/>
      <c r="AP11" s="735"/>
      <c r="AQ11" s="735">
        <f t="shared" si="13"/>
        <v>0</v>
      </c>
      <c r="AS11" s="115">
        <v>54103</v>
      </c>
      <c r="AT11" s="652" t="s">
        <v>292</v>
      </c>
      <c r="AU11" s="724"/>
      <c r="AV11" s="724"/>
      <c r="AW11" s="724"/>
      <c r="AX11" s="724"/>
      <c r="AY11" s="724"/>
      <c r="AZ11" s="724"/>
      <c r="BA11" s="729"/>
      <c r="BB11" s="599">
        <f t="shared" si="6"/>
        <v>0</v>
      </c>
      <c r="BD11" s="1088">
        <f t="shared" si="12"/>
        <v>16100</v>
      </c>
    </row>
    <row r="12" spans="1:58" s="52" customFormat="1" ht="11.25" x14ac:dyDescent="0.2">
      <c r="A12" s="115">
        <v>54104</v>
      </c>
      <c r="B12" s="116" t="s">
        <v>293</v>
      </c>
      <c r="C12" s="719"/>
      <c r="D12" s="719"/>
      <c r="E12" s="719"/>
      <c r="F12" s="719"/>
      <c r="G12" s="719"/>
      <c r="H12" s="719"/>
      <c r="I12" s="719"/>
      <c r="J12" s="719"/>
      <c r="K12" s="719"/>
      <c r="L12" s="719"/>
      <c r="M12" s="719"/>
      <c r="N12" s="512">
        <f t="shared" si="2"/>
        <v>0</v>
      </c>
      <c r="P12" s="115">
        <v>54104</v>
      </c>
      <c r="Q12" s="116" t="s">
        <v>293</v>
      </c>
      <c r="R12" s="719"/>
      <c r="S12" s="719"/>
      <c r="T12" s="719"/>
      <c r="U12" s="719"/>
      <c r="V12" s="719"/>
      <c r="W12" s="719"/>
      <c r="X12" s="719"/>
      <c r="Y12" s="732">
        <v>16000</v>
      </c>
      <c r="Z12" s="719">
        <v>1000</v>
      </c>
      <c r="AA12" s="719"/>
      <c r="AB12" s="719"/>
      <c r="AC12" s="719"/>
      <c r="AD12" s="719">
        <v>500</v>
      </c>
      <c r="AE12" s="732"/>
      <c r="AF12" s="732">
        <v>4900</v>
      </c>
      <c r="AG12" s="719"/>
      <c r="AH12" s="719"/>
      <c r="AI12" s="719"/>
      <c r="AJ12" s="597">
        <f t="shared" si="10"/>
        <v>22400</v>
      </c>
      <c r="AK12" s="219"/>
      <c r="AL12" s="578">
        <v>54104</v>
      </c>
      <c r="AM12" s="535" t="s">
        <v>293</v>
      </c>
      <c r="AN12" s="735"/>
      <c r="AO12" s="735"/>
      <c r="AP12" s="735"/>
      <c r="AQ12" s="735">
        <f t="shared" si="13"/>
        <v>0</v>
      </c>
      <c r="AS12" s="115">
        <v>54104</v>
      </c>
      <c r="AT12" s="652" t="s">
        <v>293</v>
      </c>
      <c r="AU12" s="724"/>
      <c r="AV12" s="724"/>
      <c r="AW12" s="724"/>
      <c r="AX12" s="724"/>
      <c r="AY12" s="724"/>
      <c r="AZ12" s="724"/>
      <c r="BA12" s="730"/>
      <c r="BB12" s="599">
        <f t="shared" si="6"/>
        <v>0</v>
      </c>
      <c r="BC12" s="637"/>
      <c r="BD12" s="1088">
        <f t="shared" si="12"/>
        <v>22400</v>
      </c>
      <c r="BE12" s="478"/>
    </row>
    <row r="13" spans="1:58" s="52" customFormat="1" ht="11.25" x14ac:dyDescent="0.2">
      <c r="A13" s="115">
        <v>54105</v>
      </c>
      <c r="B13" s="116" t="s">
        <v>294</v>
      </c>
      <c r="C13" s="720"/>
      <c r="D13" s="720"/>
      <c r="E13" s="720"/>
      <c r="F13" s="720">
        <v>255</v>
      </c>
      <c r="G13" s="720"/>
      <c r="H13" s="720"/>
      <c r="I13" s="720"/>
      <c r="J13" s="720">
        <v>170</v>
      </c>
      <c r="K13" s="720"/>
      <c r="L13" s="720"/>
      <c r="M13" s="720"/>
      <c r="N13" s="512">
        <f t="shared" si="2"/>
        <v>425</v>
      </c>
      <c r="P13" s="115">
        <v>54105</v>
      </c>
      <c r="Q13" s="116" t="s">
        <v>294</v>
      </c>
      <c r="R13" s="720"/>
      <c r="S13" s="720"/>
      <c r="T13" s="720"/>
      <c r="U13" s="720"/>
      <c r="V13" s="720"/>
      <c r="W13" s="719"/>
      <c r="X13" s="720"/>
      <c r="Y13" s="733"/>
      <c r="Z13" s="720"/>
      <c r="AA13" s="719"/>
      <c r="AB13" s="720"/>
      <c r="AC13" s="728"/>
      <c r="AD13" s="720"/>
      <c r="AE13" s="733">
        <v>700</v>
      </c>
      <c r="AF13" s="733"/>
      <c r="AG13" s="720"/>
      <c r="AH13" s="720"/>
      <c r="AI13" s="720"/>
      <c r="AJ13" s="597">
        <f t="shared" si="10"/>
        <v>700</v>
      </c>
      <c r="AK13" s="227"/>
      <c r="AL13" s="578">
        <v>54105</v>
      </c>
      <c r="AM13" s="535" t="s">
        <v>294</v>
      </c>
      <c r="AN13" s="736"/>
      <c r="AO13" s="736">
        <v>5000</v>
      </c>
      <c r="AP13" s="736"/>
      <c r="AQ13" s="735">
        <f t="shared" si="13"/>
        <v>5000</v>
      </c>
      <c r="AS13" s="115">
        <v>54105</v>
      </c>
      <c r="AT13" s="652" t="s">
        <v>294</v>
      </c>
      <c r="AU13" s="725"/>
      <c r="AV13" s="725"/>
      <c r="AW13" s="725"/>
      <c r="AX13" s="725"/>
      <c r="AY13" s="725"/>
      <c r="AZ13" s="725"/>
      <c r="BA13" s="730"/>
      <c r="BB13" s="599">
        <f t="shared" si="6"/>
        <v>0</v>
      </c>
      <c r="BD13" s="1088">
        <f t="shared" si="12"/>
        <v>6125</v>
      </c>
      <c r="BE13" s="478"/>
    </row>
    <row r="14" spans="1:58" s="52" customFormat="1" ht="11.25" x14ac:dyDescent="0.2">
      <c r="A14" s="115">
        <v>54106</v>
      </c>
      <c r="B14" s="116" t="s">
        <v>295</v>
      </c>
      <c r="C14" s="719"/>
      <c r="D14" s="719"/>
      <c r="E14" s="719"/>
      <c r="F14" s="719">
        <v>45</v>
      </c>
      <c r="G14" s="719"/>
      <c r="H14" s="719"/>
      <c r="I14" s="719"/>
      <c r="J14" s="719"/>
      <c r="K14" s="719"/>
      <c r="L14" s="719"/>
      <c r="M14" s="719"/>
      <c r="N14" s="512">
        <f t="shared" si="2"/>
        <v>45</v>
      </c>
      <c r="P14" s="115">
        <v>54106</v>
      </c>
      <c r="Q14" s="116" t="s">
        <v>295</v>
      </c>
      <c r="R14" s="719"/>
      <c r="S14" s="719"/>
      <c r="T14" s="719"/>
      <c r="U14" s="719"/>
      <c r="V14" s="719"/>
      <c r="W14" s="720"/>
      <c r="X14" s="719"/>
      <c r="Y14" s="732">
        <v>5000</v>
      </c>
      <c r="Z14" s="719"/>
      <c r="AA14" s="719"/>
      <c r="AB14" s="719"/>
      <c r="AC14" s="728"/>
      <c r="AD14" s="719"/>
      <c r="AE14" s="732">
        <v>2000</v>
      </c>
      <c r="AF14" s="732"/>
      <c r="AG14" s="719"/>
      <c r="AH14" s="719"/>
      <c r="AI14" s="719"/>
      <c r="AJ14" s="597">
        <f t="shared" si="10"/>
        <v>7000</v>
      </c>
      <c r="AK14" s="219"/>
      <c r="AL14" s="578">
        <v>54106</v>
      </c>
      <c r="AM14" s="535" t="s">
        <v>295</v>
      </c>
      <c r="AN14" s="735"/>
      <c r="AO14" s="735"/>
      <c r="AP14" s="735"/>
      <c r="AQ14" s="735">
        <f t="shared" si="13"/>
        <v>0</v>
      </c>
      <c r="AS14" s="115">
        <v>54106</v>
      </c>
      <c r="AT14" s="652" t="s">
        <v>295</v>
      </c>
      <c r="AU14" s="724">
        <v>468</v>
      </c>
      <c r="AV14" s="724"/>
      <c r="AW14" s="724">
        <v>3512</v>
      </c>
      <c r="AX14" s="724"/>
      <c r="AY14" s="724"/>
      <c r="AZ14" s="724"/>
      <c r="BA14" s="729">
        <v>100</v>
      </c>
      <c r="BB14" s="599">
        <f t="shared" si="6"/>
        <v>4080</v>
      </c>
      <c r="BD14" s="1088">
        <f t="shared" si="12"/>
        <v>11125</v>
      </c>
      <c r="BE14" s="478"/>
    </row>
    <row r="15" spans="1:58" s="52" customFormat="1" ht="11.25" x14ac:dyDescent="0.2">
      <c r="A15" s="115">
        <v>54107</v>
      </c>
      <c r="B15" s="116" t="s">
        <v>420</v>
      </c>
      <c r="C15" s="719"/>
      <c r="D15" s="719"/>
      <c r="E15" s="719"/>
      <c r="F15" s="719"/>
      <c r="G15" s="719"/>
      <c r="H15" s="719"/>
      <c r="I15" s="719"/>
      <c r="J15" s="719"/>
      <c r="K15" s="719"/>
      <c r="L15" s="719"/>
      <c r="M15" s="719">
        <v>315</v>
      </c>
      <c r="N15" s="512">
        <f t="shared" si="2"/>
        <v>315</v>
      </c>
      <c r="P15" s="115">
        <v>54107</v>
      </c>
      <c r="Q15" s="116" t="s">
        <v>420</v>
      </c>
      <c r="R15" s="719"/>
      <c r="S15" s="719"/>
      <c r="T15" s="719"/>
      <c r="U15" s="719"/>
      <c r="V15" s="719"/>
      <c r="W15" s="719"/>
      <c r="X15" s="719"/>
      <c r="Y15" s="732">
        <v>500</v>
      </c>
      <c r="Z15" s="719">
        <f>6000+7500</f>
        <v>13500</v>
      </c>
      <c r="AA15" s="719"/>
      <c r="AB15" s="719"/>
      <c r="AC15" s="728"/>
      <c r="AD15" s="719"/>
      <c r="AE15" s="732">
        <v>3650</v>
      </c>
      <c r="AF15" s="732">
        <v>790</v>
      </c>
      <c r="AG15" s="719"/>
      <c r="AH15" s="719"/>
      <c r="AI15" s="719"/>
      <c r="AJ15" s="597">
        <f t="shared" si="10"/>
        <v>18440</v>
      </c>
      <c r="AK15" s="203"/>
      <c r="AL15" s="578">
        <v>54107</v>
      </c>
      <c r="AM15" s="535" t="s">
        <v>420</v>
      </c>
      <c r="AN15" s="735"/>
      <c r="AO15" s="735">
        <v>1500</v>
      </c>
      <c r="AP15" s="735"/>
      <c r="AQ15" s="735">
        <f t="shared" si="13"/>
        <v>1500</v>
      </c>
      <c r="AS15" s="115">
        <v>54107</v>
      </c>
      <c r="AT15" s="652" t="s">
        <v>420</v>
      </c>
      <c r="AU15" s="724"/>
      <c r="AV15" s="724"/>
      <c r="AW15" s="724"/>
      <c r="AX15" s="724"/>
      <c r="AY15" s="724">
        <v>19663.650000000001</v>
      </c>
      <c r="AZ15" s="724"/>
      <c r="BA15" s="729"/>
      <c r="BB15" s="599">
        <f t="shared" si="6"/>
        <v>19663.650000000001</v>
      </c>
      <c r="BD15" s="1088">
        <f t="shared" si="12"/>
        <v>39918.65</v>
      </c>
      <c r="BE15" s="478"/>
    </row>
    <row r="16" spans="1:58" s="52" customFormat="1" ht="11.25" x14ac:dyDescent="0.2">
      <c r="A16" s="115">
        <v>54108</v>
      </c>
      <c r="B16" s="116" t="s">
        <v>297</v>
      </c>
      <c r="C16" s="719"/>
      <c r="D16" s="719"/>
      <c r="E16" s="719"/>
      <c r="F16" s="719"/>
      <c r="G16" s="719"/>
      <c r="H16" s="719"/>
      <c r="I16" s="719"/>
      <c r="J16" s="719"/>
      <c r="K16" s="719"/>
      <c r="L16" s="719"/>
      <c r="M16" s="719"/>
      <c r="N16" s="512">
        <f t="shared" si="2"/>
        <v>0</v>
      </c>
      <c r="P16" s="115">
        <v>54108</v>
      </c>
      <c r="Q16" s="116" t="s">
        <v>297</v>
      </c>
      <c r="R16" s="719"/>
      <c r="S16" s="719"/>
      <c r="T16" s="719"/>
      <c r="U16" s="719"/>
      <c r="V16" s="719"/>
      <c r="W16" s="719"/>
      <c r="X16" s="719"/>
      <c r="Y16" s="732">
        <v>300</v>
      </c>
      <c r="Z16" s="719">
        <v>2500</v>
      </c>
      <c r="AA16" s="719"/>
      <c r="AB16" s="719"/>
      <c r="AC16" s="728"/>
      <c r="AD16" s="719"/>
      <c r="AE16" s="732"/>
      <c r="AF16" s="732">
        <v>300</v>
      </c>
      <c r="AG16" s="719"/>
      <c r="AH16" s="719"/>
      <c r="AI16" s="719"/>
      <c r="AJ16" s="597">
        <f t="shared" si="10"/>
        <v>3100</v>
      </c>
      <c r="AK16" s="203"/>
      <c r="AL16" s="578">
        <v>54108</v>
      </c>
      <c r="AM16" s="535" t="s">
        <v>297</v>
      </c>
      <c r="AN16" s="735"/>
      <c r="AO16" s="735"/>
      <c r="AP16" s="735"/>
      <c r="AQ16" s="735">
        <f t="shared" si="13"/>
        <v>0</v>
      </c>
      <c r="AS16" s="115">
        <v>54108</v>
      </c>
      <c r="AT16" s="652" t="s">
        <v>297</v>
      </c>
      <c r="AU16" s="724"/>
      <c r="AV16" s="724"/>
      <c r="AW16" s="724"/>
      <c r="AX16" s="724"/>
      <c r="AY16" s="724"/>
      <c r="AZ16" s="724"/>
      <c r="BA16" s="729"/>
      <c r="BB16" s="599">
        <f t="shared" si="6"/>
        <v>0</v>
      </c>
      <c r="BD16" s="1088">
        <f t="shared" si="12"/>
        <v>3100</v>
      </c>
      <c r="BE16" s="478"/>
    </row>
    <row r="17" spans="1:58" s="52" customFormat="1" ht="11.25" x14ac:dyDescent="0.2">
      <c r="A17" s="115">
        <v>54109</v>
      </c>
      <c r="B17" s="116" t="s">
        <v>298</v>
      </c>
      <c r="C17" s="719"/>
      <c r="D17" s="719"/>
      <c r="E17" s="719"/>
      <c r="F17" s="719"/>
      <c r="G17" s="719"/>
      <c r="H17" s="719"/>
      <c r="I17" s="719"/>
      <c r="J17" s="719"/>
      <c r="K17" s="719"/>
      <c r="L17" s="719"/>
      <c r="M17" s="719"/>
      <c r="N17" s="512">
        <f t="shared" si="2"/>
        <v>0</v>
      </c>
      <c r="P17" s="115">
        <v>54109</v>
      </c>
      <c r="Q17" s="116" t="s">
        <v>298</v>
      </c>
      <c r="R17" s="719"/>
      <c r="S17" s="719"/>
      <c r="T17" s="719"/>
      <c r="U17" s="719"/>
      <c r="V17" s="719"/>
      <c r="W17" s="719"/>
      <c r="X17" s="719"/>
      <c r="Y17" s="732"/>
      <c r="Z17" s="719"/>
      <c r="AA17" s="719"/>
      <c r="AB17" s="719"/>
      <c r="AC17" s="728">
        <v>19200</v>
      </c>
      <c r="AD17" s="719"/>
      <c r="AE17" s="732"/>
      <c r="AF17" s="732"/>
      <c r="AG17" s="719"/>
      <c r="AH17" s="719"/>
      <c r="AI17" s="719"/>
      <c r="AJ17" s="597">
        <f t="shared" si="10"/>
        <v>19200</v>
      </c>
      <c r="AK17" s="203"/>
      <c r="AL17" s="578">
        <v>54109</v>
      </c>
      <c r="AM17" s="535" t="s">
        <v>298</v>
      </c>
      <c r="AN17" s="735">
        <v>12000</v>
      </c>
      <c r="AO17" s="735"/>
      <c r="AP17" s="735"/>
      <c r="AQ17" s="735">
        <f t="shared" si="13"/>
        <v>12000</v>
      </c>
      <c r="AS17" s="115">
        <v>54109</v>
      </c>
      <c r="AT17" s="652" t="s">
        <v>298</v>
      </c>
      <c r="AU17" s="724">
        <v>2671.5</v>
      </c>
      <c r="AV17" s="724"/>
      <c r="AW17" s="724"/>
      <c r="AX17" s="724">
        <v>25000</v>
      </c>
      <c r="AY17" s="724"/>
      <c r="AZ17" s="724"/>
      <c r="BA17" s="729"/>
      <c r="BB17" s="599">
        <f t="shared" si="6"/>
        <v>27671.5</v>
      </c>
      <c r="BD17" s="1088">
        <f t="shared" si="12"/>
        <v>58871.5</v>
      </c>
      <c r="BE17" s="478"/>
    </row>
    <row r="18" spans="1:58" s="52" customFormat="1" ht="11.25" x14ac:dyDescent="0.2">
      <c r="A18" s="115">
        <v>54110</v>
      </c>
      <c r="B18" s="116" t="s">
        <v>391</v>
      </c>
      <c r="C18" s="719"/>
      <c r="D18" s="719"/>
      <c r="E18" s="719"/>
      <c r="F18" s="719"/>
      <c r="G18" s="719"/>
      <c r="H18" s="719"/>
      <c r="I18" s="719"/>
      <c r="J18" s="719"/>
      <c r="K18" s="719"/>
      <c r="L18" s="719"/>
      <c r="M18" s="719"/>
      <c r="N18" s="512">
        <f t="shared" si="2"/>
        <v>0</v>
      </c>
      <c r="P18" s="115">
        <v>54110</v>
      </c>
      <c r="Q18" s="116" t="s">
        <v>391</v>
      </c>
      <c r="R18" s="719"/>
      <c r="S18" s="719"/>
      <c r="T18" s="719"/>
      <c r="U18" s="719"/>
      <c r="V18" s="719"/>
      <c r="W18" s="719"/>
      <c r="X18" s="719"/>
      <c r="Y18" s="732"/>
      <c r="Z18" s="719"/>
      <c r="AA18" s="719"/>
      <c r="AB18" s="719"/>
      <c r="AC18" s="728"/>
      <c r="AD18" s="719"/>
      <c r="AE18" s="732">
        <v>700</v>
      </c>
      <c r="AF18" s="732"/>
      <c r="AG18" s="719"/>
      <c r="AH18" s="719"/>
      <c r="AI18" s="719"/>
      <c r="AJ18" s="597">
        <f t="shared" si="10"/>
        <v>700</v>
      </c>
      <c r="AK18" s="203"/>
      <c r="AL18" s="578">
        <v>54110</v>
      </c>
      <c r="AM18" s="535" t="s">
        <v>391</v>
      </c>
      <c r="AN18" s="1039">
        <v>42000</v>
      </c>
      <c r="AO18" s="735"/>
      <c r="AP18" s="735"/>
      <c r="AQ18" s="735">
        <f t="shared" si="13"/>
        <v>42000</v>
      </c>
      <c r="AS18" s="115">
        <v>54110</v>
      </c>
      <c r="AT18" s="652" t="s">
        <v>391</v>
      </c>
      <c r="AU18" s="724">
        <v>223</v>
      </c>
      <c r="AV18" s="724"/>
      <c r="AW18" s="724"/>
      <c r="AX18" s="1038">
        <v>42000</v>
      </c>
      <c r="AY18" s="724"/>
      <c r="AZ18" s="724"/>
      <c r="BA18" s="729">
        <v>240</v>
      </c>
      <c r="BB18" s="599">
        <f t="shared" si="6"/>
        <v>42463</v>
      </c>
      <c r="BD18" s="1088">
        <f t="shared" si="12"/>
        <v>85163</v>
      </c>
      <c r="BE18" s="478"/>
    </row>
    <row r="19" spans="1:58" s="52" customFormat="1" ht="11.25" x14ac:dyDescent="0.2">
      <c r="A19" s="115">
        <v>54111</v>
      </c>
      <c r="B19" s="116" t="s">
        <v>299</v>
      </c>
      <c r="C19" s="719"/>
      <c r="D19" s="719"/>
      <c r="E19" s="719"/>
      <c r="F19" s="719"/>
      <c r="G19" s="719"/>
      <c r="H19" s="719"/>
      <c r="I19" s="719"/>
      <c r="J19" s="719"/>
      <c r="K19" s="719"/>
      <c r="L19" s="719"/>
      <c r="M19" s="719"/>
      <c r="N19" s="512">
        <f t="shared" si="2"/>
        <v>0</v>
      </c>
      <c r="P19" s="115">
        <v>54111</v>
      </c>
      <c r="Q19" s="116" t="s">
        <v>299</v>
      </c>
      <c r="R19" s="719"/>
      <c r="S19" s="719"/>
      <c r="T19" s="719"/>
      <c r="U19" s="719"/>
      <c r="V19" s="719"/>
      <c r="W19" s="719"/>
      <c r="X19" s="719"/>
      <c r="Y19" s="732"/>
      <c r="Z19" s="719"/>
      <c r="AA19" s="719"/>
      <c r="AB19" s="719"/>
      <c r="AC19" s="728"/>
      <c r="AD19" s="719"/>
      <c r="AE19" s="732">
        <v>4000</v>
      </c>
      <c r="AF19" s="732">
        <v>530</v>
      </c>
      <c r="AG19" s="719"/>
      <c r="AH19" s="719"/>
      <c r="AI19" s="719"/>
      <c r="AJ19" s="597">
        <f t="shared" si="10"/>
        <v>4530</v>
      </c>
      <c r="AK19" s="203"/>
      <c r="AL19" s="578">
        <v>54111</v>
      </c>
      <c r="AM19" s="535" t="s">
        <v>299</v>
      </c>
      <c r="AN19" s="735"/>
      <c r="AO19" s="735"/>
      <c r="AP19" s="735"/>
      <c r="AQ19" s="735">
        <f t="shared" si="13"/>
        <v>0</v>
      </c>
      <c r="AS19" s="115">
        <v>54111</v>
      </c>
      <c r="AT19" s="652" t="s">
        <v>299</v>
      </c>
      <c r="AU19" s="724"/>
      <c r="AV19" s="724"/>
      <c r="AW19" s="724"/>
      <c r="AX19" s="724"/>
      <c r="AY19" s="724">
        <v>1186</v>
      </c>
      <c r="AZ19" s="724"/>
      <c r="BA19" s="729"/>
      <c r="BB19" s="599">
        <f t="shared" si="6"/>
        <v>1186</v>
      </c>
      <c r="BD19" s="1088">
        <f t="shared" si="12"/>
        <v>5716</v>
      </c>
      <c r="BE19" s="478"/>
    </row>
    <row r="20" spans="1:58" s="52" customFormat="1" ht="11.25" x14ac:dyDescent="0.2">
      <c r="A20" s="115">
        <v>54112</v>
      </c>
      <c r="B20" s="116" t="s">
        <v>300</v>
      </c>
      <c r="C20" s="719"/>
      <c r="D20" s="719"/>
      <c r="E20" s="719"/>
      <c r="F20" s="719"/>
      <c r="G20" s="719"/>
      <c r="H20" s="719"/>
      <c r="I20" s="719"/>
      <c r="J20" s="719"/>
      <c r="K20" s="719"/>
      <c r="L20" s="719"/>
      <c r="M20" s="719"/>
      <c r="N20" s="512">
        <f t="shared" si="2"/>
        <v>0</v>
      </c>
      <c r="P20" s="115">
        <v>54112</v>
      </c>
      <c r="Q20" s="116" t="s">
        <v>300</v>
      </c>
      <c r="R20" s="719"/>
      <c r="S20" s="719"/>
      <c r="T20" s="719"/>
      <c r="U20" s="719"/>
      <c r="V20" s="719"/>
      <c r="W20" s="719"/>
      <c r="X20" s="719"/>
      <c r="Y20" s="732"/>
      <c r="Z20" s="719"/>
      <c r="AA20" s="719"/>
      <c r="AB20" s="719"/>
      <c r="AC20" s="728"/>
      <c r="AD20" s="719"/>
      <c r="AE20" s="732">
        <v>4000</v>
      </c>
      <c r="AF20" s="732">
        <v>4440</v>
      </c>
      <c r="AG20" s="719"/>
      <c r="AH20" s="719"/>
      <c r="AI20" s="719"/>
      <c r="AJ20" s="597">
        <f t="shared" si="10"/>
        <v>8440</v>
      </c>
      <c r="AK20" s="203"/>
      <c r="AL20" s="578">
        <v>54112</v>
      </c>
      <c r="AM20" s="535" t="s">
        <v>300</v>
      </c>
      <c r="AN20" s="735"/>
      <c r="AO20" s="735"/>
      <c r="AP20" s="735"/>
      <c r="AQ20" s="735">
        <f t="shared" si="13"/>
        <v>0</v>
      </c>
      <c r="AS20" s="115">
        <v>54112</v>
      </c>
      <c r="AT20" s="652" t="s">
        <v>300</v>
      </c>
      <c r="AU20" s="724"/>
      <c r="AV20" s="724"/>
      <c r="AW20" s="724">
        <v>1080</v>
      </c>
      <c r="AX20" s="724"/>
      <c r="AY20" s="724">
        <v>4650.03</v>
      </c>
      <c r="AZ20" s="724"/>
      <c r="BA20" s="729"/>
      <c r="BB20" s="599">
        <f t="shared" si="6"/>
        <v>5730.03</v>
      </c>
      <c r="BD20" s="1088">
        <f t="shared" si="12"/>
        <v>14170.029999999999</v>
      </c>
      <c r="BE20" s="478"/>
    </row>
    <row r="21" spans="1:58" s="52" customFormat="1" ht="11.25" x14ac:dyDescent="0.2">
      <c r="A21" s="115">
        <v>54113</v>
      </c>
      <c r="B21" s="116" t="s">
        <v>923</v>
      </c>
      <c r="C21" s="719"/>
      <c r="D21" s="719"/>
      <c r="E21" s="719"/>
      <c r="F21" s="719"/>
      <c r="G21" s="719"/>
      <c r="H21" s="719"/>
      <c r="I21" s="719"/>
      <c r="J21" s="719"/>
      <c r="K21" s="719"/>
      <c r="L21" s="719"/>
      <c r="M21" s="719"/>
      <c r="N21" s="512">
        <f t="shared" si="2"/>
        <v>0</v>
      </c>
      <c r="P21" s="115">
        <v>54113</v>
      </c>
      <c r="Q21" s="116" t="s">
        <v>923</v>
      </c>
      <c r="R21" s="719"/>
      <c r="S21" s="719"/>
      <c r="T21" s="719"/>
      <c r="U21" s="719"/>
      <c r="V21" s="719"/>
      <c r="W21" s="719"/>
      <c r="X21" s="719"/>
      <c r="Y21" s="732"/>
      <c r="Z21" s="719"/>
      <c r="AA21" s="719"/>
      <c r="AB21" s="719"/>
      <c r="AC21" s="728"/>
      <c r="AD21" s="719"/>
      <c r="AE21" s="732"/>
      <c r="AF21" s="732"/>
      <c r="AG21" s="719"/>
      <c r="AH21" s="719"/>
      <c r="AI21" s="719"/>
      <c r="AJ21" s="597">
        <f t="shared" si="10"/>
        <v>0</v>
      </c>
      <c r="AK21" s="203"/>
      <c r="AL21" s="578">
        <v>54113</v>
      </c>
      <c r="AM21" s="535" t="s">
        <v>923</v>
      </c>
      <c r="AN21" s="735"/>
      <c r="AO21" s="735"/>
      <c r="AP21" s="735"/>
      <c r="AQ21" s="735">
        <f t="shared" si="13"/>
        <v>0</v>
      </c>
      <c r="AS21" s="115">
        <v>54113</v>
      </c>
      <c r="AT21" s="652" t="s">
        <v>923</v>
      </c>
      <c r="AU21" s="724"/>
      <c r="AV21" s="724"/>
      <c r="AW21" s="724"/>
      <c r="AX21" s="724"/>
      <c r="AY21" s="724"/>
      <c r="AZ21" s="724"/>
      <c r="BA21" s="729"/>
      <c r="BB21" s="599">
        <f t="shared" si="6"/>
        <v>0</v>
      </c>
      <c r="BD21" s="1088">
        <f t="shared" si="12"/>
        <v>0</v>
      </c>
      <c r="BE21" s="478"/>
    </row>
    <row r="22" spans="1:58" s="52" customFormat="1" ht="11.25" x14ac:dyDescent="0.2">
      <c r="A22" s="115">
        <v>54114</v>
      </c>
      <c r="B22" s="116" t="s">
        <v>301</v>
      </c>
      <c r="C22" s="719"/>
      <c r="D22" s="719"/>
      <c r="E22" s="719"/>
      <c r="F22" s="719">
        <v>405</v>
      </c>
      <c r="G22" s="719"/>
      <c r="H22" s="719"/>
      <c r="I22" s="719"/>
      <c r="J22" s="719"/>
      <c r="K22" s="719"/>
      <c r="L22" s="719"/>
      <c r="M22" s="719"/>
      <c r="N22" s="512">
        <f t="shared" si="2"/>
        <v>405</v>
      </c>
      <c r="P22" s="115">
        <v>54114</v>
      </c>
      <c r="Q22" s="116" t="s">
        <v>301</v>
      </c>
      <c r="R22" s="719"/>
      <c r="S22" s="719"/>
      <c r="T22" s="719"/>
      <c r="U22" s="719"/>
      <c r="V22" s="719"/>
      <c r="W22" s="719"/>
      <c r="X22" s="719"/>
      <c r="Y22" s="732"/>
      <c r="Z22" s="719"/>
      <c r="AA22" s="719"/>
      <c r="AB22" s="719"/>
      <c r="AC22" s="728"/>
      <c r="AD22" s="719"/>
      <c r="AE22" s="732">
        <v>500</v>
      </c>
      <c r="AF22" s="732"/>
      <c r="AG22" s="719"/>
      <c r="AH22" s="719"/>
      <c r="AI22" s="719"/>
      <c r="AJ22" s="597">
        <f t="shared" si="10"/>
        <v>500</v>
      </c>
      <c r="AK22" s="203"/>
      <c r="AL22" s="578">
        <v>54114</v>
      </c>
      <c r="AM22" s="535" t="s">
        <v>301</v>
      </c>
      <c r="AN22" s="735"/>
      <c r="AO22" s="735">
        <v>3000</v>
      </c>
      <c r="AP22" s="735"/>
      <c r="AQ22" s="735">
        <f t="shared" si="13"/>
        <v>3000</v>
      </c>
      <c r="AS22" s="115">
        <v>54114</v>
      </c>
      <c r="AT22" s="652" t="s">
        <v>301</v>
      </c>
      <c r="AU22" s="724"/>
      <c r="AV22" s="724"/>
      <c r="AW22" s="724"/>
      <c r="AX22" s="724"/>
      <c r="AY22" s="724"/>
      <c r="AZ22" s="724"/>
      <c r="BA22" s="729"/>
      <c r="BB22" s="599">
        <f t="shared" si="6"/>
        <v>0</v>
      </c>
      <c r="BD22" s="1088">
        <f t="shared" si="12"/>
        <v>3905</v>
      </c>
      <c r="BE22" s="478"/>
    </row>
    <row r="23" spans="1:58" s="1002" customFormat="1" ht="11.25" x14ac:dyDescent="0.2">
      <c r="A23" s="1001">
        <v>54115</v>
      </c>
      <c r="B23" s="622" t="s">
        <v>302</v>
      </c>
      <c r="C23" s="719"/>
      <c r="D23" s="719"/>
      <c r="E23" s="719"/>
      <c r="F23" s="719"/>
      <c r="G23" s="719"/>
      <c r="H23" s="719">
        <v>400</v>
      </c>
      <c r="I23" s="719"/>
      <c r="J23" s="719">
        <v>4252.8999999999996</v>
      </c>
      <c r="K23" s="719"/>
      <c r="L23" s="719"/>
      <c r="M23" s="719">
        <v>3048</v>
      </c>
      <c r="N23" s="512">
        <f t="shared" si="2"/>
        <v>7700.9</v>
      </c>
      <c r="P23" s="1001">
        <v>54115</v>
      </c>
      <c r="Q23" s="622" t="s">
        <v>302</v>
      </c>
      <c r="R23" s="719"/>
      <c r="S23" s="719"/>
      <c r="T23" s="719"/>
      <c r="U23" s="719"/>
      <c r="V23" s="719">
        <v>500</v>
      </c>
      <c r="W23" s="719"/>
      <c r="X23" s="719"/>
      <c r="Y23" s="732"/>
      <c r="Z23" s="719"/>
      <c r="AA23" s="719"/>
      <c r="AB23" s="719"/>
      <c r="AC23" s="728"/>
      <c r="AD23" s="742"/>
      <c r="AE23" s="732">
        <v>1000</v>
      </c>
      <c r="AF23" s="732"/>
      <c r="AG23" s="719"/>
      <c r="AH23" s="719"/>
      <c r="AI23" s="719"/>
      <c r="AJ23" s="597">
        <f t="shared" si="10"/>
        <v>1500</v>
      </c>
      <c r="AK23" s="1003"/>
      <c r="AL23" s="1004">
        <v>54115</v>
      </c>
      <c r="AM23" s="1005" t="s">
        <v>302</v>
      </c>
      <c r="AN23" s="735"/>
      <c r="AO23" s="735"/>
      <c r="AP23" s="735">
        <v>2799.9</v>
      </c>
      <c r="AQ23" s="735">
        <f t="shared" si="13"/>
        <v>2799.9</v>
      </c>
      <c r="AS23" s="1001">
        <v>54115</v>
      </c>
      <c r="AT23" s="1006" t="s">
        <v>302</v>
      </c>
      <c r="AU23" s="724"/>
      <c r="AV23" s="724"/>
      <c r="AW23" s="724"/>
      <c r="AX23" s="724"/>
      <c r="AY23" s="724"/>
      <c r="AZ23" s="724"/>
      <c r="BA23" s="729"/>
      <c r="BB23" s="1007">
        <f t="shared" si="6"/>
        <v>0</v>
      </c>
      <c r="BD23" s="1088">
        <f t="shared" si="12"/>
        <v>12000.8</v>
      </c>
      <c r="BE23" s="1008"/>
    </row>
    <row r="24" spans="1:58" s="52" customFormat="1" ht="11.25" x14ac:dyDescent="0.2">
      <c r="A24" s="115">
        <v>54116</v>
      </c>
      <c r="B24" s="116" t="s">
        <v>303</v>
      </c>
      <c r="C24" s="719"/>
      <c r="D24" s="719"/>
      <c r="E24" s="719"/>
      <c r="F24" s="719"/>
      <c r="G24" s="719"/>
      <c r="H24" s="719"/>
      <c r="I24" s="719"/>
      <c r="J24" s="719"/>
      <c r="K24" s="719"/>
      <c r="L24" s="719"/>
      <c r="M24" s="719"/>
      <c r="N24" s="512">
        <f t="shared" si="2"/>
        <v>0</v>
      </c>
      <c r="P24" s="115">
        <v>54116</v>
      </c>
      <c r="Q24" s="116" t="s">
        <v>303</v>
      </c>
      <c r="R24" s="719"/>
      <c r="S24" s="719"/>
      <c r="T24" s="719"/>
      <c r="U24" s="719"/>
      <c r="V24" s="719"/>
      <c r="W24" s="719"/>
      <c r="X24" s="719"/>
      <c r="Y24" s="732"/>
      <c r="Z24" s="719"/>
      <c r="AA24" s="719"/>
      <c r="AB24" s="719"/>
      <c r="AC24" s="728"/>
      <c r="AD24" s="719"/>
      <c r="AE24" s="732">
        <v>1000</v>
      </c>
      <c r="AF24" s="732"/>
      <c r="AG24" s="719"/>
      <c r="AH24" s="719"/>
      <c r="AI24" s="719"/>
      <c r="AJ24" s="597">
        <f t="shared" si="10"/>
        <v>1000</v>
      </c>
      <c r="AK24" s="203"/>
      <c r="AL24" s="578">
        <v>54116</v>
      </c>
      <c r="AM24" s="535" t="s">
        <v>303</v>
      </c>
      <c r="AN24" s="735"/>
      <c r="AO24" s="735"/>
      <c r="AP24" s="735"/>
      <c r="AQ24" s="735">
        <f t="shared" si="13"/>
        <v>0</v>
      </c>
      <c r="AS24" s="115">
        <v>54116</v>
      </c>
      <c r="AT24" s="652" t="s">
        <v>303</v>
      </c>
      <c r="AU24" s="724"/>
      <c r="AV24" s="724"/>
      <c r="AW24" s="724"/>
      <c r="AX24" s="724"/>
      <c r="AY24" s="724"/>
      <c r="AZ24" s="724"/>
      <c r="BA24" s="729"/>
      <c r="BB24" s="599">
        <f t="shared" si="6"/>
        <v>0</v>
      </c>
      <c r="BD24" s="1088">
        <f t="shared" si="12"/>
        <v>1000</v>
      </c>
      <c r="BE24" s="478"/>
    </row>
    <row r="25" spans="1:58" s="52" customFormat="1" ht="11.25" x14ac:dyDescent="0.2">
      <c r="A25" s="115">
        <v>54117</v>
      </c>
      <c r="B25" s="116" t="s">
        <v>304</v>
      </c>
      <c r="C25" s="719"/>
      <c r="D25" s="719"/>
      <c r="E25" s="719"/>
      <c r="F25" s="719"/>
      <c r="G25" s="719"/>
      <c r="H25" s="719"/>
      <c r="I25" s="719"/>
      <c r="J25" s="719"/>
      <c r="K25" s="719"/>
      <c r="L25" s="719"/>
      <c r="M25" s="719"/>
      <c r="N25" s="512">
        <f t="shared" si="2"/>
        <v>0</v>
      </c>
      <c r="P25" s="115">
        <v>54117</v>
      </c>
      <c r="Q25" s="116" t="s">
        <v>304</v>
      </c>
      <c r="R25" s="719"/>
      <c r="S25" s="719"/>
      <c r="T25" s="719"/>
      <c r="U25" s="719"/>
      <c r="V25" s="719"/>
      <c r="W25" s="719"/>
      <c r="X25" s="719"/>
      <c r="Y25" s="732"/>
      <c r="Z25" s="719"/>
      <c r="AA25" s="719"/>
      <c r="AB25" s="719"/>
      <c r="AC25" s="728"/>
      <c r="AD25" s="719"/>
      <c r="AE25" s="732"/>
      <c r="AF25" s="732"/>
      <c r="AG25" s="719"/>
      <c r="AH25" s="719"/>
      <c r="AI25" s="719"/>
      <c r="AJ25" s="597">
        <f t="shared" si="10"/>
        <v>0</v>
      </c>
      <c r="AK25" s="203"/>
      <c r="AL25" s="578">
        <v>54117</v>
      </c>
      <c r="AM25" s="535" t="s">
        <v>304</v>
      </c>
      <c r="AN25" s="735"/>
      <c r="AO25" s="735"/>
      <c r="AP25" s="735"/>
      <c r="AQ25" s="735">
        <f t="shared" si="13"/>
        <v>0</v>
      </c>
      <c r="AS25" s="115">
        <v>54117</v>
      </c>
      <c r="AT25" s="652" t="s">
        <v>304</v>
      </c>
      <c r="AU25" s="724"/>
      <c r="AV25" s="724"/>
      <c r="AW25" s="724"/>
      <c r="AX25" s="724"/>
      <c r="AY25" s="724"/>
      <c r="AZ25" s="724">
        <v>5800</v>
      </c>
      <c r="BA25" s="729"/>
      <c r="BB25" s="599">
        <f t="shared" si="6"/>
        <v>5800</v>
      </c>
      <c r="BD25" s="1088">
        <f t="shared" si="12"/>
        <v>5800</v>
      </c>
      <c r="BE25" s="478"/>
    </row>
    <row r="26" spans="1:58" s="52" customFormat="1" ht="11.25" x14ac:dyDescent="0.2">
      <c r="A26" s="115">
        <v>54118</v>
      </c>
      <c r="B26" s="116" t="s">
        <v>461</v>
      </c>
      <c r="C26" s="719"/>
      <c r="D26" s="719"/>
      <c r="E26" s="719"/>
      <c r="F26" s="719"/>
      <c r="G26" s="719"/>
      <c r="H26" s="719"/>
      <c r="I26" s="719"/>
      <c r="J26" s="719"/>
      <c r="K26" s="719"/>
      <c r="L26" s="719"/>
      <c r="M26" s="719">
        <v>4145</v>
      </c>
      <c r="N26" s="512">
        <f t="shared" si="2"/>
        <v>4145</v>
      </c>
      <c r="P26" s="115">
        <v>54118</v>
      </c>
      <c r="Q26" s="116" t="s">
        <v>305</v>
      </c>
      <c r="R26" s="719"/>
      <c r="S26" s="719"/>
      <c r="T26" s="719"/>
      <c r="U26" s="719"/>
      <c r="V26" s="719"/>
      <c r="W26" s="719"/>
      <c r="X26" s="719"/>
      <c r="Y26" s="732"/>
      <c r="Z26" s="719"/>
      <c r="AA26" s="719"/>
      <c r="AB26" s="719"/>
      <c r="AC26" s="728"/>
      <c r="AD26" s="719"/>
      <c r="AE26" s="732">
        <v>1000</v>
      </c>
      <c r="AF26" s="732"/>
      <c r="AG26" s="719"/>
      <c r="AH26" s="719"/>
      <c r="AI26" s="719"/>
      <c r="AJ26" s="597">
        <f t="shared" si="10"/>
        <v>1000</v>
      </c>
      <c r="AK26" s="203"/>
      <c r="AL26" s="578">
        <v>54118</v>
      </c>
      <c r="AM26" s="535" t="s">
        <v>305</v>
      </c>
      <c r="AN26" s="735">
        <v>3000</v>
      </c>
      <c r="AO26" s="735"/>
      <c r="AP26" s="735"/>
      <c r="AQ26" s="735">
        <f t="shared" si="13"/>
        <v>3000</v>
      </c>
      <c r="AS26" s="115">
        <v>54118</v>
      </c>
      <c r="AT26" s="652" t="s">
        <v>305</v>
      </c>
      <c r="AU26" s="724"/>
      <c r="AV26" s="724"/>
      <c r="AW26" s="724">
        <v>884</v>
      </c>
      <c r="AX26" s="724"/>
      <c r="AY26" s="724"/>
      <c r="AZ26" s="724"/>
      <c r="BA26" s="729"/>
      <c r="BB26" s="599">
        <f t="shared" si="6"/>
        <v>884</v>
      </c>
      <c r="BD26" s="1088">
        <f t="shared" si="12"/>
        <v>9029</v>
      </c>
      <c r="BE26" s="478"/>
    </row>
    <row r="27" spans="1:58" s="52" customFormat="1" ht="11.25" x14ac:dyDescent="0.2">
      <c r="A27" s="115">
        <v>54119</v>
      </c>
      <c r="B27" s="116" t="s">
        <v>306</v>
      </c>
      <c r="C27" s="719"/>
      <c r="D27" s="719"/>
      <c r="E27" s="719"/>
      <c r="F27" s="719"/>
      <c r="G27" s="719"/>
      <c r="H27" s="719"/>
      <c r="I27" s="719"/>
      <c r="J27" s="719"/>
      <c r="K27" s="719"/>
      <c r="L27" s="719"/>
      <c r="M27" s="719"/>
      <c r="N27" s="512">
        <f t="shared" si="2"/>
        <v>0</v>
      </c>
      <c r="P27" s="115">
        <v>54119</v>
      </c>
      <c r="Q27" s="116" t="s">
        <v>306</v>
      </c>
      <c r="R27" s="719"/>
      <c r="S27" s="719"/>
      <c r="T27" s="719"/>
      <c r="U27" s="719"/>
      <c r="V27" s="719"/>
      <c r="W27" s="719"/>
      <c r="X27" s="719"/>
      <c r="Y27" s="732"/>
      <c r="Z27" s="719" t="s">
        <v>677</v>
      </c>
      <c r="AA27" s="719"/>
      <c r="AB27" s="719"/>
      <c r="AC27" s="719"/>
      <c r="AD27" s="719"/>
      <c r="AE27" s="732"/>
      <c r="AF27" s="732"/>
      <c r="AG27" s="719"/>
      <c r="AH27" s="719"/>
      <c r="AI27" s="719"/>
      <c r="AJ27" s="597">
        <f t="shared" si="10"/>
        <v>0</v>
      </c>
      <c r="AK27" s="203"/>
      <c r="AL27" s="578">
        <v>54119</v>
      </c>
      <c r="AM27" s="535" t="s">
        <v>306</v>
      </c>
      <c r="AN27" s="735"/>
      <c r="AO27" s="735"/>
      <c r="AP27" s="735"/>
      <c r="AQ27" s="735">
        <f t="shared" si="13"/>
        <v>0</v>
      </c>
      <c r="AS27" s="115">
        <v>54119</v>
      </c>
      <c r="AT27" s="652" t="s">
        <v>306</v>
      </c>
      <c r="AU27" s="724"/>
      <c r="AV27" s="724"/>
      <c r="AW27" s="724">
        <v>45200</v>
      </c>
      <c r="AX27" s="724"/>
      <c r="AY27" s="724"/>
      <c r="AZ27" s="724"/>
      <c r="BA27" s="729"/>
      <c r="BB27" s="599">
        <f t="shared" si="6"/>
        <v>45200</v>
      </c>
      <c r="BD27" s="1088">
        <f t="shared" si="12"/>
        <v>45200</v>
      </c>
      <c r="BE27" s="478"/>
    </row>
    <row r="28" spans="1:58" s="52" customFormat="1" ht="11.25" x14ac:dyDescent="0.2">
      <c r="A28" s="115">
        <v>54121</v>
      </c>
      <c r="B28" s="116" t="s">
        <v>307</v>
      </c>
      <c r="C28" s="719"/>
      <c r="D28" s="719"/>
      <c r="E28" s="719"/>
      <c r="F28" s="719"/>
      <c r="G28" s="719"/>
      <c r="H28" s="719"/>
      <c r="I28" s="719"/>
      <c r="J28" s="719"/>
      <c r="K28" s="719"/>
      <c r="L28" s="719"/>
      <c r="M28" s="719"/>
      <c r="N28" s="512">
        <f t="shared" si="2"/>
        <v>0</v>
      </c>
      <c r="P28" s="115">
        <v>54121</v>
      </c>
      <c r="Q28" s="116" t="s">
        <v>307</v>
      </c>
      <c r="R28" s="719"/>
      <c r="S28" s="719"/>
      <c r="T28" s="719"/>
      <c r="U28" s="719"/>
      <c r="V28" s="1037">
        <v>31200</v>
      </c>
      <c r="W28" s="719"/>
      <c r="X28" s="719"/>
      <c r="Y28" s="732"/>
      <c r="Z28" s="719"/>
      <c r="AA28" s="719"/>
      <c r="AB28" s="719"/>
      <c r="AC28" s="719"/>
      <c r="AD28" s="719"/>
      <c r="AE28" s="732"/>
      <c r="AF28" s="732"/>
      <c r="AG28" s="719"/>
      <c r="AH28" s="719"/>
      <c r="AI28" s="719"/>
      <c r="AJ28" s="597">
        <f t="shared" si="10"/>
        <v>31200</v>
      </c>
      <c r="AK28" s="203"/>
      <c r="AL28" s="578">
        <v>54121</v>
      </c>
      <c r="AM28" s="535" t="s">
        <v>307</v>
      </c>
      <c r="AN28" s="735"/>
      <c r="AO28" s="735"/>
      <c r="AP28" s="735"/>
      <c r="AQ28" s="735">
        <f t="shared" si="13"/>
        <v>0</v>
      </c>
      <c r="AS28" s="115">
        <v>54121</v>
      </c>
      <c r="AT28" s="652" t="s">
        <v>307</v>
      </c>
      <c r="AU28" s="724"/>
      <c r="AV28" s="724"/>
      <c r="AW28" s="724"/>
      <c r="AX28" s="724"/>
      <c r="AY28" s="724"/>
      <c r="AZ28" s="724"/>
      <c r="BA28" s="729"/>
      <c r="BB28" s="599">
        <f t="shared" si="6"/>
        <v>0</v>
      </c>
      <c r="BD28" s="1088">
        <f t="shared" si="12"/>
        <v>31200</v>
      </c>
      <c r="BE28" s="478"/>
    </row>
    <row r="29" spans="1:58" s="52" customFormat="1" ht="11.25" x14ac:dyDescent="0.2">
      <c r="A29" s="115">
        <v>54199</v>
      </c>
      <c r="B29" s="116" t="s">
        <v>386</v>
      </c>
      <c r="C29" s="719">
        <v>800</v>
      </c>
      <c r="D29" s="719">
        <v>1160</v>
      </c>
      <c r="E29" s="719"/>
      <c r="F29" s="719">
        <v>30</v>
      </c>
      <c r="G29" s="719"/>
      <c r="H29" s="719"/>
      <c r="I29" s="719"/>
      <c r="J29" s="719"/>
      <c r="K29" s="719"/>
      <c r="L29" s="719">
        <v>40</v>
      </c>
      <c r="M29" s="719">
        <v>150</v>
      </c>
      <c r="N29" s="512">
        <f t="shared" si="2"/>
        <v>2180</v>
      </c>
      <c r="P29" s="115">
        <v>54199</v>
      </c>
      <c r="Q29" s="116" t="s">
        <v>386</v>
      </c>
      <c r="R29" s="719"/>
      <c r="S29" s="719"/>
      <c r="T29" s="719"/>
      <c r="U29" s="719">
        <v>600</v>
      </c>
      <c r="V29" s="719"/>
      <c r="W29" s="719"/>
      <c r="X29" s="719"/>
      <c r="Y29" s="732"/>
      <c r="Z29" s="719">
        <v>10000</v>
      </c>
      <c r="AA29" s="719"/>
      <c r="AB29" s="719"/>
      <c r="AC29" s="719"/>
      <c r="AD29" s="719">
        <v>1100</v>
      </c>
      <c r="AE29" s="732"/>
      <c r="AF29" s="732"/>
      <c r="AG29" s="719"/>
      <c r="AH29" s="719"/>
      <c r="AI29" s="719"/>
      <c r="AJ29" s="597">
        <f t="shared" si="10"/>
        <v>11700</v>
      </c>
      <c r="AK29" s="203"/>
      <c r="AL29" s="578">
        <v>54199</v>
      </c>
      <c r="AM29" s="535" t="s">
        <v>386</v>
      </c>
      <c r="AN29" s="735"/>
      <c r="AO29" s="735">
        <v>5000</v>
      </c>
      <c r="AP29" s="735"/>
      <c r="AQ29" s="735">
        <f t="shared" si="13"/>
        <v>5000</v>
      </c>
      <c r="AS29" s="115">
        <v>54199</v>
      </c>
      <c r="AT29" s="652" t="s">
        <v>386</v>
      </c>
      <c r="AU29" s="724"/>
      <c r="AV29" s="724"/>
      <c r="AW29" s="724"/>
      <c r="AX29" s="724"/>
      <c r="AY29" s="724"/>
      <c r="AZ29" s="724"/>
      <c r="BA29" s="729"/>
      <c r="BB29" s="599">
        <f t="shared" si="6"/>
        <v>0</v>
      </c>
      <c r="BD29" s="1088">
        <f t="shared" si="12"/>
        <v>18880</v>
      </c>
      <c r="BE29" s="478"/>
    </row>
    <row r="30" spans="1:58" s="52" customFormat="1" ht="11.25" x14ac:dyDescent="0.2">
      <c r="A30" s="267">
        <v>542</v>
      </c>
      <c r="B30" s="121" t="s">
        <v>109</v>
      </c>
      <c r="C30" s="719">
        <f>SUM(C31:C34)</f>
        <v>198545.05</v>
      </c>
      <c r="D30" s="719">
        <f t="shared" ref="D30" si="14">SUM(D31:D34)</f>
        <v>0</v>
      </c>
      <c r="E30" s="719">
        <f t="shared" ref="E30:L30" si="15">SUM(E31:E34)</f>
        <v>0</v>
      </c>
      <c r="F30" s="719">
        <f t="shared" si="15"/>
        <v>0</v>
      </c>
      <c r="G30" s="719">
        <f t="shared" si="15"/>
        <v>0</v>
      </c>
      <c r="H30" s="719"/>
      <c r="I30" s="719">
        <f t="shared" ref="I30:J30" si="16">SUM(I31:I34)</f>
        <v>0</v>
      </c>
      <c r="J30" s="719">
        <f t="shared" si="16"/>
        <v>0</v>
      </c>
      <c r="K30" s="719">
        <f t="shared" si="15"/>
        <v>0</v>
      </c>
      <c r="L30" s="719">
        <f t="shared" si="15"/>
        <v>0</v>
      </c>
      <c r="M30" s="719"/>
      <c r="N30" s="512">
        <f t="shared" si="2"/>
        <v>198545.05</v>
      </c>
      <c r="P30" s="267">
        <v>542</v>
      </c>
      <c r="Q30" s="121" t="s">
        <v>109</v>
      </c>
      <c r="R30" s="723">
        <f>SUM(R31:R34)</f>
        <v>0</v>
      </c>
      <c r="S30" s="723">
        <v>0</v>
      </c>
      <c r="T30" s="723">
        <v>0</v>
      </c>
      <c r="U30" s="723">
        <f t="shared" ref="U30:AH30" si="17">SUM(U31:U34)</f>
        <v>0</v>
      </c>
      <c r="V30" s="723">
        <f t="shared" si="17"/>
        <v>0</v>
      </c>
      <c r="W30" s="723">
        <f t="shared" si="17"/>
        <v>0</v>
      </c>
      <c r="X30" s="723">
        <f t="shared" si="17"/>
        <v>0</v>
      </c>
      <c r="Y30" s="723">
        <f t="shared" si="17"/>
        <v>0</v>
      </c>
      <c r="Z30" s="723">
        <f t="shared" si="17"/>
        <v>0</v>
      </c>
      <c r="AA30" s="723">
        <f t="shared" si="17"/>
        <v>0</v>
      </c>
      <c r="AB30" s="723">
        <f t="shared" si="17"/>
        <v>0</v>
      </c>
      <c r="AC30" s="723">
        <f t="shared" si="17"/>
        <v>0</v>
      </c>
      <c r="AD30" s="723">
        <f t="shared" si="17"/>
        <v>0</v>
      </c>
      <c r="AE30" s="723">
        <f t="shared" si="17"/>
        <v>3200</v>
      </c>
      <c r="AF30" s="723">
        <f t="shared" si="17"/>
        <v>0</v>
      </c>
      <c r="AG30" s="723">
        <f t="shared" si="17"/>
        <v>0</v>
      </c>
      <c r="AH30" s="723">
        <f t="shared" si="17"/>
        <v>0</v>
      </c>
      <c r="AI30" s="723">
        <f>SUM(AI31:AI34)</f>
        <v>0</v>
      </c>
      <c r="AJ30" s="597">
        <f t="shared" si="10"/>
        <v>3200</v>
      </c>
      <c r="AK30" s="270"/>
      <c r="AL30" s="577">
        <v>542</v>
      </c>
      <c r="AM30" s="533" t="s">
        <v>109</v>
      </c>
      <c r="AN30" s="737">
        <f>SUM(AN31:AN34)</f>
        <v>0</v>
      </c>
      <c r="AO30" s="737">
        <f>SUM(AO31:AO34)</f>
        <v>0</v>
      </c>
      <c r="AP30" s="737">
        <f>SUM(AP31:AP34)</f>
        <v>0</v>
      </c>
      <c r="AQ30" s="735">
        <f t="shared" si="13"/>
        <v>0</v>
      </c>
      <c r="AS30" s="267">
        <v>542</v>
      </c>
      <c r="AT30" s="651" t="s">
        <v>109</v>
      </c>
      <c r="AU30" s="726">
        <f>SUM(AU31:AU34)</f>
        <v>0</v>
      </c>
      <c r="AV30" s="726">
        <f t="shared" ref="AV30:BA30" si="18">SUM(AV31:AV34)</f>
        <v>0</v>
      </c>
      <c r="AW30" s="726">
        <f t="shared" si="18"/>
        <v>60900</v>
      </c>
      <c r="AX30" s="726">
        <f t="shared" si="18"/>
        <v>0</v>
      </c>
      <c r="AY30" s="726">
        <f t="shared" si="18"/>
        <v>23500</v>
      </c>
      <c r="AZ30" s="726">
        <f t="shared" si="18"/>
        <v>0</v>
      </c>
      <c r="BA30" s="726">
        <f t="shared" si="18"/>
        <v>0</v>
      </c>
      <c r="BB30" s="599">
        <f t="shared" si="6"/>
        <v>84400</v>
      </c>
      <c r="BD30" s="1088">
        <f t="shared" si="12"/>
        <v>286145.05</v>
      </c>
      <c r="BE30" s="478"/>
      <c r="BF30" s="874"/>
    </row>
    <row r="31" spans="1:58" s="52" customFormat="1" ht="11.25" x14ac:dyDescent="0.2">
      <c r="A31" s="115">
        <v>54201</v>
      </c>
      <c r="B31" s="116" t="s">
        <v>311</v>
      </c>
      <c r="C31" s="1037">
        <f>79084.6+15000+58600.45</f>
        <v>152685.04999999999</v>
      </c>
      <c r="D31" s="719"/>
      <c r="E31" s="719"/>
      <c r="F31" s="719"/>
      <c r="G31" s="719"/>
      <c r="H31" s="719"/>
      <c r="I31" s="719"/>
      <c r="J31" s="719"/>
      <c r="K31" s="719"/>
      <c r="L31" s="719"/>
      <c r="M31" s="719"/>
      <c r="N31" s="512">
        <f t="shared" si="2"/>
        <v>152685.04999999999</v>
      </c>
      <c r="P31" s="115">
        <v>54201</v>
      </c>
      <c r="Q31" s="116" t="s">
        <v>311</v>
      </c>
      <c r="R31" s="719"/>
      <c r="S31" s="719"/>
      <c r="T31" s="719"/>
      <c r="U31" s="719"/>
      <c r="V31" s="719"/>
      <c r="W31" s="719"/>
      <c r="X31" s="719"/>
      <c r="Y31" s="732"/>
      <c r="Z31" s="719"/>
      <c r="AA31" s="719"/>
      <c r="AB31" s="719"/>
      <c r="AC31" s="719"/>
      <c r="AD31" s="719"/>
      <c r="AE31" s="732"/>
      <c r="AF31" s="732"/>
      <c r="AG31" s="719"/>
      <c r="AH31" s="719"/>
      <c r="AI31" s="719"/>
      <c r="AJ31" s="597">
        <f t="shared" si="10"/>
        <v>0</v>
      </c>
      <c r="AK31" s="203"/>
      <c r="AL31" s="578">
        <v>54201</v>
      </c>
      <c r="AM31" s="535" t="s">
        <v>311</v>
      </c>
      <c r="AN31" s="735"/>
      <c r="AO31" s="735"/>
      <c r="AP31" s="735"/>
      <c r="AQ31" s="735">
        <f t="shared" si="13"/>
        <v>0</v>
      </c>
      <c r="AS31" s="115">
        <v>54201</v>
      </c>
      <c r="AT31" s="652" t="s">
        <v>311</v>
      </c>
      <c r="AU31" s="724"/>
      <c r="AV31" s="724"/>
      <c r="AW31" s="1038">
        <v>60900</v>
      </c>
      <c r="AX31" s="724"/>
      <c r="AY31" s="1038">
        <v>23500</v>
      </c>
      <c r="AZ31" s="724"/>
      <c r="BA31" s="729"/>
      <c r="BB31" s="599">
        <f t="shared" si="6"/>
        <v>84400</v>
      </c>
      <c r="BD31" s="1088">
        <f t="shared" si="12"/>
        <v>237085.05</v>
      </c>
      <c r="BE31" s="478"/>
    </row>
    <row r="32" spans="1:58" s="52" customFormat="1" ht="11.25" x14ac:dyDescent="0.2">
      <c r="A32" s="115">
        <v>54202</v>
      </c>
      <c r="B32" s="116" t="s">
        <v>310</v>
      </c>
      <c r="C32" s="1037">
        <v>17500</v>
      </c>
      <c r="D32" s="719"/>
      <c r="E32" s="719"/>
      <c r="F32" s="719"/>
      <c r="G32" s="719"/>
      <c r="H32" s="719"/>
      <c r="I32" s="719"/>
      <c r="J32" s="719"/>
      <c r="K32" s="719"/>
      <c r="L32" s="719"/>
      <c r="M32" s="719"/>
      <c r="N32" s="512">
        <f t="shared" si="2"/>
        <v>17500</v>
      </c>
      <c r="P32" s="115">
        <v>54202</v>
      </c>
      <c r="Q32" s="116" t="s">
        <v>310</v>
      </c>
      <c r="R32" s="719"/>
      <c r="S32" s="719"/>
      <c r="T32" s="719"/>
      <c r="U32" s="719"/>
      <c r="V32" s="719"/>
      <c r="W32" s="719"/>
      <c r="X32" s="719"/>
      <c r="Y32" s="732"/>
      <c r="Z32" s="719"/>
      <c r="AA32" s="719"/>
      <c r="AB32" s="719"/>
      <c r="AC32" s="719"/>
      <c r="AD32" s="719"/>
      <c r="AE32" s="732"/>
      <c r="AF32" s="732"/>
      <c r="AG32" s="719"/>
      <c r="AH32" s="719"/>
      <c r="AI32" s="719"/>
      <c r="AJ32" s="597">
        <f t="shared" si="10"/>
        <v>0</v>
      </c>
      <c r="AK32" s="203"/>
      <c r="AL32" s="578">
        <v>54202</v>
      </c>
      <c r="AM32" s="535" t="s">
        <v>310</v>
      </c>
      <c r="AN32" s="735"/>
      <c r="AO32" s="735"/>
      <c r="AP32" s="735"/>
      <c r="AQ32" s="735">
        <f t="shared" si="13"/>
        <v>0</v>
      </c>
      <c r="AS32" s="115">
        <v>54202</v>
      </c>
      <c r="AT32" s="652" t="s">
        <v>310</v>
      </c>
      <c r="AU32" s="724"/>
      <c r="AV32" s="724"/>
      <c r="AW32" s="724"/>
      <c r="AX32" s="724"/>
      <c r="AY32" s="724"/>
      <c r="AZ32" s="724"/>
      <c r="BA32" s="729"/>
      <c r="BB32" s="599">
        <f t="shared" si="6"/>
        <v>0</v>
      </c>
      <c r="BD32" s="1088">
        <f t="shared" si="12"/>
        <v>17500</v>
      </c>
      <c r="BE32" s="478"/>
    </row>
    <row r="33" spans="1:57" s="52" customFormat="1" ht="11.25" x14ac:dyDescent="0.2">
      <c r="A33" s="115">
        <v>54203</v>
      </c>
      <c r="B33" s="116" t="s">
        <v>312</v>
      </c>
      <c r="C33" s="1037">
        <f>20400+1460+6000</f>
        <v>27860</v>
      </c>
      <c r="D33" s="719"/>
      <c r="E33" s="719"/>
      <c r="F33" s="719"/>
      <c r="G33" s="719"/>
      <c r="H33" s="719"/>
      <c r="I33" s="719"/>
      <c r="J33" s="719"/>
      <c r="K33" s="719"/>
      <c r="L33" s="719"/>
      <c r="M33" s="719"/>
      <c r="N33" s="512">
        <f t="shared" si="2"/>
        <v>27860</v>
      </c>
      <c r="P33" s="115">
        <v>54203</v>
      </c>
      <c r="Q33" s="116" t="s">
        <v>312</v>
      </c>
      <c r="R33" s="719"/>
      <c r="S33" s="719"/>
      <c r="T33" s="719"/>
      <c r="U33" s="719"/>
      <c r="V33" s="719"/>
      <c r="W33" s="719"/>
      <c r="X33" s="719"/>
      <c r="Y33" s="732"/>
      <c r="Z33" s="719"/>
      <c r="AA33" s="719"/>
      <c r="AB33" s="719"/>
      <c r="AC33" s="719"/>
      <c r="AD33" s="719"/>
      <c r="AE33" s="732">
        <v>3200</v>
      </c>
      <c r="AF33" s="732"/>
      <c r="AG33" s="719"/>
      <c r="AH33" s="719"/>
      <c r="AI33" s="719"/>
      <c r="AJ33" s="597">
        <f t="shared" si="10"/>
        <v>3200</v>
      </c>
      <c r="AK33" s="203"/>
      <c r="AL33" s="578">
        <v>54203</v>
      </c>
      <c r="AM33" s="535" t="s">
        <v>312</v>
      </c>
      <c r="AN33" s="735"/>
      <c r="AO33" s="735"/>
      <c r="AP33" s="735"/>
      <c r="AQ33" s="735">
        <f t="shared" si="13"/>
        <v>0</v>
      </c>
      <c r="AS33" s="115">
        <v>54203</v>
      </c>
      <c r="AT33" s="652" t="s">
        <v>312</v>
      </c>
      <c r="AU33" s="724"/>
      <c r="AV33" s="724"/>
      <c r="AW33" s="724"/>
      <c r="AX33" s="724"/>
      <c r="AY33" s="724"/>
      <c r="AZ33" s="724"/>
      <c r="BA33" s="729"/>
      <c r="BB33" s="599">
        <f t="shared" si="6"/>
        <v>0</v>
      </c>
      <c r="BD33" s="1088">
        <f t="shared" si="12"/>
        <v>31060</v>
      </c>
      <c r="BE33" s="478"/>
    </row>
    <row r="34" spans="1:57" s="52" customFormat="1" ht="11.25" x14ac:dyDescent="0.2">
      <c r="A34" s="115">
        <v>54204</v>
      </c>
      <c r="B34" s="116" t="s">
        <v>313</v>
      </c>
      <c r="C34" s="719">
        <v>500</v>
      </c>
      <c r="D34" s="719"/>
      <c r="E34" s="719"/>
      <c r="F34" s="719"/>
      <c r="G34" s="719"/>
      <c r="H34" s="719"/>
      <c r="I34" s="719"/>
      <c r="J34" s="719"/>
      <c r="K34" s="719"/>
      <c r="L34" s="719"/>
      <c r="M34" s="719"/>
      <c r="N34" s="512">
        <f t="shared" si="2"/>
        <v>500</v>
      </c>
      <c r="P34" s="115">
        <v>54204</v>
      </c>
      <c r="Q34" s="116" t="s">
        <v>313</v>
      </c>
      <c r="R34" s="719"/>
      <c r="S34" s="719"/>
      <c r="T34" s="719"/>
      <c r="U34" s="719"/>
      <c r="V34" s="719"/>
      <c r="W34" s="719"/>
      <c r="X34" s="719"/>
      <c r="Y34" s="732"/>
      <c r="Z34" s="719"/>
      <c r="AA34" s="719"/>
      <c r="AB34" s="719"/>
      <c r="AC34" s="719"/>
      <c r="AD34" s="719"/>
      <c r="AE34" s="732"/>
      <c r="AF34" s="732"/>
      <c r="AG34" s="719"/>
      <c r="AH34" s="719"/>
      <c r="AI34" s="719"/>
      <c r="AJ34" s="597">
        <f t="shared" si="10"/>
        <v>0</v>
      </c>
      <c r="AK34" s="203"/>
      <c r="AL34" s="578">
        <v>54204</v>
      </c>
      <c r="AM34" s="535" t="s">
        <v>313</v>
      </c>
      <c r="AN34" s="735"/>
      <c r="AO34" s="735"/>
      <c r="AP34" s="735"/>
      <c r="AQ34" s="735">
        <f t="shared" si="13"/>
        <v>0</v>
      </c>
      <c r="AS34" s="115">
        <v>54204</v>
      </c>
      <c r="AT34" s="652" t="s">
        <v>313</v>
      </c>
      <c r="AU34" s="724"/>
      <c r="AV34" s="724"/>
      <c r="AW34" s="724"/>
      <c r="AX34" s="724"/>
      <c r="AY34" s="724"/>
      <c r="AZ34" s="724"/>
      <c r="BA34" s="729"/>
      <c r="BB34" s="599">
        <f t="shared" si="6"/>
        <v>0</v>
      </c>
      <c r="BD34" s="1088">
        <f t="shared" si="12"/>
        <v>500</v>
      </c>
      <c r="BE34" s="478"/>
    </row>
    <row r="35" spans="1:57" s="52" customFormat="1" ht="11.25" x14ac:dyDescent="0.2">
      <c r="A35" s="267">
        <v>543</v>
      </c>
      <c r="B35" s="121" t="s">
        <v>110</v>
      </c>
      <c r="C35" s="719">
        <f>SUM(C36:C49)</f>
        <v>250</v>
      </c>
      <c r="D35" s="719">
        <f t="shared" ref="D35" si="19">SUM(D36:D49)</f>
        <v>5783.22</v>
      </c>
      <c r="E35" s="719">
        <f t="shared" ref="E35:M35" si="20">SUM(E36:E49)</f>
        <v>0</v>
      </c>
      <c r="F35" s="719">
        <f t="shared" si="20"/>
        <v>0</v>
      </c>
      <c r="G35" s="719">
        <f t="shared" si="20"/>
        <v>0</v>
      </c>
      <c r="H35" s="719">
        <f t="shared" si="20"/>
        <v>3000</v>
      </c>
      <c r="I35" s="719">
        <f t="shared" si="20"/>
        <v>500</v>
      </c>
      <c r="J35" s="719">
        <f t="shared" si="20"/>
        <v>12100</v>
      </c>
      <c r="K35" s="719">
        <f t="shared" si="20"/>
        <v>1000</v>
      </c>
      <c r="L35" s="719">
        <f t="shared" si="20"/>
        <v>400</v>
      </c>
      <c r="M35" s="719">
        <f t="shared" si="20"/>
        <v>2280</v>
      </c>
      <c r="N35" s="512">
        <f t="shared" si="2"/>
        <v>25313.22</v>
      </c>
      <c r="P35" s="267">
        <v>543</v>
      </c>
      <c r="Q35" s="121" t="s">
        <v>110</v>
      </c>
      <c r="R35" s="723">
        <f>SUM(R36:R49)</f>
        <v>0</v>
      </c>
      <c r="S35" s="723">
        <f t="shared" ref="S35:AI35" si="21">SUM(S36:S49)</f>
        <v>10000</v>
      </c>
      <c r="T35" s="723">
        <f t="shared" si="21"/>
        <v>0</v>
      </c>
      <c r="U35" s="723">
        <f t="shared" si="21"/>
        <v>26050</v>
      </c>
      <c r="V35" s="723">
        <f t="shared" si="21"/>
        <v>600</v>
      </c>
      <c r="W35" s="723">
        <f t="shared" si="21"/>
        <v>0</v>
      </c>
      <c r="X35" s="723">
        <f t="shared" si="21"/>
        <v>1560</v>
      </c>
      <c r="Y35" s="723">
        <f t="shared" si="21"/>
        <v>1100</v>
      </c>
      <c r="Z35" s="723">
        <f t="shared" si="21"/>
        <v>77500</v>
      </c>
      <c r="AA35" s="723">
        <f t="shared" si="21"/>
        <v>900</v>
      </c>
      <c r="AB35" s="723">
        <f t="shared" si="21"/>
        <v>0</v>
      </c>
      <c r="AC35" s="723">
        <f t="shared" si="21"/>
        <v>35000</v>
      </c>
      <c r="AD35" s="723">
        <f t="shared" si="21"/>
        <v>400</v>
      </c>
      <c r="AE35" s="723">
        <f t="shared" si="21"/>
        <v>3400</v>
      </c>
      <c r="AF35" s="723">
        <f t="shared" si="21"/>
        <v>0</v>
      </c>
      <c r="AG35" s="723">
        <f t="shared" si="21"/>
        <v>0</v>
      </c>
      <c r="AH35" s="723">
        <f t="shared" si="21"/>
        <v>0</v>
      </c>
      <c r="AI35" s="723">
        <f t="shared" si="21"/>
        <v>0</v>
      </c>
      <c r="AJ35" s="597">
        <f t="shared" si="10"/>
        <v>156510</v>
      </c>
      <c r="AK35" s="270"/>
      <c r="AL35" s="577">
        <v>543</v>
      </c>
      <c r="AM35" s="533" t="s">
        <v>110</v>
      </c>
      <c r="AN35" s="737">
        <f>SUM(AN36:AN49)</f>
        <v>40000</v>
      </c>
      <c r="AO35" s="737">
        <f>SUM(AO36:AO49)</f>
        <v>0</v>
      </c>
      <c r="AP35" s="737">
        <f>SUM(AP36:AP49)</f>
        <v>1670</v>
      </c>
      <c r="AQ35" s="735">
        <f t="shared" si="13"/>
        <v>41670</v>
      </c>
      <c r="AS35" s="267">
        <v>543</v>
      </c>
      <c r="AT35" s="651" t="s">
        <v>110</v>
      </c>
      <c r="AU35" s="726">
        <f>SUM(AU36:AU49)</f>
        <v>0</v>
      </c>
      <c r="AV35" s="726">
        <f t="shared" ref="AV35:BA35" si="22">SUM(AV36:AV49)</f>
        <v>0</v>
      </c>
      <c r="AW35" s="726">
        <f t="shared" si="22"/>
        <v>0</v>
      </c>
      <c r="AX35" s="726">
        <f t="shared" si="22"/>
        <v>347000</v>
      </c>
      <c r="AY35" s="726">
        <f t="shared" si="22"/>
        <v>0</v>
      </c>
      <c r="AZ35" s="726">
        <f t="shared" si="22"/>
        <v>0</v>
      </c>
      <c r="BA35" s="726">
        <f t="shared" si="22"/>
        <v>15000</v>
      </c>
      <c r="BB35" s="599">
        <f t="shared" si="6"/>
        <v>362000</v>
      </c>
      <c r="BD35" s="1088">
        <f t="shared" si="12"/>
        <v>585493.22</v>
      </c>
      <c r="BE35" s="478"/>
    </row>
    <row r="36" spans="1:57" s="52" customFormat="1" ht="11.25" x14ac:dyDescent="0.2">
      <c r="A36" s="115">
        <v>54301</v>
      </c>
      <c r="B36" s="116" t="s">
        <v>314</v>
      </c>
      <c r="C36" s="719">
        <v>250</v>
      </c>
      <c r="D36" s="719">
        <v>600</v>
      </c>
      <c r="E36" s="719"/>
      <c r="F36" s="719"/>
      <c r="G36" s="719"/>
      <c r="H36" s="719"/>
      <c r="I36" s="719">
        <v>500</v>
      </c>
      <c r="J36" s="719">
        <v>600</v>
      </c>
      <c r="K36" s="719"/>
      <c r="L36" s="719"/>
      <c r="M36" s="719">
        <v>2280</v>
      </c>
      <c r="N36" s="512">
        <f t="shared" si="2"/>
        <v>4230</v>
      </c>
      <c r="P36" s="115">
        <v>54301</v>
      </c>
      <c r="Q36" s="116" t="s">
        <v>314</v>
      </c>
      <c r="R36" s="719"/>
      <c r="S36" s="719"/>
      <c r="T36" s="719"/>
      <c r="U36" s="719"/>
      <c r="V36" s="719">
        <v>600</v>
      </c>
      <c r="W36" s="719"/>
      <c r="X36" s="719">
        <v>400</v>
      </c>
      <c r="Y36" s="732"/>
      <c r="Z36" s="719">
        <v>2500</v>
      </c>
      <c r="AA36" s="719"/>
      <c r="AB36" s="719"/>
      <c r="AC36" s="719">
        <v>35000</v>
      </c>
      <c r="AD36" s="719"/>
      <c r="AE36" s="732"/>
      <c r="AF36" s="732"/>
      <c r="AG36" s="719"/>
      <c r="AH36" s="719"/>
      <c r="AI36" s="719"/>
      <c r="AJ36" s="597">
        <f t="shared" si="10"/>
        <v>38500</v>
      </c>
      <c r="AK36" s="203"/>
      <c r="AL36" s="578">
        <v>54301</v>
      </c>
      <c r="AM36" s="535" t="s">
        <v>314</v>
      </c>
      <c r="AN36" s="735">
        <v>5000</v>
      </c>
      <c r="AO36" s="735"/>
      <c r="AP36" s="735">
        <v>550</v>
      </c>
      <c r="AQ36" s="735">
        <f t="shared" si="13"/>
        <v>5550</v>
      </c>
      <c r="AS36" s="115">
        <v>54301</v>
      </c>
      <c r="AT36" s="652" t="s">
        <v>314</v>
      </c>
      <c r="AU36" s="724"/>
      <c r="AV36" s="724"/>
      <c r="AW36" s="724"/>
      <c r="AX36" s="724">
        <v>5000</v>
      </c>
      <c r="AY36" s="724"/>
      <c r="AZ36" s="724"/>
      <c r="BA36" s="729">
        <v>15000</v>
      </c>
      <c r="BB36" s="599">
        <f t="shared" si="6"/>
        <v>20000</v>
      </c>
      <c r="BD36" s="1088">
        <f t="shared" si="12"/>
        <v>68280</v>
      </c>
      <c r="BE36" s="478"/>
    </row>
    <row r="37" spans="1:57" s="52" customFormat="1" ht="11.25" x14ac:dyDescent="0.2">
      <c r="A37" s="115">
        <v>54302</v>
      </c>
      <c r="B37" s="116" t="s">
        <v>315</v>
      </c>
      <c r="C37" s="719"/>
      <c r="D37" s="719"/>
      <c r="E37" s="719"/>
      <c r="F37" s="719"/>
      <c r="G37" s="719"/>
      <c r="H37" s="719"/>
      <c r="I37" s="719"/>
      <c r="J37" s="719"/>
      <c r="K37" s="719"/>
      <c r="L37" s="719"/>
      <c r="M37" s="719"/>
      <c r="N37" s="512">
        <f t="shared" si="2"/>
        <v>0</v>
      </c>
      <c r="P37" s="115">
        <v>54302</v>
      </c>
      <c r="Q37" s="116" t="s">
        <v>315</v>
      </c>
      <c r="R37" s="719"/>
      <c r="S37" s="719"/>
      <c r="T37" s="719"/>
      <c r="U37" s="719"/>
      <c r="V37" s="719"/>
      <c r="W37" s="719"/>
      <c r="X37" s="719"/>
      <c r="Y37" s="732"/>
      <c r="Z37" s="719"/>
      <c r="AA37" s="719"/>
      <c r="AB37" s="719"/>
      <c r="AC37" s="719"/>
      <c r="AD37" s="719"/>
      <c r="AE37" s="732"/>
      <c r="AF37" s="732"/>
      <c r="AG37" s="719"/>
      <c r="AH37" s="719"/>
      <c r="AI37" s="719"/>
      <c r="AJ37" s="597">
        <f t="shared" si="10"/>
        <v>0</v>
      </c>
      <c r="AK37" s="203"/>
      <c r="AL37" s="578">
        <v>54302</v>
      </c>
      <c r="AM37" s="535" t="s">
        <v>315</v>
      </c>
      <c r="AN37" s="735">
        <v>30000</v>
      </c>
      <c r="AO37" s="735"/>
      <c r="AP37" s="735"/>
      <c r="AQ37" s="735">
        <f t="shared" si="13"/>
        <v>30000</v>
      </c>
      <c r="AS37" s="115">
        <v>54302</v>
      </c>
      <c r="AT37" s="652" t="s">
        <v>315</v>
      </c>
      <c r="AU37" s="724"/>
      <c r="AV37" s="724"/>
      <c r="AW37" s="724"/>
      <c r="AX37" s="724">
        <v>30000</v>
      </c>
      <c r="AY37" s="724"/>
      <c r="AZ37" s="724"/>
      <c r="BA37" s="729"/>
      <c r="BB37" s="599">
        <f t="shared" si="6"/>
        <v>30000</v>
      </c>
      <c r="BD37" s="1088">
        <f t="shared" si="12"/>
        <v>60000</v>
      </c>
      <c r="BE37" s="478"/>
    </row>
    <row r="38" spans="1:57" s="52" customFormat="1" ht="11.25" x14ac:dyDescent="0.2">
      <c r="A38" s="115">
        <v>54303</v>
      </c>
      <c r="B38" s="116" t="s">
        <v>316</v>
      </c>
      <c r="C38" s="719"/>
      <c r="D38" s="719"/>
      <c r="E38" s="719"/>
      <c r="F38" s="719"/>
      <c r="G38" s="719"/>
      <c r="H38" s="719"/>
      <c r="I38" s="719"/>
      <c r="J38" s="719"/>
      <c r="K38" s="719"/>
      <c r="L38" s="719"/>
      <c r="M38" s="719"/>
      <c r="N38" s="512">
        <f t="shared" si="2"/>
        <v>0</v>
      </c>
      <c r="P38" s="115">
        <v>54303</v>
      </c>
      <c r="Q38" s="116" t="s">
        <v>316</v>
      </c>
      <c r="R38" s="719"/>
      <c r="S38" s="719"/>
      <c r="T38" s="719"/>
      <c r="U38" s="719"/>
      <c r="V38" s="719"/>
      <c r="W38" s="719"/>
      <c r="X38" s="719"/>
      <c r="Y38" s="732"/>
      <c r="Z38" s="719"/>
      <c r="AA38" s="719"/>
      <c r="AB38" s="719"/>
      <c r="AC38" s="719"/>
      <c r="AD38" s="719"/>
      <c r="AE38" s="732"/>
      <c r="AF38" s="732"/>
      <c r="AG38" s="719"/>
      <c r="AH38" s="719"/>
      <c r="AI38" s="719"/>
      <c r="AJ38" s="597">
        <f t="shared" si="10"/>
        <v>0</v>
      </c>
      <c r="AK38" s="203"/>
      <c r="AL38" s="578">
        <v>54303</v>
      </c>
      <c r="AM38" s="535" t="s">
        <v>316</v>
      </c>
      <c r="AN38" s="735">
        <v>5000</v>
      </c>
      <c r="AO38" s="735"/>
      <c r="AP38" s="735"/>
      <c r="AQ38" s="735">
        <f t="shared" si="13"/>
        <v>5000</v>
      </c>
      <c r="AS38" s="115">
        <v>54303</v>
      </c>
      <c r="AT38" s="652" t="s">
        <v>316</v>
      </c>
      <c r="AU38" s="724"/>
      <c r="AV38" s="724"/>
      <c r="AW38" s="724"/>
      <c r="AX38" s="724"/>
      <c r="AY38" s="724"/>
      <c r="AZ38" s="724"/>
      <c r="BA38" s="729"/>
      <c r="BB38" s="599">
        <f t="shared" si="6"/>
        <v>0</v>
      </c>
      <c r="BD38" s="1088">
        <f t="shared" si="12"/>
        <v>5000</v>
      </c>
      <c r="BE38" s="478"/>
    </row>
    <row r="39" spans="1:57" s="52" customFormat="1" ht="11.25" x14ac:dyDescent="0.2">
      <c r="A39" s="115">
        <v>54304</v>
      </c>
      <c r="B39" s="116" t="s">
        <v>317</v>
      </c>
      <c r="C39" s="719"/>
      <c r="D39" s="719"/>
      <c r="E39" s="719"/>
      <c r="F39" s="719"/>
      <c r="G39" s="719"/>
      <c r="H39" s="719"/>
      <c r="I39" s="719"/>
      <c r="J39" s="719"/>
      <c r="K39" s="719"/>
      <c r="L39" s="719"/>
      <c r="M39" s="719"/>
      <c r="N39" s="512">
        <f t="shared" si="2"/>
        <v>0</v>
      </c>
      <c r="P39" s="115">
        <v>54304</v>
      </c>
      <c r="Q39" s="116" t="s">
        <v>317</v>
      </c>
      <c r="R39" s="719"/>
      <c r="S39" s="719"/>
      <c r="T39" s="719"/>
      <c r="U39" s="719"/>
      <c r="V39" s="719"/>
      <c r="W39" s="719"/>
      <c r="X39" s="719"/>
      <c r="Y39" s="732"/>
      <c r="Z39" s="719"/>
      <c r="AA39" s="719"/>
      <c r="AB39" s="719"/>
      <c r="AC39" s="719"/>
      <c r="AD39" s="719"/>
      <c r="AE39" s="732"/>
      <c r="AF39" s="732"/>
      <c r="AG39" s="719"/>
      <c r="AH39" s="719"/>
      <c r="AI39" s="719"/>
      <c r="AJ39" s="597">
        <f t="shared" si="10"/>
        <v>0</v>
      </c>
      <c r="AK39" s="203"/>
      <c r="AL39" s="578">
        <v>54304</v>
      </c>
      <c r="AM39" s="535" t="s">
        <v>317</v>
      </c>
      <c r="AN39" s="735">
        <v>0</v>
      </c>
      <c r="AO39" s="735"/>
      <c r="AP39" s="735"/>
      <c r="AQ39" s="735">
        <f t="shared" si="13"/>
        <v>0</v>
      </c>
      <c r="AS39" s="115">
        <v>54304</v>
      </c>
      <c r="AT39" s="652" t="s">
        <v>317</v>
      </c>
      <c r="AU39" s="724"/>
      <c r="AV39" s="724"/>
      <c r="AW39" s="724"/>
      <c r="AX39" s="724"/>
      <c r="AY39" s="724"/>
      <c r="AZ39" s="724"/>
      <c r="BA39" s="729"/>
      <c r="BB39" s="599">
        <f t="shared" si="6"/>
        <v>0</v>
      </c>
      <c r="BD39" s="1088">
        <f t="shared" si="12"/>
        <v>0</v>
      </c>
      <c r="BE39" s="478"/>
    </row>
    <row r="40" spans="1:57" s="52" customFormat="1" ht="11.25" x14ac:dyDescent="0.2">
      <c r="A40" s="115">
        <v>54305</v>
      </c>
      <c r="B40" s="116" t="s">
        <v>318</v>
      </c>
      <c r="C40" s="719"/>
      <c r="D40" s="719"/>
      <c r="E40" s="719"/>
      <c r="F40" s="719"/>
      <c r="G40" s="719"/>
      <c r="H40" s="719"/>
      <c r="I40" s="719"/>
      <c r="J40" s="719">
        <f>7500+4000</f>
        <v>11500</v>
      </c>
      <c r="K40" s="719"/>
      <c r="L40" s="719"/>
      <c r="M40" s="719"/>
      <c r="N40" s="512">
        <f t="shared" si="2"/>
        <v>11500</v>
      </c>
      <c r="P40" s="115">
        <v>54305</v>
      </c>
      <c r="Q40" s="116" t="s">
        <v>318</v>
      </c>
      <c r="R40" s="719"/>
      <c r="S40" s="719"/>
      <c r="T40" s="719"/>
      <c r="U40" s="719"/>
      <c r="V40" s="719"/>
      <c r="W40" s="719"/>
      <c r="X40" s="719"/>
      <c r="Y40" s="732"/>
      <c r="Z40" s="719"/>
      <c r="AA40" s="719"/>
      <c r="AB40" s="719"/>
      <c r="AC40" s="719"/>
      <c r="AD40" s="719"/>
      <c r="AE40" s="732">
        <v>500</v>
      </c>
      <c r="AF40" s="732"/>
      <c r="AG40" s="719"/>
      <c r="AH40" s="719"/>
      <c r="AI40" s="719"/>
      <c r="AJ40" s="597">
        <f t="shared" si="10"/>
        <v>500</v>
      </c>
      <c r="AK40" s="203"/>
      <c r="AL40" s="578">
        <v>54305</v>
      </c>
      <c r="AM40" s="535" t="s">
        <v>318</v>
      </c>
      <c r="AN40" s="735"/>
      <c r="AO40" s="735"/>
      <c r="AP40" s="735"/>
      <c r="AQ40" s="735">
        <f t="shared" si="13"/>
        <v>0</v>
      </c>
      <c r="AS40" s="115">
        <v>54305</v>
      </c>
      <c r="AT40" s="652" t="s">
        <v>318</v>
      </c>
      <c r="AU40" s="724"/>
      <c r="AV40" s="724"/>
      <c r="AW40" s="724"/>
      <c r="AX40" s="724"/>
      <c r="AY40" s="724"/>
      <c r="AZ40" s="724"/>
      <c r="BA40" s="729"/>
      <c r="BB40" s="599">
        <f t="shared" si="6"/>
        <v>0</v>
      </c>
      <c r="BD40" s="1088">
        <f t="shared" si="12"/>
        <v>12000</v>
      </c>
      <c r="BE40" s="478"/>
    </row>
    <row r="41" spans="1:57" s="52" customFormat="1" ht="11.25" x14ac:dyDescent="0.2">
      <c r="A41" s="115">
        <v>54306</v>
      </c>
      <c r="B41" s="116" t="s">
        <v>319</v>
      </c>
      <c r="C41" s="719"/>
      <c r="D41" s="719"/>
      <c r="E41" s="719"/>
      <c r="F41" s="719"/>
      <c r="G41" s="719"/>
      <c r="H41" s="719"/>
      <c r="I41" s="719"/>
      <c r="J41" s="719"/>
      <c r="K41" s="719"/>
      <c r="L41" s="719"/>
      <c r="M41" s="719"/>
      <c r="N41" s="512">
        <f t="shared" si="2"/>
        <v>0</v>
      </c>
      <c r="P41" s="115">
        <v>54306</v>
      </c>
      <c r="Q41" s="116" t="s">
        <v>319</v>
      </c>
      <c r="R41" s="719"/>
      <c r="S41" s="719"/>
      <c r="T41" s="719"/>
      <c r="U41" s="719"/>
      <c r="V41" s="719"/>
      <c r="W41" s="719"/>
      <c r="X41" s="719"/>
      <c r="Y41" s="732"/>
      <c r="Z41" s="719"/>
      <c r="AA41" s="719"/>
      <c r="AB41" s="719"/>
      <c r="AC41" s="719"/>
      <c r="AD41" s="719"/>
      <c r="AE41" s="732"/>
      <c r="AF41" s="732"/>
      <c r="AG41" s="719"/>
      <c r="AH41" s="719"/>
      <c r="AI41" s="719"/>
      <c r="AJ41" s="597">
        <f t="shared" si="10"/>
        <v>0</v>
      </c>
      <c r="AK41" s="203"/>
      <c r="AL41" s="578">
        <v>54306</v>
      </c>
      <c r="AM41" s="535" t="s">
        <v>319</v>
      </c>
      <c r="AN41" s="735"/>
      <c r="AO41" s="735"/>
      <c r="AP41" s="735"/>
      <c r="AQ41" s="735">
        <f t="shared" si="13"/>
        <v>0</v>
      </c>
      <c r="AS41" s="115">
        <v>54306</v>
      </c>
      <c r="AT41" s="652" t="s">
        <v>319</v>
      </c>
      <c r="AU41" s="724"/>
      <c r="AV41" s="724"/>
      <c r="AW41" s="724"/>
      <c r="AX41" s="724"/>
      <c r="AY41" s="724"/>
      <c r="AZ41" s="724"/>
      <c r="BA41" s="729"/>
      <c r="BB41" s="599">
        <f t="shared" ref="BB41:BB74" si="23">SUM(AU41:BA41)</f>
        <v>0</v>
      </c>
      <c r="BD41" s="1088">
        <f t="shared" si="12"/>
        <v>0</v>
      </c>
      <c r="BE41" s="478"/>
    </row>
    <row r="42" spans="1:57" s="52" customFormat="1" ht="11.25" x14ac:dyDescent="0.2">
      <c r="A42" s="115">
        <v>54307</v>
      </c>
      <c r="B42" s="116" t="s">
        <v>320</v>
      </c>
      <c r="C42" s="719"/>
      <c r="D42" s="719"/>
      <c r="E42" s="719"/>
      <c r="F42" s="719"/>
      <c r="G42" s="719"/>
      <c r="H42" s="719"/>
      <c r="I42" s="719"/>
      <c r="J42" s="719"/>
      <c r="K42" s="719">
        <v>1000</v>
      </c>
      <c r="L42" s="719"/>
      <c r="M42" s="719"/>
      <c r="N42" s="512">
        <f t="shared" si="2"/>
        <v>1000</v>
      </c>
      <c r="P42" s="115">
        <v>54307</v>
      </c>
      <c r="Q42" s="116" t="s">
        <v>320</v>
      </c>
      <c r="R42" s="719"/>
      <c r="S42" s="719"/>
      <c r="T42" s="719"/>
      <c r="U42" s="719">
        <v>950</v>
      </c>
      <c r="V42" s="719"/>
      <c r="W42" s="719"/>
      <c r="X42" s="719"/>
      <c r="Y42" s="732"/>
      <c r="Z42" s="719"/>
      <c r="AA42" s="719"/>
      <c r="AB42" s="719"/>
      <c r="AC42" s="719"/>
      <c r="AD42" s="719"/>
      <c r="AE42" s="732">
        <v>300</v>
      </c>
      <c r="AF42" s="732"/>
      <c r="AG42" s="719"/>
      <c r="AH42" s="719"/>
      <c r="AI42" s="719"/>
      <c r="AJ42" s="597">
        <f t="shared" si="10"/>
        <v>1250</v>
      </c>
      <c r="AK42" s="203"/>
      <c r="AL42" s="578">
        <v>54307</v>
      </c>
      <c r="AM42" s="535" t="s">
        <v>320</v>
      </c>
      <c r="AN42" s="735"/>
      <c r="AO42" s="735"/>
      <c r="AP42" s="735">
        <v>1000</v>
      </c>
      <c r="AQ42" s="735">
        <f t="shared" si="13"/>
        <v>1000</v>
      </c>
      <c r="AS42" s="115">
        <v>54307</v>
      </c>
      <c r="AT42" s="652" t="s">
        <v>320</v>
      </c>
      <c r="AU42" s="724"/>
      <c r="AV42" s="724"/>
      <c r="AW42" s="724"/>
      <c r="AX42" s="724"/>
      <c r="AY42" s="724"/>
      <c r="AZ42" s="724"/>
      <c r="BA42" s="729"/>
      <c r="BB42" s="599">
        <f t="shared" si="23"/>
        <v>0</v>
      </c>
      <c r="BD42" s="1088">
        <f t="shared" si="12"/>
        <v>3250</v>
      </c>
      <c r="BE42" s="478"/>
    </row>
    <row r="43" spans="1:57" s="52" customFormat="1" ht="11.25" x14ac:dyDescent="0.2">
      <c r="A43" s="115">
        <v>54309</v>
      </c>
      <c r="B43" s="116" t="s">
        <v>321</v>
      </c>
      <c r="C43" s="719"/>
      <c r="D43" s="719"/>
      <c r="E43" s="719"/>
      <c r="F43" s="719"/>
      <c r="G43" s="719"/>
      <c r="H43" s="719"/>
      <c r="I43" s="719"/>
      <c r="J43" s="719"/>
      <c r="K43" s="719"/>
      <c r="L43" s="719"/>
      <c r="M43" s="719"/>
      <c r="N43" s="512">
        <f t="shared" si="2"/>
        <v>0</v>
      </c>
      <c r="P43" s="115">
        <v>54309</v>
      </c>
      <c r="Q43" s="116" t="s">
        <v>321</v>
      </c>
      <c r="R43" s="719"/>
      <c r="S43" s="719"/>
      <c r="T43" s="719"/>
      <c r="U43" s="719"/>
      <c r="V43" s="719"/>
      <c r="W43" s="719"/>
      <c r="X43" s="719"/>
      <c r="Y43" s="732">
        <v>800</v>
      </c>
      <c r="Z43" s="719"/>
      <c r="AA43" s="719"/>
      <c r="AB43" s="719"/>
      <c r="AC43" s="719"/>
      <c r="AD43" s="719"/>
      <c r="AE43" s="732">
        <v>2500</v>
      </c>
      <c r="AF43" s="732"/>
      <c r="AG43" s="719"/>
      <c r="AH43" s="719"/>
      <c r="AI43" s="719"/>
      <c r="AJ43" s="597">
        <f t="shared" si="10"/>
        <v>3300</v>
      </c>
      <c r="AK43" s="203"/>
      <c r="AL43" s="578">
        <v>54309</v>
      </c>
      <c r="AM43" s="535" t="s">
        <v>321</v>
      </c>
      <c r="AN43" s="735"/>
      <c r="AO43" s="735"/>
      <c r="AP43" s="735"/>
      <c r="AQ43" s="735">
        <f t="shared" si="13"/>
        <v>0</v>
      </c>
      <c r="AS43" s="115">
        <v>54309</v>
      </c>
      <c r="AT43" s="652" t="s">
        <v>321</v>
      </c>
      <c r="AU43" s="724"/>
      <c r="AV43" s="724"/>
      <c r="AW43" s="724"/>
      <c r="AX43" s="724"/>
      <c r="AY43" s="724"/>
      <c r="AZ43" s="724"/>
      <c r="BA43" s="729"/>
      <c r="BB43" s="599">
        <f t="shared" si="23"/>
        <v>0</v>
      </c>
      <c r="BD43" s="1088">
        <f t="shared" si="12"/>
        <v>3300</v>
      </c>
      <c r="BE43" s="478"/>
    </row>
    <row r="44" spans="1:57" s="52" customFormat="1" ht="11.25" x14ac:dyDescent="0.2">
      <c r="A44" s="115">
        <v>54310</v>
      </c>
      <c r="B44" s="116" t="s">
        <v>322</v>
      </c>
      <c r="C44" s="719"/>
      <c r="D44" s="719"/>
      <c r="E44" s="719"/>
      <c r="F44" s="719"/>
      <c r="G44" s="719"/>
      <c r="H44" s="719"/>
      <c r="I44" s="719"/>
      <c r="J44" s="719"/>
      <c r="K44" s="719"/>
      <c r="L44" s="719"/>
      <c r="M44" s="719"/>
      <c r="N44" s="512">
        <f t="shared" si="2"/>
        <v>0</v>
      </c>
      <c r="P44" s="115">
        <v>54310</v>
      </c>
      <c r="Q44" s="116" t="s">
        <v>322</v>
      </c>
      <c r="R44" s="719"/>
      <c r="S44" s="719"/>
      <c r="T44" s="719"/>
      <c r="U44" s="719"/>
      <c r="V44" s="719"/>
      <c r="W44" s="719"/>
      <c r="X44" s="719"/>
      <c r="Y44" s="732"/>
      <c r="Z44" s="719"/>
      <c r="AA44" s="719"/>
      <c r="AB44" s="719"/>
      <c r="AC44" s="719"/>
      <c r="AD44" s="719"/>
      <c r="AE44" s="732"/>
      <c r="AF44" s="732"/>
      <c r="AG44" s="719"/>
      <c r="AH44" s="719"/>
      <c r="AI44" s="719"/>
      <c r="AJ44" s="597">
        <f t="shared" si="10"/>
        <v>0</v>
      </c>
      <c r="AK44" s="203"/>
      <c r="AL44" s="578">
        <v>54310</v>
      </c>
      <c r="AM44" s="535" t="s">
        <v>322</v>
      </c>
      <c r="AN44" s="735"/>
      <c r="AO44" s="735"/>
      <c r="AP44" s="735"/>
      <c r="AQ44" s="735">
        <f t="shared" si="13"/>
        <v>0</v>
      </c>
      <c r="AS44" s="115">
        <v>54310</v>
      </c>
      <c r="AT44" s="652" t="s">
        <v>322</v>
      </c>
      <c r="AU44" s="724"/>
      <c r="AV44" s="724"/>
      <c r="AW44" s="724"/>
      <c r="AX44" s="724"/>
      <c r="AY44" s="724"/>
      <c r="AZ44" s="724"/>
      <c r="BA44" s="729"/>
      <c r="BB44" s="599">
        <f t="shared" si="23"/>
        <v>0</v>
      </c>
      <c r="BD44" s="1088">
        <f t="shared" si="12"/>
        <v>0</v>
      </c>
      <c r="BE44" s="478"/>
    </row>
    <row r="45" spans="1:57" s="52" customFormat="1" ht="11.25" x14ac:dyDescent="0.2">
      <c r="A45" s="115">
        <v>54311</v>
      </c>
      <c r="B45" s="116" t="s">
        <v>323</v>
      </c>
      <c r="C45" s="719"/>
      <c r="D45" s="719"/>
      <c r="E45" s="719"/>
      <c r="F45" s="719"/>
      <c r="G45" s="719"/>
      <c r="H45" s="719"/>
      <c r="I45" s="719"/>
      <c r="J45" s="719"/>
      <c r="K45" s="719"/>
      <c r="L45" s="719"/>
      <c r="M45" s="719"/>
      <c r="N45" s="512">
        <f t="shared" si="2"/>
        <v>0</v>
      </c>
      <c r="P45" s="115">
        <v>54311</v>
      </c>
      <c r="Q45" s="116" t="s">
        <v>323</v>
      </c>
      <c r="R45" s="719"/>
      <c r="S45" s="719"/>
      <c r="T45" s="719"/>
      <c r="U45" s="719"/>
      <c r="V45" s="719"/>
      <c r="W45" s="719"/>
      <c r="X45" s="719"/>
      <c r="Y45" s="732">
        <v>0</v>
      </c>
      <c r="Z45" s="719"/>
      <c r="AA45" s="719"/>
      <c r="AB45" s="719"/>
      <c r="AC45" s="719"/>
      <c r="AD45" s="719"/>
      <c r="AE45" s="732"/>
      <c r="AF45" s="732"/>
      <c r="AG45" s="719"/>
      <c r="AH45" s="719"/>
      <c r="AI45" s="719"/>
      <c r="AJ45" s="597">
        <f t="shared" si="10"/>
        <v>0</v>
      </c>
      <c r="AK45" s="203"/>
      <c r="AL45" s="578">
        <v>54311</v>
      </c>
      <c r="AM45" s="535" t="s">
        <v>323</v>
      </c>
      <c r="AN45" s="735"/>
      <c r="AO45" s="735"/>
      <c r="AP45" s="735"/>
      <c r="AQ45" s="735">
        <f t="shared" si="13"/>
        <v>0</v>
      </c>
      <c r="AS45" s="115">
        <v>54311</v>
      </c>
      <c r="AT45" s="652" t="s">
        <v>323</v>
      </c>
      <c r="AU45" s="724"/>
      <c r="AV45" s="724"/>
      <c r="AW45" s="724"/>
      <c r="AX45" s="724"/>
      <c r="AY45" s="724"/>
      <c r="AZ45" s="724"/>
      <c r="BA45" s="729"/>
      <c r="BB45" s="599">
        <f t="shared" si="23"/>
        <v>0</v>
      </c>
      <c r="BD45" s="1088">
        <f t="shared" si="12"/>
        <v>0</v>
      </c>
      <c r="BE45" s="478"/>
    </row>
    <row r="46" spans="1:57" s="52" customFormat="1" ht="11.25" x14ac:dyDescent="0.2">
      <c r="A46" s="115">
        <v>54313</v>
      </c>
      <c r="B46" s="116" t="s">
        <v>324</v>
      </c>
      <c r="C46" s="719"/>
      <c r="D46" s="719"/>
      <c r="E46" s="719"/>
      <c r="F46" s="719"/>
      <c r="G46" s="719"/>
      <c r="H46" s="719"/>
      <c r="I46" s="719"/>
      <c r="J46" s="719"/>
      <c r="K46" s="719"/>
      <c r="L46" s="719">
        <v>400</v>
      </c>
      <c r="M46" s="719"/>
      <c r="N46" s="512">
        <f t="shared" si="2"/>
        <v>400</v>
      </c>
      <c r="P46" s="115">
        <v>54313</v>
      </c>
      <c r="Q46" s="116" t="s">
        <v>324</v>
      </c>
      <c r="R46" s="719"/>
      <c r="S46" s="719"/>
      <c r="T46" s="719"/>
      <c r="U46" s="719">
        <v>600</v>
      </c>
      <c r="V46" s="719"/>
      <c r="W46" s="719"/>
      <c r="X46" s="719">
        <v>1160</v>
      </c>
      <c r="Y46" s="732">
        <v>300</v>
      </c>
      <c r="Z46" s="719"/>
      <c r="AA46" s="719">
        <v>900</v>
      </c>
      <c r="AB46" s="719"/>
      <c r="AC46" s="719"/>
      <c r="AD46" s="719">
        <v>400</v>
      </c>
      <c r="AE46" s="732">
        <v>100</v>
      </c>
      <c r="AF46" s="732"/>
      <c r="AG46" s="719"/>
      <c r="AH46" s="719"/>
      <c r="AI46" s="719"/>
      <c r="AJ46" s="597">
        <f t="shared" si="10"/>
        <v>3460</v>
      </c>
      <c r="AK46" s="203"/>
      <c r="AL46" s="578">
        <v>54313</v>
      </c>
      <c r="AM46" s="535" t="s">
        <v>324</v>
      </c>
      <c r="AN46" s="735"/>
      <c r="AO46" s="735"/>
      <c r="AP46" s="735">
        <v>120</v>
      </c>
      <c r="AQ46" s="735">
        <f t="shared" si="13"/>
        <v>120</v>
      </c>
      <c r="AS46" s="115">
        <v>54313</v>
      </c>
      <c r="AT46" s="652" t="s">
        <v>324</v>
      </c>
      <c r="AU46" s="724"/>
      <c r="AV46" s="724"/>
      <c r="AW46" s="724"/>
      <c r="AX46" s="724"/>
      <c r="AY46" s="724"/>
      <c r="AZ46" s="724"/>
      <c r="BA46" s="729"/>
      <c r="BB46" s="599">
        <f t="shared" si="23"/>
        <v>0</v>
      </c>
      <c r="BD46" s="1088">
        <f t="shared" si="12"/>
        <v>3980</v>
      </c>
      <c r="BE46" s="478"/>
    </row>
    <row r="47" spans="1:57" s="52" customFormat="1" ht="11.25" x14ac:dyDescent="0.2">
      <c r="A47" s="115">
        <v>54314</v>
      </c>
      <c r="B47" s="116" t="s">
        <v>325</v>
      </c>
      <c r="C47" s="719"/>
      <c r="D47" s="719"/>
      <c r="E47" s="719"/>
      <c r="F47" s="719"/>
      <c r="G47" s="719"/>
      <c r="H47" s="719"/>
      <c r="I47" s="719"/>
      <c r="J47" s="719"/>
      <c r="K47" s="719"/>
      <c r="L47" s="719"/>
      <c r="M47" s="719"/>
      <c r="N47" s="512">
        <f t="shared" si="2"/>
        <v>0</v>
      </c>
      <c r="P47" s="115">
        <v>54314</v>
      </c>
      <c r="Q47" s="116" t="s">
        <v>325</v>
      </c>
      <c r="R47" s="719"/>
      <c r="S47" s="719"/>
      <c r="T47" s="719"/>
      <c r="U47" s="719"/>
      <c r="V47" s="719"/>
      <c r="W47" s="719"/>
      <c r="X47" s="719"/>
      <c r="Y47" s="732"/>
      <c r="Z47" s="719"/>
      <c r="AA47" s="719"/>
      <c r="AB47" s="719"/>
      <c r="AC47" s="719"/>
      <c r="AD47" s="719"/>
      <c r="AE47" s="732"/>
      <c r="AF47" s="732"/>
      <c r="AG47" s="719"/>
      <c r="AH47" s="719"/>
      <c r="AI47" s="719"/>
      <c r="AJ47" s="597">
        <f t="shared" si="10"/>
        <v>0</v>
      </c>
      <c r="AK47" s="203"/>
      <c r="AL47" s="578">
        <v>54314</v>
      </c>
      <c r="AM47" s="535" t="s">
        <v>325</v>
      </c>
      <c r="AN47" s="735"/>
      <c r="AO47" s="735"/>
      <c r="AP47" s="735"/>
      <c r="AQ47" s="735">
        <f t="shared" si="13"/>
        <v>0</v>
      </c>
      <c r="AS47" s="115">
        <v>54314</v>
      </c>
      <c r="AT47" s="652" t="s">
        <v>325</v>
      </c>
      <c r="AU47" s="724"/>
      <c r="AV47" s="724"/>
      <c r="AW47" s="724"/>
      <c r="AX47" s="724"/>
      <c r="AY47" s="724"/>
      <c r="AZ47" s="724"/>
      <c r="BA47" s="729"/>
      <c r="BB47" s="599">
        <f t="shared" si="23"/>
        <v>0</v>
      </c>
      <c r="BD47" s="1088">
        <f t="shared" si="12"/>
        <v>0</v>
      </c>
      <c r="BE47" s="478"/>
    </row>
    <row r="48" spans="1:57" s="52" customFormat="1" ht="11.25" x14ac:dyDescent="0.2">
      <c r="A48" s="115">
        <v>54316</v>
      </c>
      <c r="B48" s="116" t="s">
        <v>585</v>
      </c>
      <c r="C48" s="719"/>
      <c r="D48" s="719"/>
      <c r="E48" s="719"/>
      <c r="F48" s="719"/>
      <c r="G48" s="719"/>
      <c r="H48" s="719"/>
      <c r="I48" s="719"/>
      <c r="J48" s="719"/>
      <c r="K48" s="719"/>
      <c r="L48" s="719"/>
      <c r="M48" s="719"/>
      <c r="N48" s="512">
        <f t="shared" si="2"/>
        <v>0</v>
      </c>
      <c r="P48" s="115">
        <v>54316</v>
      </c>
      <c r="Q48" s="116" t="s">
        <v>585</v>
      </c>
      <c r="R48" s="719"/>
      <c r="S48" s="719"/>
      <c r="T48" s="719"/>
      <c r="U48" s="719"/>
      <c r="V48" s="719"/>
      <c r="W48" s="719"/>
      <c r="X48" s="719"/>
      <c r="Y48" s="732"/>
      <c r="Z48" s="719"/>
      <c r="AA48" s="719"/>
      <c r="AB48" s="719"/>
      <c r="AC48" s="719"/>
      <c r="AD48" s="719"/>
      <c r="AE48" s="732"/>
      <c r="AF48" s="732"/>
      <c r="AG48" s="719"/>
      <c r="AH48" s="719"/>
      <c r="AI48" s="719"/>
      <c r="AJ48" s="597">
        <f t="shared" si="10"/>
        <v>0</v>
      </c>
      <c r="AK48" s="203"/>
      <c r="AL48" s="578">
        <v>54316</v>
      </c>
      <c r="AM48" s="535" t="s">
        <v>585</v>
      </c>
      <c r="AN48" s="735"/>
      <c r="AO48" s="735"/>
      <c r="AP48" s="735"/>
      <c r="AQ48" s="735">
        <f t="shared" si="13"/>
        <v>0</v>
      </c>
      <c r="AS48" s="115">
        <v>54316</v>
      </c>
      <c r="AT48" s="652" t="s">
        <v>585</v>
      </c>
      <c r="AU48" s="724"/>
      <c r="AV48" s="724"/>
      <c r="AW48" s="724"/>
      <c r="AX48" s="724"/>
      <c r="AY48" s="724"/>
      <c r="AZ48" s="724"/>
      <c r="BA48" s="729"/>
      <c r="BB48" s="599">
        <f t="shared" si="23"/>
        <v>0</v>
      </c>
      <c r="BD48" s="1088">
        <f t="shared" si="12"/>
        <v>0</v>
      </c>
      <c r="BE48" s="478"/>
    </row>
    <row r="49" spans="1:57" s="52" customFormat="1" ht="11.25" x14ac:dyDescent="0.2">
      <c r="A49" s="115">
        <v>54399</v>
      </c>
      <c r="B49" s="116" t="s">
        <v>326</v>
      </c>
      <c r="C49" s="719"/>
      <c r="D49" s="719">
        <f>3500+1063.22-500+1120</f>
        <v>5183.22</v>
      </c>
      <c r="E49" s="719"/>
      <c r="F49" s="719"/>
      <c r="G49" s="719"/>
      <c r="H49" s="719">
        <v>3000</v>
      </c>
      <c r="I49" s="719"/>
      <c r="J49" s="719"/>
      <c r="K49" s="719"/>
      <c r="L49" s="719">
        <v>0</v>
      </c>
      <c r="M49" s="719"/>
      <c r="N49" s="512">
        <f t="shared" si="2"/>
        <v>8183.22</v>
      </c>
      <c r="P49" s="115">
        <v>54399</v>
      </c>
      <c r="Q49" s="116" t="s">
        <v>326</v>
      </c>
      <c r="R49" s="719"/>
      <c r="S49" s="719">
        <v>10000</v>
      </c>
      <c r="T49" s="719"/>
      <c r="U49" s="719">
        <v>24500</v>
      </c>
      <c r="V49" s="719"/>
      <c r="W49" s="719"/>
      <c r="X49" s="719"/>
      <c r="Y49" s="732"/>
      <c r="Z49" s="719">
        <v>75000</v>
      </c>
      <c r="AA49" s="719"/>
      <c r="AB49" s="719"/>
      <c r="AC49" s="719"/>
      <c r="AD49" s="719"/>
      <c r="AE49" s="732"/>
      <c r="AF49" s="732"/>
      <c r="AG49" s="719"/>
      <c r="AH49" s="719"/>
      <c r="AI49" s="719"/>
      <c r="AJ49" s="597">
        <f t="shared" si="10"/>
        <v>109500</v>
      </c>
      <c r="AK49" s="203"/>
      <c r="AL49" s="578">
        <v>54399</v>
      </c>
      <c r="AM49" s="535" t="s">
        <v>326</v>
      </c>
      <c r="AN49" s="735"/>
      <c r="AO49" s="735"/>
      <c r="AP49" s="735"/>
      <c r="AQ49" s="735">
        <f t="shared" si="13"/>
        <v>0</v>
      </c>
      <c r="AS49" s="115">
        <v>54399</v>
      </c>
      <c r="AT49" s="652" t="s">
        <v>326</v>
      </c>
      <c r="AU49" s="724"/>
      <c r="AV49" s="724"/>
      <c r="AW49" s="724"/>
      <c r="AX49" s="1038">
        <v>312000</v>
      </c>
      <c r="AY49" s="724"/>
      <c r="AZ49" s="724"/>
      <c r="BA49" s="729"/>
      <c r="BB49" s="599">
        <f t="shared" si="23"/>
        <v>312000</v>
      </c>
      <c r="BD49" s="1088">
        <f t="shared" si="12"/>
        <v>429683.22</v>
      </c>
      <c r="BE49" s="478"/>
    </row>
    <row r="50" spans="1:57" s="52" customFormat="1" ht="11.25" x14ac:dyDescent="0.2">
      <c r="A50" s="267">
        <v>544</v>
      </c>
      <c r="B50" s="121" t="s">
        <v>111</v>
      </c>
      <c r="C50" s="719">
        <f>SUM(C51:C54)</f>
        <v>2000</v>
      </c>
      <c r="D50" s="719">
        <f t="shared" ref="D50" si="24">SUM(D51:D54)</f>
        <v>1500</v>
      </c>
      <c r="E50" s="719">
        <f t="shared" ref="E50:M50" si="25">SUM(E51:E54)</f>
        <v>0</v>
      </c>
      <c r="F50" s="719">
        <f t="shared" si="25"/>
        <v>0</v>
      </c>
      <c r="G50" s="719">
        <f t="shared" si="25"/>
        <v>0</v>
      </c>
      <c r="H50" s="719">
        <f t="shared" si="25"/>
        <v>0</v>
      </c>
      <c r="I50" s="719">
        <f t="shared" ref="I50:J50" si="26">SUM(I51:I54)</f>
        <v>0</v>
      </c>
      <c r="J50" s="719">
        <f t="shared" si="26"/>
        <v>0</v>
      </c>
      <c r="K50" s="719">
        <f t="shared" si="25"/>
        <v>0</v>
      </c>
      <c r="L50" s="719">
        <f t="shared" si="25"/>
        <v>0</v>
      </c>
      <c r="M50" s="719">
        <f t="shared" si="25"/>
        <v>0</v>
      </c>
      <c r="N50" s="512">
        <f t="shared" si="2"/>
        <v>3500</v>
      </c>
      <c r="P50" s="267">
        <v>544</v>
      </c>
      <c r="Q50" s="121" t="s">
        <v>111</v>
      </c>
      <c r="R50" s="723">
        <f>SUM(R51:R54)</f>
        <v>0</v>
      </c>
      <c r="S50" s="723">
        <v>0</v>
      </c>
      <c r="T50" s="723">
        <v>0</v>
      </c>
      <c r="U50" s="723">
        <f t="shared" ref="U50:AH50" si="27">SUM(U51:U54)</f>
        <v>0</v>
      </c>
      <c r="V50" s="723">
        <f t="shared" ref="V50" si="28">SUM(V51:V54)</f>
        <v>0</v>
      </c>
      <c r="W50" s="723">
        <f t="shared" si="27"/>
        <v>0</v>
      </c>
      <c r="X50" s="723">
        <f t="shared" si="27"/>
        <v>0</v>
      </c>
      <c r="Y50" s="723">
        <f t="shared" si="27"/>
        <v>180</v>
      </c>
      <c r="Z50" s="723">
        <f t="shared" ref="Z50" si="29">SUM(Z51:Z54)</f>
        <v>0</v>
      </c>
      <c r="AA50" s="723">
        <f t="shared" si="27"/>
        <v>0</v>
      </c>
      <c r="AB50" s="723">
        <f t="shared" si="27"/>
        <v>0</v>
      </c>
      <c r="AC50" s="723">
        <f t="shared" si="27"/>
        <v>0</v>
      </c>
      <c r="AD50" s="723">
        <f t="shared" si="27"/>
        <v>0</v>
      </c>
      <c r="AE50" s="723">
        <f t="shared" si="27"/>
        <v>0</v>
      </c>
      <c r="AF50" s="723">
        <f t="shared" si="27"/>
        <v>0</v>
      </c>
      <c r="AG50" s="723">
        <f t="shared" si="27"/>
        <v>0</v>
      </c>
      <c r="AH50" s="723">
        <f t="shared" si="27"/>
        <v>0</v>
      </c>
      <c r="AI50" s="723">
        <f>SUM(AI51:AI54)</f>
        <v>0</v>
      </c>
      <c r="AJ50" s="597">
        <f t="shared" si="10"/>
        <v>180</v>
      </c>
      <c r="AK50" s="270"/>
      <c r="AL50" s="577">
        <v>544</v>
      </c>
      <c r="AM50" s="533" t="s">
        <v>111</v>
      </c>
      <c r="AN50" s="737">
        <f>SUM(AN51:AN54)</f>
        <v>0</v>
      </c>
      <c r="AO50" s="737">
        <f>SUM(AO51:AO54)</f>
        <v>0</v>
      </c>
      <c r="AP50" s="737">
        <f>SUM(AP51:AP54)</f>
        <v>0</v>
      </c>
      <c r="AQ50" s="735">
        <f t="shared" si="13"/>
        <v>0</v>
      </c>
      <c r="AS50" s="267">
        <v>544</v>
      </c>
      <c r="AT50" s="651" t="s">
        <v>111</v>
      </c>
      <c r="AU50" s="726">
        <f>SUM(AU51:AU54)</f>
        <v>0</v>
      </c>
      <c r="AV50" s="726">
        <f t="shared" ref="AV50:BA50" si="30">SUM(AV51:AV54)</f>
        <v>0</v>
      </c>
      <c r="AW50" s="726">
        <f t="shared" si="30"/>
        <v>0</v>
      </c>
      <c r="AX50" s="726">
        <f t="shared" si="30"/>
        <v>0</v>
      </c>
      <c r="AY50" s="726">
        <f t="shared" si="30"/>
        <v>0</v>
      </c>
      <c r="AZ50" s="726">
        <f t="shared" si="30"/>
        <v>0</v>
      </c>
      <c r="BA50" s="726">
        <f t="shared" si="30"/>
        <v>0</v>
      </c>
      <c r="BB50" s="599">
        <f t="shared" si="23"/>
        <v>0</v>
      </c>
      <c r="BD50" s="1088">
        <f t="shared" si="12"/>
        <v>3680</v>
      </c>
      <c r="BE50" s="478"/>
    </row>
    <row r="51" spans="1:57" s="52" customFormat="1" ht="11.25" x14ac:dyDescent="0.2">
      <c r="A51" s="115">
        <v>54401</v>
      </c>
      <c r="B51" s="116" t="s">
        <v>327</v>
      </c>
      <c r="C51" s="719">
        <v>0</v>
      </c>
      <c r="D51" s="719"/>
      <c r="E51" s="719"/>
      <c r="F51" s="719"/>
      <c r="G51" s="719"/>
      <c r="H51" s="719"/>
      <c r="I51" s="719"/>
      <c r="J51" s="719"/>
      <c r="K51" s="719"/>
      <c r="L51" s="719">
        <v>0</v>
      </c>
      <c r="M51" s="719"/>
      <c r="N51" s="512">
        <f t="shared" si="2"/>
        <v>0</v>
      </c>
      <c r="P51" s="115">
        <v>54401</v>
      </c>
      <c r="Q51" s="116" t="s">
        <v>327</v>
      </c>
      <c r="R51" s="719"/>
      <c r="S51" s="719"/>
      <c r="T51" s="719"/>
      <c r="U51" s="719"/>
      <c r="V51" s="719"/>
      <c r="W51" s="719"/>
      <c r="X51" s="719">
        <v>0</v>
      </c>
      <c r="Y51" s="732"/>
      <c r="Z51" s="719"/>
      <c r="AA51" s="719"/>
      <c r="AB51" s="719"/>
      <c r="AC51" s="719"/>
      <c r="AD51" s="719">
        <v>0</v>
      </c>
      <c r="AE51" s="732">
        <v>0</v>
      </c>
      <c r="AF51" s="732"/>
      <c r="AG51" s="719">
        <v>0</v>
      </c>
      <c r="AH51" s="719"/>
      <c r="AI51" s="719"/>
      <c r="AJ51" s="597">
        <f t="shared" si="10"/>
        <v>0</v>
      </c>
      <c r="AK51" s="203"/>
      <c r="AL51" s="578">
        <v>54401</v>
      </c>
      <c r="AM51" s="535" t="s">
        <v>327</v>
      </c>
      <c r="AN51" s="735"/>
      <c r="AO51" s="735"/>
      <c r="AP51" s="735"/>
      <c r="AQ51" s="735">
        <f t="shared" si="13"/>
        <v>0</v>
      </c>
      <c r="AS51" s="115">
        <v>54401</v>
      </c>
      <c r="AT51" s="652" t="s">
        <v>327</v>
      </c>
      <c r="AU51" s="724"/>
      <c r="AV51" s="724"/>
      <c r="AW51" s="724">
        <v>0</v>
      </c>
      <c r="AX51" s="724">
        <v>0</v>
      </c>
      <c r="AY51" s="724">
        <v>0</v>
      </c>
      <c r="AZ51" s="724">
        <v>0</v>
      </c>
      <c r="BA51" s="724">
        <v>0</v>
      </c>
      <c r="BB51" s="599">
        <f t="shared" si="23"/>
        <v>0</v>
      </c>
      <c r="BD51" s="1088">
        <f t="shared" si="12"/>
        <v>0</v>
      </c>
      <c r="BE51" s="478"/>
    </row>
    <row r="52" spans="1:57" s="52" customFormat="1" ht="11.25" x14ac:dyDescent="0.2">
      <c r="A52" s="115">
        <v>54402</v>
      </c>
      <c r="B52" s="116" t="s">
        <v>328</v>
      </c>
      <c r="C52" s="719"/>
      <c r="D52" s="719"/>
      <c r="E52" s="719"/>
      <c r="F52" s="719"/>
      <c r="G52" s="719"/>
      <c r="H52" s="719"/>
      <c r="I52" s="719"/>
      <c r="J52" s="719"/>
      <c r="K52" s="719"/>
      <c r="L52" s="719"/>
      <c r="M52" s="719"/>
      <c r="N52" s="512">
        <f t="shared" si="2"/>
        <v>0</v>
      </c>
      <c r="P52" s="115">
        <v>54402</v>
      </c>
      <c r="Q52" s="116" t="s">
        <v>328</v>
      </c>
      <c r="R52" s="719"/>
      <c r="S52" s="719"/>
      <c r="T52" s="719"/>
      <c r="U52" s="719"/>
      <c r="V52" s="719"/>
      <c r="W52" s="719"/>
      <c r="X52" s="719"/>
      <c r="Y52" s="732"/>
      <c r="Z52" s="719"/>
      <c r="AA52" s="719"/>
      <c r="AB52" s="719"/>
      <c r="AC52" s="719"/>
      <c r="AD52" s="719"/>
      <c r="AE52" s="732"/>
      <c r="AF52" s="732"/>
      <c r="AG52" s="719"/>
      <c r="AH52" s="719"/>
      <c r="AI52" s="719"/>
      <c r="AJ52" s="597">
        <f t="shared" si="10"/>
        <v>0</v>
      </c>
      <c r="AK52" s="203"/>
      <c r="AL52" s="578">
        <v>54402</v>
      </c>
      <c r="AM52" s="535" t="s">
        <v>328</v>
      </c>
      <c r="AN52" s="735"/>
      <c r="AO52" s="735"/>
      <c r="AP52" s="735"/>
      <c r="AQ52" s="735">
        <f t="shared" si="13"/>
        <v>0</v>
      </c>
      <c r="AS52" s="115">
        <v>54402</v>
      </c>
      <c r="AT52" s="652" t="s">
        <v>328</v>
      </c>
      <c r="AU52" s="724"/>
      <c r="AV52" s="724"/>
      <c r="AW52" s="724"/>
      <c r="AX52" s="724"/>
      <c r="AY52" s="724"/>
      <c r="AZ52" s="724"/>
      <c r="BA52" s="729"/>
      <c r="BB52" s="599">
        <f t="shared" si="23"/>
        <v>0</v>
      </c>
      <c r="BD52" s="1088">
        <f t="shared" si="12"/>
        <v>0</v>
      </c>
      <c r="BE52" s="478"/>
    </row>
    <row r="53" spans="1:57" s="52" customFormat="1" ht="11.25" x14ac:dyDescent="0.2">
      <c r="A53" s="115">
        <v>54403</v>
      </c>
      <c r="B53" s="116" t="s">
        <v>330</v>
      </c>
      <c r="C53" s="719"/>
      <c r="D53" s="719"/>
      <c r="E53" s="719"/>
      <c r="F53" s="719"/>
      <c r="G53" s="719"/>
      <c r="H53" s="719"/>
      <c r="I53" s="719"/>
      <c r="J53" s="719"/>
      <c r="K53" s="719"/>
      <c r="L53" s="719"/>
      <c r="M53" s="719"/>
      <c r="N53" s="512">
        <f t="shared" si="2"/>
        <v>0</v>
      </c>
      <c r="P53" s="115">
        <v>54403</v>
      </c>
      <c r="Q53" s="116" t="s">
        <v>330</v>
      </c>
      <c r="R53" s="719"/>
      <c r="S53" s="719"/>
      <c r="T53" s="719"/>
      <c r="U53" s="719"/>
      <c r="V53" s="719"/>
      <c r="W53" s="719"/>
      <c r="X53" s="719"/>
      <c r="Y53" s="732">
        <v>180</v>
      </c>
      <c r="Z53" s="719"/>
      <c r="AA53" s="719"/>
      <c r="AB53" s="719"/>
      <c r="AC53" s="719"/>
      <c r="AD53" s="719"/>
      <c r="AE53" s="732"/>
      <c r="AF53" s="732"/>
      <c r="AG53" s="719"/>
      <c r="AH53" s="719"/>
      <c r="AI53" s="719"/>
      <c r="AJ53" s="597">
        <f t="shared" si="10"/>
        <v>180</v>
      </c>
      <c r="AK53" s="203"/>
      <c r="AL53" s="578">
        <v>54403</v>
      </c>
      <c r="AM53" s="535" t="s">
        <v>330</v>
      </c>
      <c r="AN53" s="735"/>
      <c r="AO53" s="735"/>
      <c r="AP53" s="735"/>
      <c r="AQ53" s="735">
        <f t="shared" si="13"/>
        <v>0</v>
      </c>
      <c r="AS53" s="115">
        <v>54403</v>
      </c>
      <c r="AT53" s="652" t="s">
        <v>330</v>
      </c>
      <c r="AU53" s="724"/>
      <c r="AV53" s="724"/>
      <c r="AW53" s="724"/>
      <c r="AX53" s="724"/>
      <c r="AY53" s="724"/>
      <c r="AZ53" s="724"/>
      <c r="BA53" s="729"/>
      <c r="BB53" s="599">
        <f t="shared" si="23"/>
        <v>0</v>
      </c>
      <c r="BD53" s="1088">
        <f t="shared" si="12"/>
        <v>180</v>
      </c>
      <c r="BE53" s="478"/>
    </row>
    <row r="54" spans="1:57" s="52" customFormat="1" ht="11.25" x14ac:dyDescent="0.2">
      <c r="A54" s="115">
        <v>54404</v>
      </c>
      <c r="B54" s="116" t="s">
        <v>329</v>
      </c>
      <c r="C54" s="719">
        <v>2000</v>
      </c>
      <c r="D54" s="719">
        <v>1500</v>
      </c>
      <c r="E54" s="719"/>
      <c r="F54" s="719"/>
      <c r="G54" s="719"/>
      <c r="H54" s="719"/>
      <c r="I54" s="719"/>
      <c r="J54" s="719"/>
      <c r="K54" s="719"/>
      <c r="L54" s="719"/>
      <c r="M54" s="719"/>
      <c r="N54" s="512">
        <f t="shared" si="2"/>
        <v>3500</v>
      </c>
      <c r="P54" s="115">
        <v>54404</v>
      </c>
      <c r="Q54" s="116" t="s">
        <v>329</v>
      </c>
      <c r="R54" s="719"/>
      <c r="S54" s="719"/>
      <c r="T54" s="719"/>
      <c r="U54" s="719"/>
      <c r="V54" s="719"/>
      <c r="W54" s="719"/>
      <c r="X54" s="719"/>
      <c r="Y54" s="732"/>
      <c r="Z54" s="719"/>
      <c r="AA54" s="719"/>
      <c r="AB54" s="719"/>
      <c r="AC54" s="719"/>
      <c r="AD54" s="719"/>
      <c r="AE54" s="732"/>
      <c r="AF54" s="732"/>
      <c r="AG54" s="719"/>
      <c r="AH54" s="719"/>
      <c r="AI54" s="719"/>
      <c r="AJ54" s="597">
        <f t="shared" si="10"/>
        <v>0</v>
      </c>
      <c r="AK54" s="203"/>
      <c r="AL54" s="578">
        <v>54404</v>
      </c>
      <c r="AM54" s="535" t="s">
        <v>329</v>
      </c>
      <c r="AN54" s="735"/>
      <c r="AO54" s="735"/>
      <c r="AP54" s="735"/>
      <c r="AQ54" s="735">
        <f t="shared" si="13"/>
        <v>0</v>
      </c>
      <c r="AS54" s="115">
        <v>54404</v>
      </c>
      <c r="AT54" s="652" t="s">
        <v>329</v>
      </c>
      <c r="AU54" s="724"/>
      <c r="AV54" s="724"/>
      <c r="AW54" s="724"/>
      <c r="AX54" s="724"/>
      <c r="AY54" s="724"/>
      <c r="AZ54" s="724"/>
      <c r="BA54" s="729"/>
      <c r="BB54" s="599">
        <f t="shared" si="23"/>
        <v>0</v>
      </c>
      <c r="BD54" s="1088">
        <f t="shared" si="12"/>
        <v>3500</v>
      </c>
      <c r="BE54" s="478"/>
    </row>
    <row r="55" spans="1:57" s="52" customFormat="1" ht="11.25" x14ac:dyDescent="0.2">
      <c r="A55" s="267">
        <v>545</v>
      </c>
      <c r="B55" s="121" t="s">
        <v>331</v>
      </c>
      <c r="C55" s="719">
        <f>SUM(C56:C59)</f>
        <v>0</v>
      </c>
      <c r="D55" s="719">
        <f t="shared" ref="D55" si="31">SUM(D56:D59)</f>
        <v>0</v>
      </c>
      <c r="E55" s="719">
        <f t="shared" ref="E55:M55" si="32">SUM(E56:E59)</f>
        <v>0</v>
      </c>
      <c r="F55" s="719">
        <f t="shared" si="32"/>
        <v>0</v>
      </c>
      <c r="G55" s="719">
        <f t="shared" si="32"/>
        <v>6200</v>
      </c>
      <c r="H55" s="719">
        <f t="shared" si="32"/>
        <v>0</v>
      </c>
      <c r="I55" s="719">
        <f t="shared" si="32"/>
        <v>0</v>
      </c>
      <c r="J55" s="719">
        <f t="shared" si="32"/>
        <v>0</v>
      </c>
      <c r="K55" s="719">
        <f t="shared" si="32"/>
        <v>0</v>
      </c>
      <c r="L55" s="719">
        <f t="shared" si="32"/>
        <v>0</v>
      </c>
      <c r="M55" s="719">
        <f t="shared" si="32"/>
        <v>0</v>
      </c>
      <c r="N55" s="512">
        <f t="shared" si="2"/>
        <v>6200</v>
      </c>
      <c r="P55" s="267">
        <v>545</v>
      </c>
      <c r="Q55" s="121" t="s">
        <v>331</v>
      </c>
      <c r="R55" s="723">
        <f>R56+R57+R58+R59</f>
        <v>0</v>
      </c>
      <c r="S55" s="723">
        <f>S56+S57+S58+S59</f>
        <v>0</v>
      </c>
      <c r="T55" s="723">
        <v>0</v>
      </c>
      <c r="U55" s="723">
        <f t="shared" ref="U55:AH55" si="33">U56+U57+U58+U59</f>
        <v>0</v>
      </c>
      <c r="V55" s="723">
        <f t="shared" si="33"/>
        <v>0</v>
      </c>
      <c r="W55" s="723">
        <f t="shared" si="33"/>
        <v>0</v>
      </c>
      <c r="X55" s="723">
        <f t="shared" si="33"/>
        <v>0</v>
      </c>
      <c r="Y55" s="723">
        <f t="shared" si="33"/>
        <v>1000</v>
      </c>
      <c r="Z55" s="723">
        <f t="shared" si="33"/>
        <v>0</v>
      </c>
      <c r="AA55" s="723">
        <f t="shared" si="33"/>
        <v>0</v>
      </c>
      <c r="AB55" s="723">
        <f t="shared" si="33"/>
        <v>0</v>
      </c>
      <c r="AC55" s="723">
        <f t="shared" si="33"/>
        <v>0</v>
      </c>
      <c r="AD55" s="723">
        <f t="shared" si="33"/>
        <v>0</v>
      </c>
      <c r="AE55" s="723">
        <f t="shared" si="33"/>
        <v>1000</v>
      </c>
      <c r="AF55" s="723">
        <f t="shared" si="33"/>
        <v>0</v>
      </c>
      <c r="AG55" s="723">
        <f t="shared" si="33"/>
        <v>0</v>
      </c>
      <c r="AH55" s="723">
        <f t="shared" si="33"/>
        <v>0</v>
      </c>
      <c r="AI55" s="723">
        <f>AI56+AI57+AI58+AI59</f>
        <v>465</v>
      </c>
      <c r="AJ55" s="597">
        <f t="shared" si="10"/>
        <v>2465</v>
      </c>
      <c r="AK55" s="203"/>
      <c r="AL55" s="577">
        <v>545</v>
      </c>
      <c r="AM55" s="533" t="s">
        <v>331</v>
      </c>
      <c r="AN55" s="737">
        <f>AN56+AN57+AN58+AN59</f>
        <v>0</v>
      </c>
      <c r="AO55" s="737">
        <f>AO56+AO57+AO58+AO59</f>
        <v>0</v>
      </c>
      <c r="AP55" s="737">
        <f>AP56+AP57+AP58+AP59</f>
        <v>0</v>
      </c>
      <c r="AQ55" s="735">
        <f t="shared" si="13"/>
        <v>0</v>
      </c>
      <c r="AS55" s="267">
        <v>545</v>
      </c>
      <c r="AT55" s="651" t="s">
        <v>331</v>
      </c>
      <c r="AU55" s="726">
        <f>AU56+AU57+AU58+AU59</f>
        <v>0</v>
      </c>
      <c r="AV55" s="726">
        <f t="shared" ref="AV55:BA55" si="34">AV56+AV57+AV58+AV59</f>
        <v>0</v>
      </c>
      <c r="AW55" s="726">
        <f t="shared" si="34"/>
        <v>0</v>
      </c>
      <c r="AX55" s="726">
        <f t="shared" si="34"/>
        <v>0</v>
      </c>
      <c r="AY55" s="726">
        <f t="shared" si="34"/>
        <v>0</v>
      </c>
      <c r="AZ55" s="726">
        <f t="shared" si="34"/>
        <v>0</v>
      </c>
      <c r="BA55" s="726">
        <f t="shared" si="34"/>
        <v>0</v>
      </c>
      <c r="BB55" s="599">
        <f t="shared" si="23"/>
        <v>0</v>
      </c>
      <c r="BD55" s="1088">
        <f t="shared" si="12"/>
        <v>8665</v>
      </c>
      <c r="BE55" s="478"/>
    </row>
    <row r="56" spans="1:57" s="52" customFormat="1" ht="11.25" x14ac:dyDescent="0.2">
      <c r="A56" s="117">
        <v>54503</v>
      </c>
      <c r="B56" s="116" t="s">
        <v>462</v>
      </c>
      <c r="C56" s="719"/>
      <c r="D56" s="719"/>
      <c r="E56" s="719"/>
      <c r="F56" s="719"/>
      <c r="G56" s="719">
        <f>4700+1500</f>
        <v>6200</v>
      </c>
      <c r="H56" s="719"/>
      <c r="I56" s="719"/>
      <c r="J56" s="719"/>
      <c r="K56" s="719"/>
      <c r="L56" s="719"/>
      <c r="M56" s="719"/>
      <c r="N56" s="512">
        <f t="shared" si="2"/>
        <v>6200</v>
      </c>
      <c r="P56" s="115">
        <v>54503</v>
      </c>
      <c r="Q56" s="116" t="s">
        <v>462</v>
      </c>
      <c r="R56" s="719"/>
      <c r="S56" s="719"/>
      <c r="T56" s="719"/>
      <c r="U56" s="719"/>
      <c r="V56" s="719"/>
      <c r="W56" s="719"/>
      <c r="X56" s="719"/>
      <c r="Y56" s="732"/>
      <c r="Z56" s="719"/>
      <c r="AA56" s="719"/>
      <c r="AB56" s="719"/>
      <c r="AC56" s="719"/>
      <c r="AD56" s="719"/>
      <c r="AE56" s="732"/>
      <c r="AF56" s="732"/>
      <c r="AG56" s="719"/>
      <c r="AH56" s="719"/>
      <c r="AI56" s="719"/>
      <c r="AJ56" s="597">
        <f t="shared" si="10"/>
        <v>0</v>
      </c>
      <c r="AK56" s="203"/>
      <c r="AL56" s="739">
        <v>54503</v>
      </c>
      <c r="AM56" s="535" t="s">
        <v>462</v>
      </c>
      <c r="AN56" s="735"/>
      <c r="AO56" s="735"/>
      <c r="AP56" s="735"/>
      <c r="AQ56" s="735">
        <f t="shared" si="13"/>
        <v>0</v>
      </c>
      <c r="AS56" s="115">
        <v>54503</v>
      </c>
      <c r="AT56" s="652" t="s">
        <v>462</v>
      </c>
      <c r="AU56" s="724"/>
      <c r="AV56" s="724"/>
      <c r="AW56" s="724"/>
      <c r="AX56" s="724"/>
      <c r="AY56" s="724"/>
      <c r="AZ56" s="724"/>
      <c r="BA56" s="729"/>
      <c r="BB56" s="599">
        <f t="shared" si="23"/>
        <v>0</v>
      </c>
      <c r="BD56" s="1088">
        <f t="shared" si="12"/>
        <v>6200</v>
      </c>
      <c r="BE56" s="478"/>
    </row>
    <row r="57" spans="1:57" s="52" customFormat="1" ht="11.25" x14ac:dyDescent="0.2">
      <c r="A57" s="117">
        <v>54505</v>
      </c>
      <c r="B57" s="116" t="s">
        <v>333</v>
      </c>
      <c r="C57" s="719"/>
      <c r="D57" s="719"/>
      <c r="E57" s="719"/>
      <c r="F57" s="719"/>
      <c r="G57" s="719"/>
      <c r="H57" s="719"/>
      <c r="I57" s="719"/>
      <c r="J57" s="719"/>
      <c r="K57" s="719"/>
      <c r="L57" s="719"/>
      <c r="M57" s="719"/>
      <c r="N57" s="512">
        <f t="shared" si="2"/>
        <v>0</v>
      </c>
      <c r="P57" s="115">
        <v>54505</v>
      </c>
      <c r="Q57" s="116" t="s">
        <v>333</v>
      </c>
      <c r="R57" s="719"/>
      <c r="S57" s="719"/>
      <c r="T57" s="719"/>
      <c r="U57" s="719"/>
      <c r="V57" s="719"/>
      <c r="W57" s="719"/>
      <c r="X57" s="719"/>
      <c r="Y57" s="732">
        <v>1000</v>
      </c>
      <c r="Z57" s="719"/>
      <c r="AA57" s="719"/>
      <c r="AB57" s="719"/>
      <c r="AC57" s="719"/>
      <c r="AD57" s="719"/>
      <c r="AE57" s="732">
        <v>500</v>
      </c>
      <c r="AF57" s="732"/>
      <c r="AG57" s="719"/>
      <c r="AH57" s="719"/>
      <c r="AI57" s="719">
        <v>465</v>
      </c>
      <c r="AJ57" s="597">
        <f t="shared" si="10"/>
        <v>1965</v>
      </c>
      <c r="AK57" s="203"/>
      <c r="AL57" s="739">
        <v>54505</v>
      </c>
      <c r="AM57" s="535" t="s">
        <v>333</v>
      </c>
      <c r="AN57" s="735"/>
      <c r="AO57" s="735"/>
      <c r="AP57" s="735"/>
      <c r="AQ57" s="735">
        <f t="shared" si="13"/>
        <v>0</v>
      </c>
      <c r="AS57" s="115">
        <v>54505</v>
      </c>
      <c r="AT57" s="652" t="s">
        <v>333</v>
      </c>
      <c r="AU57" s="724"/>
      <c r="AV57" s="724"/>
      <c r="AW57" s="724"/>
      <c r="AX57" s="724"/>
      <c r="AY57" s="724"/>
      <c r="AZ57" s="724"/>
      <c r="BA57" s="729"/>
      <c r="BB57" s="599">
        <f t="shared" si="23"/>
        <v>0</v>
      </c>
      <c r="BD57" s="1088">
        <f t="shared" si="12"/>
        <v>1965</v>
      </c>
      <c r="BE57" s="478"/>
    </row>
    <row r="58" spans="1:57" s="52" customFormat="1" ht="11.25" x14ac:dyDescent="0.2">
      <c r="A58" s="117">
        <v>54507</v>
      </c>
      <c r="B58" s="116" t="s">
        <v>482</v>
      </c>
      <c r="C58" s="719"/>
      <c r="D58" s="719"/>
      <c r="E58" s="719"/>
      <c r="F58" s="719"/>
      <c r="G58" s="719"/>
      <c r="H58" s="719"/>
      <c r="I58" s="719"/>
      <c r="J58" s="719"/>
      <c r="K58" s="719"/>
      <c r="L58" s="719"/>
      <c r="M58" s="719"/>
      <c r="N58" s="512">
        <f t="shared" si="2"/>
        <v>0</v>
      </c>
      <c r="P58" s="115">
        <v>54507</v>
      </c>
      <c r="Q58" s="116" t="s">
        <v>482</v>
      </c>
      <c r="R58" s="719"/>
      <c r="S58" s="719"/>
      <c r="T58" s="719"/>
      <c r="U58" s="719"/>
      <c r="V58" s="719"/>
      <c r="W58" s="719"/>
      <c r="X58" s="719"/>
      <c r="Y58" s="732"/>
      <c r="Z58" s="719"/>
      <c r="AA58" s="719"/>
      <c r="AB58" s="719"/>
      <c r="AC58" s="719"/>
      <c r="AD58" s="719"/>
      <c r="AE58" s="732">
        <v>500</v>
      </c>
      <c r="AF58" s="732"/>
      <c r="AG58" s="719"/>
      <c r="AH58" s="719"/>
      <c r="AI58" s="719"/>
      <c r="AJ58" s="597">
        <f t="shared" si="10"/>
        <v>500</v>
      </c>
      <c r="AK58" s="203"/>
      <c r="AL58" s="739">
        <v>54507</v>
      </c>
      <c r="AM58" s="535" t="s">
        <v>482</v>
      </c>
      <c r="AN58" s="735"/>
      <c r="AO58" s="735"/>
      <c r="AP58" s="735"/>
      <c r="AQ58" s="735">
        <f t="shared" si="13"/>
        <v>0</v>
      </c>
      <c r="AS58" s="115">
        <v>54507</v>
      </c>
      <c r="AT58" s="652" t="s">
        <v>482</v>
      </c>
      <c r="AU58" s="724"/>
      <c r="AV58" s="724"/>
      <c r="AW58" s="724"/>
      <c r="AX58" s="724"/>
      <c r="AY58" s="724"/>
      <c r="AZ58" s="724"/>
      <c r="BA58" s="729"/>
      <c r="BB58" s="599">
        <f t="shared" si="23"/>
        <v>0</v>
      </c>
      <c r="BD58" s="1088">
        <f t="shared" si="12"/>
        <v>500</v>
      </c>
      <c r="BE58" s="478"/>
    </row>
    <row r="59" spans="1:57" s="52" customFormat="1" ht="11.25" x14ac:dyDescent="0.2">
      <c r="A59" s="117">
        <v>54599</v>
      </c>
      <c r="B59" s="116" t="s">
        <v>604</v>
      </c>
      <c r="C59" s="719"/>
      <c r="D59" s="719"/>
      <c r="E59" s="719"/>
      <c r="F59" s="719"/>
      <c r="G59" s="719"/>
      <c r="H59" s="719"/>
      <c r="I59" s="719"/>
      <c r="J59" s="719"/>
      <c r="K59" s="719"/>
      <c r="L59" s="719"/>
      <c r="M59" s="719"/>
      <c r="N59" s="512">
        <f t="shared" si="2"/>
        <v>0</v>
      </c>
      <c r="P59" s="115">
        <v>54599</v>
      </c>
      <c r="Q59" s="116" t="s">
        <v>845</v>
      </c>
      <c r="R59" s="719"/>
      <c r="S59" s="719"/>
      <c r="T59" s="719"/>
      <c r="U59" s="719"/>
      <c r="V59" s="719"/>
      <c r="W59" s="719"/>
      <c r="X59" s="719"/>
      <c r="Y59" s="732"/>
      <c r="Z59" s="719"/>
      <c r="AA59" s="719"/>
      <c r="AB59" s="719"/>
      <c r="AC59" s="719"/>
      <c r="AD59" s="719"/>
      <c r="AE59" s="732"/>
      <c r="AF59" s="732"/>
      <c r="AG59" s="719"/>
      <c r="AH59" s="719"/>
      <c r="AI59" s="719"/>
      <c r="AJ59" s="597">
        <f t="shared" si="10"/>
        <v>0</v>
      </c>
      <c r="AK59" s="203"/>
      <c r="AL59" s="739">
        <v>54508</v>
      </c>
      <c r="AM59" s="535" t="s">
        <v>335</v>
      </c>
      <c r="AN59" s="735"/>
      <c r="AO59" s="735"/>
      <c r="AP59" s="735"/>
      <c r="AQ59" s="735">
        <f t="shared" si="13"/>
        <v>0</v>
      </c>
      <c r="AS59" s="115">
        <v>54508</v>
      </c>
      <c r="AT59" s="652" t="s">
        <v>335</v>
      </c>
      <c r="AU59" s="724"/>
      <c r="AV59" s="724"/>
      <c r="AW59" s="724"/>
      <c r="AX59" s="724"/>
      <c r="AY59" s="724"/>
      <c r="AZ59" s="724"/>
      <c r="BA59" s="729"/>
      <c r="BB59" s="599">
        <f t="shared" si="23"/>
        <v>0</v>
      </c>
      <c r="BD59" s="1088">
        <f t="shared" si="12"/>
        <v>0</v>
      </c>
      <c r="BE59" s="478"/>
    </row>
    <row r="60" spans="1:57" s="52" customFormat="1" ht="11.25" x14ac:dyDescent="0.2">
      <c r="A60" s="267">
        <v>55</v>
      </c>
      <c r="B60" s="121" t="s">
        <v>112</v>
      </c>
      <c r="C60" s="719">
        <f>+C63+C67+C61</f>
        <v>2000</v>
      </c>
      <c r="D60" s="719">
        <f>+D63+D67+D61</f>
        <v>0</v>
      </c>
      <c r="E60" s="719">
        <f t="shared" ref="E60:L60" si="35">+E63+E67+E61</f>
        <v>0</v>
      </c>
      <c r="F60" s="719">
        <f t="shared" si="35"/>
        <v>0</v>
      </c>
      <c r="G60" s="719">
        <f t="shared" si="35"/>
        <v>0</v>
      </c>
      <c r="H60" s="719">
        <f t="shared" si="35"/>
        <v>0</v>
      </c>
      <c r="I60" s="719">
        <f t="shared" si="35"/>
        <v>0</v>
      </c>
      <c r="J60" s="719">
        <f t="shared" si="35"/>
        <v>0</v>
      </c>
      <c r="K60" s="719">
        <f t="shared" si="35"/>
        <v>0</v>
      </c>
      <c r="L60" s="719">
        <f t="shared" si="35"/>
        <v>0</v>
      </c>
      <c r="M60" s="719">
        <f>+M63+M67+M61</f>
        <v>0</v>
      </c>
      <c r="N60" s="512">
        <f t="shared" si="2"/>
        <v>2000</v>
      </c>
      <c r="P60" s="267">
        <v>55</v>
      </c>
      <c r="Q60" s="121" t="s">
        <v>112</v>
      </c>
      <c r="R60" s="723">
        <f>+R63+R67</f>
        <v>0</v>
      </c>
      <c r="S60" s="723">
        <f t="shared" ref="S60:AI60" si="36">+S63+S67</f>
        <v>0</v>
      </c>
      <c r="T60" s="723">
        <f t="shared" si="36"/>
        <v>0</v>
      </c>
      <c r="U60" s="723">
        <f t="shared" si="36"/>
        <v>0</v>
      </c>
      <c r="V60" s="723">
        <f t="shared" si="36"/>
        <v>216</v>
      </c>
      <c r="W60" s="723">
        <f t="shared" si="36"/>
        <v>0</v>
      </c>
      <c r="X60" s="723">
        <f t="shared" si="36"/>
        <v>0</v>
      </c>
      <c r="Y60" s="723">
        <f t="shared" si="36"/>
        <v>0</v>
      </c>
      <c r="Z60" s="723">
        <f t="shared" si="36"/>
        <v>0</v>
      </c>
      <c r="AA60" s="723">
        <f t="shared" si="36"/>
        <v>0</v>
      </c>
      <c r="AB60" s="723">
        <f t="shared" si="36"/>
        <v>0</v>
      </c>
      <c r="AC60" s="723">
        <f t="shared" si="36"/>
        <v>0</v>
      </c>
      <c r="AD60" s="723">
        <f t="shared" si="36"/>
        <v>10000</v>
      </c>
      <c r="AE60" s="723">
        <f t="shared" si="36"/>
        <v>0</v>
      </c>
      <c r="AF60" s="723">
        <f t="shared" si="36"/>
        <v>0</v>
      </c>
      <c r="AG60" s="723">
        <f t="shared" si="36"/>
        <v>0</v>
      </c>
      <c r="AH60" s="723">
        <f t="shared" si="36"/>
        <v>0</v>
      </c>
      <c r="AI60" s="723">
        <f t="shared" si="36"/>
        <v>0</v>
      </c>
      <c r="AJ60" s="597">
        <f t="shared" si="10"/>
        <v>10216</v>
      </c>
      <c r="AK60" s="203"/>
      <c r="AL60" s="577">
        <v>55</v>
      </c>
      <c r="AM60" s="533" t="s">
        <v>112</v>
      </c>
      <c r="AN60" s="737">
        <f>+AN63+AN67</f>
        <v>13000</v>
      </c>
      <c r="AO60" s="737">
        <f>+AO63+AO67</f>
        <v>0</v>
      </c>
      <c r="AP60" s="737">
        <f>+AP63+AP67</f>
        <v>0</v>
      </c>
      <c r="AQ60" s="735">
        <f t="shared" si="13"/>
        <v>13000</v>
      </c>
      <c r="AS60" s="267">
        <v>55</v>
      </c>
      <c r="AT60" s="651" t="s">
        <v>112</v>
      </c>
      <c r="AU60" s="726">
        <f>+AU63+AU67+AU61</f>
        <v>0</v>
      </c>
      <c r="AV60" s="726">
        <f t="shared" ref="AV60:BA60" si="37">+AV63+AV67+AV61</f>
        <v>0</v>
      </c>
      <c r="AW60" s="726">
        <f t="shared" si="37"/>
        <v>0</v>
      </c>
      <c r="AX60" s="726">
        <f t="shared" si="37"/>
        <v>12565.56</v>
      </c>
      <c r="AY60" s="726">
        <f t="shared" si="37"/>
        <v>0</v>
      </c>
      <c r="AZ60" s="726">
        <f t="shared" si="37"/>
        <v>0</v>
      </c>
      <c r="BA60" s="726">
        <f t="shared" si="37"/>
        <v>0</v>
      </c>
      <c r="BB60" s="599">
        <f t="shared" si="23"/>
        <v>12565.56</v>
      </c>
      <c r="BD60" s="1088">
        <f t="shared" si="12"/>
        <v>37781.56</v>
      </c>
      <c r="BE60" s="478"/>
    </row>
    <row r="61" spans="1:57" s="52" customFormat="1" ht="11.25" x14ac:dyDescent="0.2">
      <c r="A61" s="267">
        <v>555</v>
      </c>
      <c r="B61" s="121" t="s">
        <v>925</v>
      </c>
      <c r="C61" s="719">
        <f>SUM(C62)</f>
        <v>0</v>
      </c>
      <c r="D61" s="719">
        <f t="shared" ref="D61:M61" si="38">SUM(D62)</f>
        <v>0</v>
      </c>
      <c r="E61" s="719">
        <f t="shared" si="38"/>
        <v>0</v>
      </c>
      <c r="F61" s="719">
        <f t="shared" si="38"/>
        <v>0</v>
      </c>
      <c r="G61" s="719">
        <f t="shared" si="38"/>
        <v>0</v>
      </c>
      <c r="H61" s="719">
        <f t="shared" si="38"/>
        <v>0</v>
      </c>
      <c r="I61" s="719">
        <f t="shared" si="38"/>
        <v>0</v>
      </c>
      <c r="J61" s="719">
        <f t="shared" si="38"/>
        <v>0</v>
      </c>
      <c r="K61" s="719">
        <f t="shared" si="38"/>
        <v>0</v>
      </c>
      <c r="L61" s="719">
        <f t="shared" si="38"/>
        <v>0</v>
      </c>
      <c r="M61" s="719">
        <f t="shared" si="38"/>
        <v>0</v>
      </c>
      <c r="N61" s="512">
        <f t="shared" si="2"/>
        <v>0</v>
      </c>
      <c r="P61" s="267"/>
      <c r="Q61" s="121"/>
      <c r="R61" s="723"/>
      <c r="S61" s="723"/>
      <c r="T61" s="723"/>
      <c r="U61" s="723"/>
      <c r="V61" s="723"/>
      <c r="W61" s="723"/>
      <c r="X61" s="723"/>
      <c r="Y61" s="723"/>
      <c r="Z61" s="723"/>
      <c r="AA61" s="723"/>
      <c r="AB61" s="723"/>
      <c r="AC61" s="723"/>
      <c r="AD61" s="723"/>
      <c r="AE61" s="723"/>
      <c r="AF61" s="723"/>
      <c r="AG61" s="723"/>
      <c r="AH61" s="723"/>
      <c r="AI61" s="723"/>
      <c r="AJ61" s="597">
        <f t="shared" si="10"/>
        <v>0</v>
      </c>
      <c r="AK61" s="203"/>
      <c r="AL61" s="577"/>
      <c r="AM61" s="533"/>
      <c r="AN61" s="737"/>
      <c r="AO61" s="737"/>
      <c r="AP61" s="737"/>
      <c r="AQ61" s="735"/>
      <c r="AS61" s="267">
        <v>555</v>
      </c>
      <c r="AT61" s="651" t="s">
        <v>925</v>
      </c>
      <c r="AU61" s="726">
        <f>SUM(AU62)</f>
        <v>0</v>
      </c>
      <c r="AV61" s="726">
        <f t="shared" ref="AV61:BA61" si="39">SUM(AV62)</f>
        <v>0</v>
      </c>
      <c r="AW61" s="726">
        <f t="shared" si="39"/>
        <v>0</v>
      </c>
      <c r="AX61" s="726">
        <f t="shared" si="39"/>
        <v>12565.56</v>
      </c>
      <c r="AY61" s="726">
        <f t="shared" si="39"/>
        <v>0</v>
      </c>
      <c r="AZ61" s="726">
        <f t="shared" si="39"/>
        <v>0</v>
      </c>
      <c r="BA61" s="726">
        <f t="shared" si="39"/>
        <v>0</v>
      </c>
      <c r="BB61" s="599">
        <f t="shared" si="23"/>
        <v>12565.56</v>
      </c>
      <c r="BD61" s="1088">
        <f t="shared" si="12"/>
        <v>12565.56</v>
      </c>
      <c r="BE61" s="478"/>
    </row>
    <row r="62" spans="1:57" s="52" customFormat="1" ht="11.25" x14ac:dyDescent="0.2">
      <c r="A62" s="117">
        <v>55508</v>
      </c>
      <c r="B62" s="121" t="s">
        <v>924</v>
      </c>
      <c r="C62" s="719"/>
      <c r="D62" s="719"/>
      <c r="E62" s="719"/>
      <c r="F62" s="719"/>
      <c r="G62" s="719"/>
      <c r="H62" s="719"/>
      <c r="I62" s="719"/>
      <c r="J62" s="719"/>
      <c r="K62" s="719"/>
      <c r="L62" s="719"/>
      <c r="M62" s="719"/>
      <c r="N62" s="512">
        <f t="shared" si="2"/>
        <v>0</v>
      </c>
      <c r="P62" s="267"/>
      <c r="Q62" s="121"/>
      <c r="R62" s="723"/>
      <c r="S62" s="723"/>
      <c r="T62" s="723"/>
      <c r="U62" s="723"/>
      <c r="V62" s="723"/>
      <c r="W62" s="723"/>
      <c r="X62" s="723"/>
      <c r="Y62" s="723"/>
      <c r="Z62" s="723"/>
      <c r="AA62" s="723"/>
      <c r="AB62" s="723"/>
      <c r="AC62" s="723"/>
      <c r="AD62" s="723"/>
      <c r="AE62" s="723"/>
      <c r="AF62" s="723"/>
      <c r="AG62" s="723"/>
      <c r="AH62" s="723"/>
      <c r="AI62" s="723"/>
      <c r="AJ62" s="597">
        <f t="shared" si="10"/>
        <v>0</v>
      </c>
      <c r="AK62" s="203"/>
      <c r="AL62" s="577"/>
      <c r="AM62" s="533"/>
      <c r="AN62" s="737"/>
      <c r="AO62" s="737"/>
      <c r="AP62" s="737"/>
      <c r="AQ62" s="735"/>
      <c r="AS62" s="267">
        <v>55508</v>
      </c>
      <c r="AT62" s="652" t="s">
        <v>924</v>
      </c>
      <c r="AU62" s="726"/>
      <c r="AV62" s="726"/>
      <c r="AW62" s="724"/>
      <c r="AX62" s="724">
        <v>12565.56</v>
      </c>
      <c r="AY62" s="726"/>
      <c r="AZ62" s="726"/>
      <c r="BA62" s="726"/>
      <c r="BB62" s="599">
        <f t="shared" si="23"/>
        <v>12565.56</v>
      </c>
      <c r="BD62" s="1088">
        <f t="shared" si="12"/>
        <v>12565.56</v>
      </c>
      <c r="BE62" s="478"/>
    </row>
    <row r="63" spans="1:57" s="52" customFormat="1" ht="11.25" x14ac:dyDescent="0.2">
      <c r="A63" s="267">
        <v>556</v>
      </c>
      <c r="B63" s="121" t="s">
        <v>113</v>
      </c>
      <c r="C63" s="719">
        <f>SUM(C64:C66)</f>
        <v>2000</v>
      </c>
      <c r="D63" s="719">
        <f t="shared" ref="D63:M63" si="40">SUM(D64:D66)</f>
        <v>0</v>
      </c>
      <c r="E63" s="719">
        <f t="shared" si="40"/>
        <v>0</v>
      </c>
      <c r="F63" s="719">
        <f t="shared" si="40"/>
        <v>0</v>
      </c>
      <c r="G63" s="719">
        <f t="shared" si="40"/>
        <v>0</v>
      </c>
      <c r="H63" s="719">
        <f t="shared" si="40"/>
        <v>0</v>
      </c>
      <c r="I63" s="719">
        <f t="shared" si="40"/>
        <v>0</v>
      </c>
      <c r="J63" s="719">
        <f t="shared" si="40"/>
        <v>0</v>
      </c>
      <c r="K63" s="719">
        <f t="shared" si="40"/>
        <v>0</v>
      </c>
      <c r="L63" s="719">
        <f t="shared" si="40"/>
        <v>0</v>
      </c>
      <c r="M63" s="719">
        <f t="shared" si="40"/>
        <v>0</v>
      </c>
      <c r="N63" s="512">
        <f t="shared" si="2"/>
        <v>2000</v>
      </c>
      <c r="P63" s="267">
        <v>556</v>
      </c>
      <c r="Q63" s="121" t="s">
        <v>113</v>
      </c>
      <c r="R63" s="723">
        <f>SUM(R64:R66)</f>
        <v>0</v>
      </c>
      <c r="S63" s="723">
        <f t="shared" ref="S63:AI63" si="41">SUM(S64:S66)</f>
        <v>0</v>
      </c>
      <c r="T63" s="723">
        <f t="shared" si="41"/>
        <v>0</v>
      </c>
      <c r="U63" s="723">
        <f t="shared" si="41"/>
        <v>0</v>
      </c>
      <c r="V63" s="723">
        <f t="shared" si="41"/>
        <v>216</v>
      </c>
      <c r="W63" s="723">
        <f t="shared" si="41"/>
        <v>0</v>
      </c>
      <c r="X63" s="723">
        <f t="shared" si="41"/>
        <v>0</v>
      </c>
      <c r="Y63" s="723">
        <f t="shared" si="41"/>
        <v>0</v>
      </c>
      <c r="Z63" s="723">
        <f t="shared" si="41"/>
        <v>0</v>
      </c>
      <c r="AA63" s="723">
        <f t="shared" si="41"/>
        <v>0</v>
      </c>
      <c r="AB63" s="723">
        <f t="shared" si="41"/>
        <v>0</v>
      </c>
      <c r="AC63" s="723">
        <f t="shared" si="41"/>
        <v>0</v>
      </c>
      <c r="AD63" s="723">
        <f t="shared" si="41"/>
        <v>0</v>
      </c>
      <c r="AE63" s="723">
        <f t="shared" si="41"/>
        <v>0</v>
      </c>
      <c r="AF63" s="723">
        <f t="shared" si="41"/>
        <v>0</v>
      </c>
      <c r="AG63" s="723">
        <f t="shared" si="41"/>
        <v>0</v>
      </c>
      <c r="AH63" s="723">
        <f t="shared" si="41"/>
        <v>0</v>
      </c>
      <c r="AI63" s="723">
        <f t="shared" si="41"/>
        <v>0</v>
      </c>
      <c r="AJ63" s="597">
        <f t="shared" si="10"/>
        <v>216</v>
      </c>
      <c r="AK63" s="203"/>
      <c r="AL63" s="577">
        <v>556</v>
      </c>
      <c r="AM63" s="533" t="s">
        <v>113</v>
      </c>
      <c r="AN63" s="737">
        <f>SUM(AN64:AN66)</f>
        <v>13000</v>
      </c>
      <c r="AO63" s="737"/>
      <c r="AP63" s="735">
        <f>SUM(AP64:AP66)</f>
        <v>0</v>
      </c>
      <c r="AQ63" s="735">
        <f t="shared" si="13"/>
        <v>13000</v>
      </c>
      <c r="AS63" s="267">
        <v>556</v>
      </c>
      <c r="AT63" s="651" t="s">
        <v>113</v>
      </c>
      <c r="AU63" s="726">
        <f>SUM(AU64:AU66)</f>
        <v>0</v>
      </c>
      <c r="AV63" s="726">
        <f t="shared" ref="AV63:BA63" si="42">SUM(AV64:AV66)</f>
        <v>0</v>
      </c>
      <c r="AW63" s="726">
        <f t="shared" si="42"/>
        <v>0</v>
      </c>
      <c r="AX63" s="726">
        <f t="shared" si="42"/>
        <v>0</v>
      </c>
      <c r="AY63" s="726">
        <f t="shared" si="42"/>
        <v>0</v>
      </c>
      <c r="AZ63" s="726">
        <f t="shared" si="42"/>
        <v>0</v>
      </c>
      <c r="BA63" s="726">
        <f t="shared" si="42"/>
        <v>0</v>
      </c>
      <c r="BB63" s="599">
        <f t="shared" si="23"/>
        <v>0</v>
      </c>
      <c r="BD63" s="1088">
        <f t="shared" si="12"/>
        <v>15216</v>
      </c>
      <c r="BE63" s="478"/>
    </row>
    <row r="64" spans="1:57" s="52" customFormat="1" ht="11.25" x14ac:dyDescent="0.2">
      <c r="A64" s="115">
        <v>55601</v>
      </c>
      <c r="B64" s="116" t="s">
        <v>336</v>
      </c>
      <c r="C64" s="719">
        <v>2000</v>
      </c>
      <c r="D64" s="719"/>
      <c r="E64" s="719"/>
      <c r="F64" s="719"/>
      <c r="G64" s="719"/>
      <c r="H64" s="719"/>
      <c r="I64" s="719"/>
      <c r="J64" s="719"/>
      <c r="K64" s="719"/>
      <c r="L64" s="719"/>
      <c r="M64" s="719"/>
      <c r="N64" s="512">
        <f t="shared" si="2"/>
        <v>2000</v>
      </c>
      <c r="P64" s="115">
        <v>55601</v>
      </c>
      <c r="Q64" s="116" t="s">
        <v>336</v>
      </c>
      <c r="R64" s="719"/>
      <c r="S64" s="719"/>
      <c r="T64" s="719"/>
      <c r="U64" s="719"/>
      <c r="V64" s="719"/>
      <c r="W64" s="719"/>
      <c r="X64" s="719"/>
      <c r="Y64" s="732"/>
      <c r="Z64" s="719"/>
      <c r="AA64" s="719"/>
      <c r="AB64" s="719"/>
      <c r="AC64" s="719"/>
      <c r="AD64" s="719"/>
      <c r="AE64" s="732"/>
      <c r="AF64" s="732"/>
      <c r="AG64" s="719"/>
      <c r="AH64" s="719"/>
      <c r="AI64" s="719"/>
      <c r="AJ64" s="597">
        <f t="shared" si="10"/>
        <v>0</v>
      </c>
      <c r="AK64" s="203"/>
      <c r="AL64" s="578">
        <v>55601</v>
      </c>
      <c r="AM64" s="535" t="s">
        <v>336</v>
      </c>
      <c r="AN64" s="735"/>
      <c r="AO64" s="735"/>
      <c r="AP64" s="735"/>
      <c r="AQ64" s="735">
        <f t="shared" si="13"/>
        <v>0</v>
      </c>
      <c r="AS64" s="115">
        <v>55601</v>
      </c>
      <c r="AT64" s="652" t="s">
        <v>336</v>
      </c>
      <c r="AU64" s="724"/>
      <c r="AV64" s="724"/>
      <c r="AW64" s="724"/>
      <c r="AX64" s="724"/>
      <c r="AY64" s="724"/>
      <c r="AZ64" s="724"/>
      <c r="BA64" s="729"/>
      <c r="BB64" s="599">
        <f t="shared" si="23"/>
        <v>0</v>
      </c>
      <c r="BD64" s="1088">
        <f t="shared" si="12"/>
        <v>2000</v>
      </c>
      <c r="BE64" s="478"/>
    </row>
    <row r="65" spans="1:62" s="52" customFormat="1" ht="11.25" x14ac:dyDescent="0.2">
      <c r="A65" s="115">
        <v>55602</v>
      </c>
      <c r="B65" s="116" t="s">
        <v>337</v>
      </c>
      <c r="C65" s="719"/>
      <c r="D65" s="719"/>
      <c r="E65" s="719"/>
      <c r="F65" s="719"/>
      <c r="G65" s="719"/>
      <c r="H65" s="719"/>
      <c r="I65" s="719"/>
      <c r="J65" s="719"/>
      <c r="K65" s="719"/>
      <c r="L65" s="719"/>
      <c r="M65" s="719"/>
      <c r="N65" s="512">
        <f t="shared" si="2"/>
        <v>0</v>
      </c>
      <c r="P65" s="115">
        <v>55602</v>
      </c>
      <c r="Q65" s="116" t="s">
        <v>337</v>
      </c>
      <c r="R65" s="719"/>
      <c r="S65" s="719"/>
      <c r="T65" s="719"/>
      <c r="U65" s="719"/>
      <c r="V65" s="719"/>
      <c r="W65" s="719"/>
      <c r="X65" s="719"/>
      <c r="Y65" s="732"/>
      <c r="Z65" s="719"/>
      <c r="AA65" s="719"/>
      <c r="AB65" s="719"/>
      <c r="AC65" s="719"/>
      <c r="AD65" s="719"/>
      <c r="AE65" s="732"/>
      <c r="AF65" s="732"/>
      <c r="AG65" s="719"/>
      <c r="AH65" s="719"/>
      <c r="AI65" s="719"/>
      <c r="AJ65" s="597">
        <f t="shared" si="10"/>
        <v>0</v>
      </c>
      <c r="AK65" s="203"/>
      <c r="AL65" s="578">
        <v>55602</v>
      </c>
      <c r="AM65" s="535" t="s">
        <v>337</v>
      </c>
      <c r="AN65" s="735">
        <v>13000</v>
      </c>
      <c r="AO65" s="735"/>
      <c r="AP65" s="735"/>
      <c r="AQ65" s="735">
        <f t="shared" si="13"/>
        <v>13000</v>
      </c>
      <c r="AS65" s="115">
        <v>55602</v>
      </c>
      <c r="AT65" s="652" t="s">
        <v>337</v>
      </c>
      <c r="AU65" s="724"/>
      <c r="AV65" s="724"/>
      <c r="AW65" s="724"/>
      <c r="AX65" s="724"/>
      <c r="AY65" s="724"/>
      <c r="AZ65" s="724"/>
      <c r="BA65" s="729"/>
      <c r="BB65" s="599">
        <f t="shared" si="23"/>
        <v>0</v>
      </c>
      <c r="BD65" s="1088">
        <f t="shared" si="12"/>
        <v>13000</v>
      </c>
      <c r="BE65" s="478"/>
    </row>
    <row r="66" spans="1:62" s="52" customFormat="1" ht="11.25" x14ac:dyDescent="0.2">
      <c r="A66" s="115">
        <v>55603</v>
      </c>
      <c r="B66" s="116" t="s">
        <v>338</v>
      </c>
      <c r="C66" s="719"/>
      <c r="D66" s="719"/>
      <c r="E66" s="719"/>
      <c r="F66" s="719"/>
      <c r="G66" s="719"/>
      <c r="H66" s="719"/>
      <c r="I66" s="719"/>
      <c r="J66" s="719"/>
      <c r="K66" s="719"/>
      <c r="L66" s="719"/>
      <c r="M66" s="719"/>
      <c r="N66" s="512">
        <f t="shared" si="2"/>
        <v>0</v>
      </c>
      <c r="P66" s="115">
        <v>55603</v>
      </c>
      <c r="Q66" s="116" t="s">
        <v>338</v>
      </c>
      <c r="R66" s="719"/>
      <c r="S66" s="719"/>
      <c r="T66" s="719"/>
      <c r="U66" s="719"/>
      <c r="V66" s="719">
        <v>216</v>
      </c>
      <c r="W66" s="719"/>
      <c r="X66" s="719"/>
      <c r="Y66" s="732"/>
      <c r="Z66" s="719"/>
      <c r="AA66" s="719"/>
      <c r="AB66" s="719"/>
      <c r="AC66" s="719"/>
      <c r="AD66" s="719"/>
      <c r="AE66" s="732"/>
      <c r="AF66" s="732"/>
      <c r="AG66" s="719"/>
      <c r="AH66" s="719"/>
      <c r="AI66" s="719"/>
      <c r="AJ66" s="597">
        <f t="shared" si="10"/>
        <v>216</v>
      </c>
      <c r="AK66" s="203"/>
      <c r="AL66" s="578">
        <v>55603</v>
      </c>
      <c r="AM66" s="535" t="s">
        <v>338</v>
      </c>
      <c r="AN66" s="735"/>
      <c r="AO66" s="735"/>
      <c r="AP66" s="735"/>
      <c r="AQ66" s="735">
        <f t="shared" si="13"/>
        <v>0</v>
      </c>
      <c r="AS66" s="115">
        <v>55603</v>
      </c>
      <c r="AT66" s="652" t="s">
        <v>338</v>
      </c>
      <c r="AU66" s="724"/>
      <c r="AV66" s="724"/>
      <c r="AW66" s="724"/>
      <c r="AX66" s="724"/>
      <c r="AY66" s="724"/>
      <c r="AZ66" s="724"/>
      <c r="BA66" s="729"/>
      <c r="BB66" s="599">
        <f t="shared" si="23"/>
        <v>0</v>
      </c>
      <c r="BD66" s="1088">
        <f t="shared" si="12"/>
        <v>216</v>
      </c>
      <c r="BE66" s="478"/>
    </row>
    <row r="67" spans="1:62" s="52" customFormat="1" ht="11.25" x14ac:dyDescent="0.2">
      <c r="A67" s="267">
        <v>557</v>
      </c>
      <c r="B67" s="121" t="s">
        <v>114</v>
      </c>
      <c r="C67" s="719">
        <f>SUM(C68:C68)</f>
        <v>0</v>
      </c>
      <c r="D67" s="719">
        <f t="shared" ref="D67:M67" si="43">SUM(D68:D68)</f>
        <v>0</v>
      </c>
      <c r="E67" s="719">
        <f t="shared" si="43"/>
        <v>0</v>
      </c>
      <c r="F67" s="719">
        <f t="shared" si="43"/>
        <v>0</v>
      </c>
      <c r="G67" s="719">
        <f t="shared" si="43"/>
        <v>0</v>
      </c>
      <c r="H67" s="719">
        <f t="shared" si="43"/>
        <v>0</v>
      </c>
      <c r="I67" s="719">
        <f t="shared" si="43"/>
        <v>0</v>
      </c>
      <c r="J67" s="719">
        <f t="shared" si="43"/>
        <v>0</v>
      </c>
      <c r="K67" s="719">
        <f t="shared" si="43"/>
        <v>0</v>
      </c>
      <c r="L67" s="719">
        <f t="shared" si="43"/>
        <v>0</v>
      </c>
      <c r="M67" s="719">
        <f t="shared" si="43"/>
        <v>0</v>
      </c>
      <c r="N67" s="512">
        <f t="shared" si="2"/>
        <v>0</v>
      </c>
      <c r="P67" s="267">
        <v>557</v>
      </c>
      <c r="Q67" s="121" t="s">
        <v>114</v>
      </c>
      <c r="R67" s="719">
        <f t="shared" ref="R67:U67" si="44">SUM(R68:R68)</f>
        <v>0</v>
      </c>
      <c r="S67" s="723">
        <f t="shared" si="44"/>
        <v>0</v>
      </c>
      <c r="T67" s="719">
        <f t="shared" si="44"/>
        <v>0</v>
      </c>
      <c r="U67" s="719">
        <f t="shared" si="44"/>
        <v>0</v>
      </c>
      <c r="V67" s="719">
        <f>SUM(V68:V68)</f>
        <v>0</v>
      </c>
      <c r="W67" s="719">
        <f t="shared" ref="W67:AI67" si="45">SUM(W68:W68)</f>
        <v>0</v>
      </c>
      <c r="X67" s="719">
        <f t="shared" si="45"/>
        <v>0</v>
      </c>
      <c r="Y67" s="719">
        <f t="shared" si="45"/>
        <v>0</v>
      </c>
      <c r="Z67" s="719">
        <f t="shared" si="45"/>
        <v>0</v>
      </c>
      <c r="AA67" s="719">
        <f t="shared" si="45"/>
        <v>0</v>
      </c>
      <c r="AB67" s="719">
        <f t="shared" si="45"/>
        <v>0</v>
      </c>
      <c r="AC67" s="719">
        <f t="shared" si="45"/>
        <v>0</v>
      </c>
      <c r="AD67" s="719">
        <f t="shared" si="45"/>
        <v>10000</v>
      </c>
      <c r="AE67" s="719">
        <f t="shared" si="45"/>
        <v>0</v>
      </c>
      <c r="AF67" s="719">
        <f t="shared" si="45"/>
        <v>0</v>
      </c>
      <c r="AG67" s="719">
        <f t="shared" si="45"/>
        <v>0</v>
      </c>
      <c r="AH67" s="719">
        <f t="shared" si="45"/>
        <v>0</v>
      </c>
      <c r="AI67" s="719">
        <f t="shared" si="45"/>
        <v>0</v>
      </c>
      <c r="AJ67" s="597">
        <f t="shared" si="10"/>
        <v>10000</v>
      </c>
      <c r="AK67" s="203"/>
      <c r="AL67" s="577">
        <v>557</v>
      </c>
      <c r="AM67" s="533" t="s">
        <v>114</v>
      </c>
      <c r="AN67" s="735">
        <f>SUM(AN68:AN68)</f>
        <v>0</v>
      </c>
      <c r="AO67" s="735">
        <f>SUM(AO68:AO68)</f>
        <v>0</v>
      </c>
      <c r="AP67" s="735">
        <f>SUM(AP68:AP68)</f>
        <v>0</v>
      </c>
      <c r="AQ67" s="735">
        <f>SUM(AQ68:AQ68)</f>
        <v>0</v>
      </c>
      <c r="AS67" s="267">
        <v>557</v>
      </c>
      <c r="AT67" s="651" t="s">
        <v>114</v>
      </c>
      <c r="AU67" s="724">
        <f t="shared" ref="AU67:BA67" si="46">SUM(AU68:AU68)</f>
        <v>0</v>
      </c>
      <c r="AV67" s="724">
        <f t="shared" si="46"/>
        <v>0</v>
      </c>
      <c r="AW67" s="724">
        <f t="shared" si="46"/>
        <v>0</v>
      </c>
      <c r="AX67" s="724">
        <f t="shared" si="46"/>
        <v>0</v>
      </c>
      <c r="AY67" s="724">
        <f t="shared" si="46"/>
        <v>0</v>
      </c>
      <c r="AZ67" s="724">
        <f t="shared" si="46"/>
        <v>0</v>
      </c>
      <c r="BA67" s="724">
        <f t="shared" si="46"/>
        <v>0</v>
      </c>
      <c r="BB67" s="599">
        <f t="shared" si="23"/>
        <v>0</v>
      </c>
      <c r="BD67" s="1088">
        <f t="shared" si="12"/>
        <v>10000</v>
      </c>
      <c r="BE67" s="478"/>
    </row>
    <row r="68" spans="1:62" s="52" customFormat="1" ht="11.25" x14ac:dyDescent="0.2">
      <c r="A68" s="115">
        <v>55799</v>
      </c>
      <c r="B68" s="116" t="s">
        <v>339</v>
      </c>
      <c r="C68" s="719"/>
      <c r="D68" s="719"/>
      <c r="E68" s="719"/>
      <c r="F68" s="719"/>
      <c r="G68" s="719"/>
      <c r="H68" s="719"/>
      <c r="I68" s="719"/>
      <c r="J68" s="719"/>
      <c r="K68" s="719"/>
      <c r="L68" s="719"/>
      <c r="M68" s="719"/>
      <c r="N68" s="512">
        <f t="shared" si="2"/>
        <v>0</v>
      </c>
      <c r="P68" s="115">
        <v>55799</v>
      </c>
      <c r="Q68" s="116" t="s">
        <v>339</v>
      </c>
      <c r="R68" s="719"/>
      <c r="S68" s="719"/>
      <c r="T68" s="719"/>
      <c r="U68" s="719"/>
      <c r="V68" s="719"/>
      <c r="W68" s="719"/>
      <c r="X68" s="719"/>
      <c r="Y68" s="732"/>
      <c r="Z68" s="719"/>
      <c r="AA68" s="719"/>
      <c r="AB68" s="719"/>
      <c r="AC68" s="719"/>
      <c r="AD68" s="719">
        <v>10000</v>
      </c>
      <c r="AE68" s="732"/>
      <c r="AF68" s="732"/>
      <c r="AG68" s="719"/>
      <c r="AH68" s="719"/>
      <c r="AI68" s="719"/>
      <c r="AJ68" s="597">
        <f t="shared" si="10"/>
        <v>10000</v>
      </c>
      <c r="AK68" s="203"/>
      <c r="AL68" s="578">
        <v>55799</v>
      </c>
      <c r="AM68" s="535" t="s">
        <v>339</v>
      </c>
      <c r="AN68" s="735"/>
      <c r="AO68" s="735"/>
      <c r="AP68" s="735"/>
      <c r="AQ68" s="735">
        <f t="shared" si="13"/>
        <v>0</v>
      </c>
      <c r="AS68" s="115">
        <v>55799</v>
      </c>
      <c r="AT68" s="652" t="s">
        <v>339</v>
      </c>
      <c r="AU68" s="724"/>
      <c r="AV68" s="724"/>
      <c r="AW68" s="724"/>
      <c r="AX68" s="724"/>
      <c r="AY68" s="724"/>
      <c r="AZ68" s="724"/>
      <c r="BA68" s="729"/>
      <c r="BB68" s="599">
        <f t="shared" si="23"/>
        <v>0</v>
      </c>
      <c r="BD68" s="1088">
        <f t="shared" si="12"/>
        <v>10000</v>
      </c>
      <c r="BE68" s="478"/>
    </row>
    <row r="69" spans="1:62" s="52" customFormat="1" ht="11.25" x14ac:dyDescent="0.2">
      <c r="A69" s="267">
        <v>56</v>
      </c>
      <c r="B69" s="121" t="s">
        <v>115</v>
      </c>
      <c r="C69" s="719">
        <f>C70+C72</f>
        <v>10400</v>
      </c>
      <c r="D69" s="719">
        <f>D70+D72</f>
        <v>0</v>
      </c>
      <c r="E69" s="719">
        <f t="shared" ref="E69:M69" si="47">E70+E72</f>
        <v>0</v>
      </c>
      <c r="F69" s="719">
        <f t="shared" si="47"/>
        <v>0</v>
      </c>
      <c r="G69" s="719">
        <f t="shared" si="47"/>
        <v>0</v>
      </c>
      <c r="H69" s="719">
        <f t="shared" si="47"/>
        <v>0</v>
      </c>
      <c r="I69" s="719">
        <f t="shared" si="47"/>
        <v>0</v>
      </c>
      <c r="J69" s="719">
        <f t="shared" si="47"/>
        <v>0</v>
      </c>
      <c r="K69" s="719">
        <f t="shared" si="47"/>
        <v>0</v>
      </c>
      <c r="L69" s="719">
        <f t="shared" si="47"/>
        <v>0</v>
      </c>
      <c r="M69" s="719">
        <f t="shared" si="47"/>
        <v>0</v>
      </c>
      <c r="N69" s="512">
        <f t="shared" si="2"/>
        <v>10400</v>
      </c>
      <c r="P69" s="267">
        <v>56</v>
      </c>
      <c r="Q69" s="121" t="s">
        <v>115</v>
      </c>
      <c r="R69" s="719">
        <f t="shared" ref="R69:Y69" si="48">R70+R72</f>
        <v>0</v>
      </c>
      <c r="S69" s="719">
        <f t="shared" si="48"/>
        <v>0</v>
      </c>
      <c r="T69" s="719">
        <f t="shared" si="48"/>
        <v>0</v>
      </c>
      <c r="U69" s="719">
        <f t="shared" si="48"/>
        <v>0</v>
      </c>
      <c r="V69" s="719">
        <f t="shared" si="48"/>
        <v>0</v>
      </c>
      <c r="W69" s="719">
        <f t="shared" si="48"/>
        <v>0</v>
      </c>
      <c r="X69" s="719">
        <f t="shared" si="48"/>
        <v>0</v>
      </c>
      <c r="Y69" s="719">
        <f t="shared" si="48"/>
        <v>0</v>
      </c>
      <c r="Z69" s="719">
        <f>Z70+Z72</f>
        <v>75512.25</v>
      </c>
      <c r="AA69" s="719">
        <f t="shared" ref="AA69:AH69" si="49">AA70+AA72</f>
        <v>0</v>
      </c>
      <c r="AB69" s="719">
        <f t="shared" si="49"/>
        <v>0</v>
      </c>
      <c r="AC69" s="719">
        <f t="shared" si="49"/>
        <v>0</v>
      </c>
      <c r="AD69" s="719"/>
      <c r="AE69" s="719">
        <f t="shared" si="49"/>
        <v>0</v>
      </c>
      <c r="AF69" s="719">
        <f t="shared" si="49"/>
        <v>0</v>
      </c>
      <c r="AG69" s="719">
        <f t="shared" si="49"/>
        <v>0</v>
      </c>
      <c r="AH69" s="719">
        <f t="shared" si="49"/>
        <v>0</v>
      </c>
      <c r="AI69" s="719"/>
      <c r="AJ69" s="597">
        <f t="shared" si="10"/>
        <v>75512.25</v>
      </c>
      <c r="AK69" s="203"/>
      <c r="AL69" s="577">
        <v>56</v>
      </c>
      <c r="AM69" s="533" t="s">
        <v>115</v>
      </c>
      <c r="AN69" s="737">
        <f>AN70+AN72</f>
        <v>0</v>
      </c>
      <c r="AO69" s="737">
        <f>AO70+AO72</f>
        <v>0</v>
      </c>
      <c r="AP69" s="737">
        <f>AP70+AP72</f>
        <v>0</v>
      </c>
      <c r="AQ69" s="737">
        <f>AQ70+AQ72</f>
        <v>0</v>
      </c>
      <c r="AS69" s="267">
        <v>56</v>
      </c>
      <c r="AT69" s="651" t="s">
        <v>115</v>
      </c>
      <c r="AU69" s="726">
        <f>AU70+AU72</f>
        <v>0</v>
      </c>
      <c r="AV69" s="726">
        <f t="shared" ref="AV69:BA69" si="50">AV70+AV72</f>
        <v>0</v>
      </c>
      <c r="AW69" s="726">
        <f t="shared" si="50"/>
        <v>0</v>
      </c>
      <c r="AX69" s="726">
        <f t="shared" si="50"/>
        <v>0</v>
      </c>
      <c r="AY69" s="726">
        <f t="shared" si="50"/>
        <v>0</v>
      </c>
      <c r="AZ69" s="726">
        <f t="shared" si="50"/>
        <v>0</v>
      </c>
      <c r="BA69" s="726">
        <f t="shared" si="50"/>
        <v>0</v>
      </c>
      <c r="BB69" s="599">
        <f t="shared" si="23"/>
        <v>0</v>
      </c>
      <c r="BD69" s="1088">
        <f t="shared" si="12"/>
        <v>85912.25</v>
      </c>
      <c r="BE69" s="478"/>
    </row>
    <row r="70" spans="1:62" s="52" customFormat="1" ht="11.25" x14ac:dyDescent="0.2">
      <c r="A70" s="267">
        <v>562</v>
      </c>
      <c r="B70" s="121" t="s">
        <v>344</v>
      </c>
      <c r="C70" s="719">
        <f>SUM(C71)</f>
        <v>0</v>
      </c>
      <c r="D70" s="719">
        <f t="shared" ref="D70:M70" si="51">SUM(D71)</f>
        <v>0</v>
      </c>
      <c r="E70" s="719">
        <f t="shared" si="51"/>
        <v>0</v>
      </c>
      <c r="F70" s="719">
        <f t="shared" si="51"/>
        <v>0</v>
      </c>
      <c r="G70" s="719">
        <f t="shared" si="51"/>
        <v>0</v>
      </c>
      <c r="H70" s="719">
        <f t="shared" si="51"/>
        <v>0</v>
      </c>
      <c r="I70" s="719">
        <f t="shared" si="51"/>
        <v>0</v>
      </c>
      <c r="J70" s="719">
        <f t="shared" si="51"/>
        <v>0</v>
      </c>
      <c r="K70" s="719">
        <f t="shared" si="51"/>
        <v>0</v>
      </c>
      <c r="L70" s="719">
        <f t="shared" si="51"/>
        <v>0</v>
      </c>
      <c r="M70" s="719">
        <f t="shared" si="51"/>
        <v>0</v>
      </c>
      <c r="N70" s="512">
        <f t="shared" si="2"/>
        <v>0</v>
      </c>
      <c r="P70" s="267">
        <v>562</v>
      </c>
      <c r="Q70" s="121" t="s">
        <v>344</v>
      </c>
      <c r="R70" s="723">
        <f>SUM(R71)</f>
        <v>0</v>
      </c>
      <c r="S70" s="719">
        <f t="shared" ref="S70:AH70" si="52">SUM(S71)</f>
        <v>0</v>
      </c>
      <c r="T70" s="719">
        <f t="shared" si="52"/>
        <v>0</v>
      </c>
      <c r="U70" s="719">
        <f t="shared" si="52"/>
        <v>0</v>
      </c>
      <c r="V70" s="719">
        <f t="shared" ref="V70" si="53">SUM(V71)</f>
        <v>0</v>
      </c>
      <c r="W70" s="719">
        <f t="shared" si="52"/>
        <v>0</v>
      </c>
      <c r="X70" s="719">
        <f t="shared" si="52"/>
        <v>0</v>
      </c>
      <c r="Y70" s="732">
        <f t="shared" si="52"/>
        <v>0</v>
      </c>
      <c r="Z70" s="719">
        <f t="shared" ref="Z70" si="54">SUM(Z71)</f>
        <v>0</v>
      </c>
      <c r="AA70" s="719">
        <f t="shared" si="52"/>
        <v>0</v>
      </c>
      <c r="AB70" s="719">
        <f t="shared" si="52"/>
        <v>0</v>
      </c>
      <c r="AC70" s="719"/>
      <c r="AD70" s="719"/>
      <c r="AE70" s="732">
        <f t="shared" si="52"/>
        <v>0</v>
      </c>
      <c r="AF70" s="732">
        <f t="shared" si="52"/>
        <v>0</v>
      </c>
      <c r="AG70" s="719">
        <f t="shared" si="52"/>
        <v>0</v>
      </c>
      <c r="AH70" s="719">
        <f t="shared" si="52"/>
        <v>0</v>
      </c>
      <c r="AI70" s="719"/>
      <c r="AJ70" s="597">
        <f t="shared" si="10"/>
        <v>0</v>
      </c>
      <c r="AK70" s="203"/>
      <c r="AL70" s="577">
        <v>562</v>
      </c>
      <c r="AM70" s="533" t="s">
        <v>344</v>
      </c>
      <c r="AN70" s="737">
        <f>SUM(AN71)</f>
        <v>0</v>
      </c>
      <c r="AO70" s="737">
        <f>SUM(AO71)</f>
        <v>0</v>
      </c>
      <c r="AP70" s="737">
        <f>SUM(AP71)</f>
        <v>0</v>
      </c>
      <c r="AQ70" s="737">
        <f>SUM(AQ71)</f>
        <v>0</v>
      </c>
      <c r="AS70" s="267">
        <v>562</v>
      </c>
      <c r="AT70" s="651" t="s">
        <v>344</v>
      </c>
      <c r="AU70" s="726">
        <f t="shared" ref="AU70:BA70" si="55">SUM(AU71)</f>
        <v>0</v>
      </c>
      <c r="AV70" s="726">
        <f t="shared" si="55"/>
        <v>0</v>
      </c>
      <c r="AW70" s="726">
        <f t="shared" si="55"/>
        <v>0</v>
      </c>
      <c r="AX70" s="726">
        <f t="shared" si="55"/>
        <v>0</v>
      </c>
      <c r="AY70" s="726">
        <f t="shared" si="55"/>
        <v>0</v>
      </c>
      <c r="AZ70" s="726">
        <f t="shared" si="55"/>
        <v>0</v>
      </c>
      <c r="BA70" s="726">
        <f t="shared" si="55"/>
        <v>0</v>
      </c>
      <c r="BB70" s="599">
        <f t="shared" si="23"/>
        <v>0</v>
      </c>
      <c r="BD70" s="1088">
        <f t="shared" si="12"/>
        <v>0</v>
      </c>
      <c r="BE70" s="478"/>
    </row>
    <row r="71" spans="1:62" s="52" customFormat="1" ht="11.25" x14ac:dyDescent="0.2">
      <c r="A71" s="115">
        <v>56201</v>
      </c>
      <c r="B71" s="116" t="s">
        <v>340</v>
      </c>
      <c r="C71" s="719"/>
      <c r="D71" s="719"/>
      <c r="E71" s="719"/>
      <c r="F71" s="719"/>
      <c r="G71" s="719"/>
      <c r="H71" s="719"/>
      <c r="I71" s="719"/>
      <c r="J71" s="719"/>
      <c r="K71" s="719"/>
      <c r="L71" s="719"/>
      <c r="M71" s="719"/>
      <c r="N71" s="512">
        <f t="shared" ref="N71:N86" si="56">SUM(C71:M71)</f>
        <v>0</v>
      </c>
      <c r="O71" s="268"/>
      <c r="P71" s="115">
        <v>56201</v>
      </c>
      <c r="Q71" s="116" t="s">
        <v>340</v>
      </c>
      <c r="R71" s="719"/>
      <c r="S71" s="719"/>
      <c r="T71" s="719"/>
      <c r="U71" s="719"/>
      <c r="V71" s="719"/>
      <c r="W71" s="719"/>
      <c r="X71" s="719"/>
      <c r="Y71" s="732"/>
      <c r="Z71" s="719"/>
      <c r="AA71" s="719"/>
      <c r="AB71" s="719"/>
      <c r="AC71" s="719"/>
      <c r="AD71" s="719"/>
      <c r="AE71" s="732"/>
      <c r="AF71" s="732"/>
      <c r="AG71" s="719"/>
      <c r="AH71" s="719"/>
      <c r="AI71" s="719"/>
      <c r="AJ71" s="597">
        <f t="shared" si="10"/>
        <v>0</v>
      </c>
      <c r="AK71" s="203"/>
      <c r="AL71" s="578">
        <v>56201</v>
      </c>
      <c r="AM71" s="535" t="s">
        <v>340</v>
      </c>
      <c r="AN71" s="735"/>
      <c r="AO71" s="735"/>
      <c r="AP71" s="735"/>
      <c r="AQ71" s="735">
        <f t="shared" si="13"/>
        <v>0</v>
      </c>
      <c r="AS71" s="115">
        <v>56201</v>
      </c>
      <c r="AT71" s="652" t="s">
        <v>340</v>
      </c>
      <c r="AU71" s="724"/>
      <c r="AV71" s="724"/>
      <c r="AW71" s="724"/>
      <c r="AX71" s="724"/>
      <c r="AY71" s="724"/>
      <c r="AZ71" s="724"/>
      <c r="BA71" s="729"/>
      <c r="BB71" s="599">
        <f t="shared" si="23"/>
        <v>0</v>
      </c>
      <c r="BD71" s="1088">
        <f t="shared" si="12"/>
        <v>0</v>
      </c>
      <c r="BE71" s="478"/>
    </row>
    <row r="72" spans="1:62" s="52" customFormat="1" ht="11.25" x14ac:dyDescent="0.2">
      <c r="A72" s="267">
        <v>563</v>
      </c>
      <c r="B72" s="121" t="s">
        <v>345</v>
      </c>
      <c r="C72" s="719">
        <f>C73+C74+C75</f>
        <v>10400</v>
      </c>
      <c r="D72" s="719">
        <f>D73+D74+D75</f>
        <v>0</v>
      </c>
      <c r="E72" s="719">
        <f t="shared" ref="E72:M72" si="57">E73+E74+E75</f>
        <v>0</v>
      </c>
      <c r="F72" s="719">
        <f t="shared" si="57"/>
        <v>0</v>
      </c>
      <c r="G72" s="719">
        <f t="shared" si="57"/>
        <v>0</v>
      </c>
      <c r="H72" s="719">
        <f t="shared" si="57"/>
        <v>0</v>
      </c>
      <c r="I72" s="719">
        <f t="shared" si="57"/>
        <v>0</v>
      </c>
      <c r="J72" s="719"/>
      <c r="K72" s="719">
        <f t="shared" si="57"/>
        <v>0</v>
      </c>
      <c r="L72" s="719">
        <f t="shared" si="57"/>
        <v>0</v>
      </c>
      <c r="M72" s="719">
        <f t="shared" si="57"/>
        <v>0</v>
      </c>
      <c r="N72" s="512">
        <f t="shared" si="56"/>
        <v>10400</v>
      </c>
      <c r="P72" s="267">
        <v>563</v>
      </c>
      <c r="Q72" s="121" t="s">
        <v>345</v>
      </c>
      <c r="R72" s="723">
        <f>R73+R74+R75</f>
        <v>0</v>
      </c>
      <c r="S72" s="723">
        <f t="shared" ref="S72:AH72" si="58">S73+S74+S75</f>
        <v>0</v>
      </c>
      <c r="T72" s="723">
        <f t="shared" si="58"/>
        <v>0</v>
      </c>
      <c r="U72" s="723">
        <f t="shared" si="58"/>
        <v>0</v>
      </c>
      <c r="V72" s="723">
        <f t="shared" si="58"/>
        <v>0</v>
      </c>
      <c r="W72" s="723">
        <f t="shared" si="58"/>
        <v>0</v>
      </c>
      <c r="X72" s="723">
        <f t="shared" si="58"/>
        <v>0</v>
      </c>
      <c r="Y72" s="723">
        <f t="shared" si="58"/>
        <v>0</v>
      </c>
      <c r="Z72" s="723">
        <f>Z73+Z74+Z75</f>
        <v>75512.25</v>
      </c>
      <c r="AA72" s="723">
        <f t="shared" si="58"/>
        <v>0</v>
      </c>
      <c r="AB72" s="723">
        <f t="shared" si="58"/>
        <v>0</v>
      </c>
      <c r="AC72" s="723">
        <f t="shared" si="58"/>
        <v>0</v>
      </c>
      <c r="AD72" s="723">
        <f t="shared" si="58"/>
        <v>0</v>
      </c>
      <c r="AE72" s="723">
        <f t="shared" si="58"/>
        <v>0</v>
      </c>
      <c r="AF72" s="723">
        <f t="shared" si="58"/>
        <v>0</v>
      </c>
      <c r="AG72" s="723">
        <f t="shared" si="58"/>
        <v>0</v>
      </c>
      <c r="AH72" s="723">
        <f t="shared" si="58"/>
        <v>0</v>
      </c>
      <c r="AI72" s="723"/>
      <c r="AJ72" s="597">
        <f t="shared" ref="AJ72:AJ86" si="59">SUM(R72:AI72)</f>
        <v>75512.25</v>
      </c>
      <c r="AK72" s="203"/>
      <c r="AL72" s="577">
        <v>563</v>
      </c>
      <c r="AM72" s="533" t="s">
        <v>345</v>
      </c>
      <c r="AN72" s="737">
        <f>AN73+AN74+AN75</f>
        <v>0</v>
      </c>
      <c r="AO72" s="737">
        <f>AO73+AO74+AO75</f>
        <v>0</v>
      </c>
      <c r="AP72" s="737">
        <f>AP73+AP74+AP75</f>
        <v>0</v>
      </c>
      <c r="AQ72" s="737">
        <f>AQ73+AQ74+AQ75</f>
        <v>0</v>
      </c>
      <c r="AS72" s="267">
        <v>563</v>
      </c>
      <c r="AT72" s="651" t="s">
        <v>345</v>
      </c>
      <c r="AU72" s="726">
        <f t="shared" ref="AU72:BA72" si="60">AU73+AU74+AU75</f>
        <v>0</v>
      </c>
      <c r="AV72" s="726">
        <f t="shared" si="60"/>
        <v>0</v>
      </c>
      <c r="AW72" s="726">
        <f t="shared" si="60"/>
        <v>0</v>
      </c>
      <c r="AX72" s="726">
        <f t="shared" si="60"/>
        <v>0</v>
      </c>
      <c r="AY72" s="726">
        <f t="shared" si="60"/>
        <v>0</v>
      </c>
      <c r="AZ72" s="726">
        <f t="shared" si="60"/>
        <v>0</v>
      </c>
      <c r="BA72" s="726">
        <f t="shared" si="60"/>
        <v>0</v>
      </c>
      <c r="BB72" s="599">
        <f t="shared" si="23"/>
        <v>0</v>
      </c>
      <c r="BD72" s="1088">
        <f t="shared" ref="BD72:BD135" si="61">BB72+AQ72+AJ72+N72</f>
        <v>85912.25</v>
      </c>
      <c r="BE72" s="478"/>
    </row>
    <row r="73" spans="1:62" s="52" customFormat="1" ht="11.25" x14ac:dyDescent="0.2">
      <c r="A73" s="115">
        <v>56303</v>
      </c>
      <c r="B73" s="116" t="s">
        <v>341</v>
      </c>
      <c r="C73" s="719">
        <f>8400+2000</f>
        <v>10400</v>
      </c>
      <c r="D73" s="719"/>
      <c r="E73" s="719"/>
      <c r="F73" s="719"/>
      <c r="G73" s="719"/>
      <c r="H73" s="719"/>
      <c r="I73" s="719"/>
      <c r="J73" s="719"/>
      <c r="K73" s="719"/>
      <c r="L73" s="719"/>
      <c r="M73" s="719"/>
      <c r="N73" s="512">
        <f t="shared" si="56"/>
        <v>10400</v>
      </c>
      <c r="P73" s="115">
        <v>56303</v>
      </c>
      <c r="Q73" s="116" t="s">
        <v>341</v>
      </c>
      <c r="R73" s="719"/>
      <c r="S73" s="719"/>
      <c r="T73" s="719"/>
      <c r="U73" s="719"/>
      <c r="V73" s="719"/>
      <c r="W73" s="719"/>
      <c r="X73" s="719"/>
      <c r="Y73" s="732"/>
      <c r="Z73" s="719"/>
      <c r="AA73" s="719"/>
      <c r="AB73" s="719"/>
      <c r="AC73" s="719"/>
      <c r="AD73" s="719"/>
      <c r="AE73" s="732"/>
      <c r="AF73" s="732"/>
      <c r="AG73" s="719"/>
      <c r="AH73" s="719"/>
      <c r="AI73" s="719"/>
      <c r="AJ73" s="597">
        <f t="shared" si="59"/>
        <v>0</v>
      </c>
      <c r="AK73" s="203"/>
      <c r="AL73" s="578">
        <v>56303</v>
      </c>
      <c r="AM73" s="535" t="s">
        <v>341</v>
      </c>
      <c r="AN73" s="735"/>
      <c r="AO73" s="735"/>
      <c r="AP73" s="735"/>
      <c r="AQ73" s="735">
        <f t="shared" si="13"/>
        <v>0</v>
      </c>
      <c r="AS73" s="115">
        <v>56303</v>
      </c>
      <c r="AT73" s="652" t="s">
        <v>341</v>
      </c>
      <c r="AU73" s="724"/>
      <c r="AV73" s="724"/>
      <c r="AW73" s="724"/>
      <c r="AX73" s="724"/>
      <c r="AY73" s="724"/>
      <c r="AZ73" s="724"/>
      <c r="BA73" s="729"/>
      <c r="BB73" s="599">
        <f t="shared" si="23"/>
        <v>0</v>
      </c>
      <c r="BD73" s="1088">
        <f t="shared" si="61"/>
        <v>10400</v>
      </c>
      <c r="BE73" s="478"/>
    </row>
    <row r="74" spans="1:62" s="52" customFormat="1" ht="11.25" x14ac:dyDescent="0.2">
      <c r="A74" s="115">
        <v>56304</v>
      </c>
      <c r="B74" s="116" t="s">
        <v>342</v>
      </c>
      <c r="C74" s="719"/>
      <c r="D74" s="719"/>
      <c r="E74" s="719"/>
      <c r="F74" s="719"/>
      <c r="G74" s="719"/>
      <c r="H74" s="719"/>
      <c r="I74" s="719"/>
      <c r="J74" s="719"/>
      <c r="K74" s="719"/>
      <c r="L74" s="719"/>
      <c r="M74" s="719"/>
      <c r="N74" s="512">
        <f t="shared" si="56"/>
        <v>0</v>
      </c>
      <c r="P74" s="115">
        <v>56304</v>
      </c>
      <c r="Q74" s="116" t="s">
        <v>342</v>
      </c>
      <c r="R74" s="719"/>
      <c r="S74" s="719"/>
      <c r="T74" s="719"/>
      <c r="U74" s="719"/>
      <c r="V74" s="719"/>
      <c r="W74" s="719"/>
      <c r="X74" s="719"/>
      <c r="Y74" s="732"/>
      <c r="Z74" s="719">
        <v>2500</v>
      </c>
      <c r="AA74" s="719"/>
      <c r="AB74" s="719"/>
      <c r="AC74" s="719"/>
      <c r="AD74" s="719"/>
      <c r="AE74" s="732"/>
      <c r="AF74" s="732"/>
      <c r="AG74" s="719"/>
      <c r="AH74" s="719"/>
      <c r="AI74" s="719"/>
      <c r="AJ74" s="597">
        <f t="shared" si="59"/>
        <v>2500</v>
      </c>
      <c r="AK74" s="203"/>
      <c r="AL74" s="578">
        <v>56304</v>
      </c>
      <c r="AM74" s="535" t="s">
        <v>342</v>
      </c>
      <c r="AN74" s="735"/>
      <c r="AO74" s="735"/>
      <c r="AP74" s="735"/>
      <c r="AQ74" s="735">
        <f t="shared" si="13"/>
        <v>0</v>
      </c>
      <c r="AS74" s="115">
        <v>56304</v>
      </c>
      <c r="AT74" s="652" t="s">
        <v>342</v>
      </c>
      <c r="AU74" s="724"/>
      <c r="AV74" s="724"/>
      <c r="AW74" s="724"/>
      <c r="AX74" s="724"/>
      <c r="AY74" s="724"/>
      <c r="AZ74" s="724"/>
      <c r="BA74" s="729"/>
      <c r="BB74" s="599">
        <f t="shared" si="23"/>
        <v>0</v>
      </c>
      <c r="BD74" s="1088">
        <f t="shared" si="61"/>
        <v>2500</v>
      </c>
      <c r="BE74" s="478"/>
    </row>
    <row r="75" spans="1:62" s="52" customFormat="1" ht="11.25" x14ac:dyDescent="0.2">
      <c r="A75" s="147">
        <v>56305</v>
      </c>
      <c r="B75" s="148" t="s">
        <v>343</v>
      </c>
      <c r="C75" s="721"/>
      <c r="D75" s="721"/>
      <c r="E75" s="721"/>
      <c r="F75" s="721"/>
      <c r="G75" s="721"/>
      <c r="H75" s="721"/>
      <c r="I75" s="721"/>
      <c r="J75" s="721"/>
      <c r="K75" s="721"/>
      <c r="L75" s="721"/>
      <c r="M75" s="721"/>
      <c r="N75" s="512">
        <f t="shared" si="56"/>
        <v>0</v>
      </c>
      <c r="P75" s="147">
        <v>56305</v>
      </c>
      <c r="Q75" s="148" t="s">
        <v>343</v>
      </c>
      <c r="R75" s="721"/>
      <c r="S75" s="721"/>
      <c r="T75" s="721"/>
      <c r="U75" s="721"/>
      <c r="V75" s="721"/>
      <c r="W75" s="721"/>
      <c r="X75" s="721"/>
      <c r="Y75" s="734"/>
      <c r="Z75" s="721">
        <f>Egre0304!C41</f>
        <v>73012.25</v>
      </c>
      <c r="AA75" s="721"/>
      <c r="AB75" s="721"/>
      <c r="AC75" s="721"/>
      <c r="AD75" s="721"/>
      <c r="AE75" s="734"/>
      <c r="AF75" s="734"/>
      <c r="AG75" s="721"/>
      <c r="AH75" s="721"/>
      <c r="AI75" s="721"/>
      <c r="AJ75" s="597">
        <f t="shared" si="59"/>
        <v>73012.25</v>
      </c>
      <c r="AK75" s="203"/>
      <c r="AL75" s="579">
        <v>56305</v>
      </c>
      <c r="AM75" s="540" t="s">
        <v>343</v>
      </c>
      <c r="AN75" s="738"/>
      <c r="AO75" s="738"/>
      <c r="AP75" s="738"/>
      <c r="AQ75" s="735">
        <f t="shared" si="13"/>
        <v>0</v>
      </c>
      <c r="AS75" s="147">
        <v>56305</v>
      </c>
      <c r="AT75" s="653" t="s">
        <v>343</v>
      </c>
      <c r="AU75" s="727"/>
      <c r="AV75" s="727"/>
      <c r="AW75" s="727"/>
      <c r="AX75" s="727"/>
      <c r="AY75" s="727"/>
      <c r="AZ75" s="727"/>
      <c r="BA75" s="731"/>
      <c r="BB75" s="599">
        <f t="shared" ref="BB75:BB82" si="62">SUM(AU75:BA75)</f>
        <v>0</v>
      </c>
      <c r="BD75" s="1088">
        <f t="shared" si="61"/>
        <v>73012.25</v>
      </c>
      <c r="BE75" s="502"/>
    </row>
    <row r="76" spans="1:62" s="52" customFormat="1" ht="11.25" x14ac:dyDescent="0.2">
      <c r="A76" s="267">
        <v>611</v>
      </c>
      <c r="B76" s="121" t="s">
        <v>403</v>
      </c>
      <c r="C76" s="719">
        <f t="shared" ref="C76:D76" si="63">SUM(C77:C81)</f>
        <v>0</v>
      </c>
      <c r="D76" s="719">
        <f t="shared" si="63"/>
        <v>3000</v>
      </c>
      <c r="E76" s="719">
        <f t="shared" ref="E76:L76" si="64">SUM(E77:E81)</f>
        <v>0</v>
      </c>
      <c r="F76" s="719">
        <f t="shared" si="64"/>
        <v>800</v>
      </c>
      <c r="G76" s="719">
        <f t="shared" si="64"/>
        <v>0</v>
      </c>
      <c r="H76" s="719">
        <f t="shared" si="64"/>
        <v>0</v>
      </c>
      <c r="I76" s="719">
        <f t="shared" si="64"/>
        <v>0</v>
      </c>
      <c r="J76" s="719">
        <f t="shared" si="64"/>
        <v>0</v>
      </c>
      <c r="K76" s="719">
        <f t="shared" si="64"/>
        <v>0</v>
      </c>
      <c r="L76" s="719">
        <f t="shared" si="64"/>
        <v>200</v>
      </c>
      <c r="M76" s="719">
        <f>SUM(M77:M81)</f>
        <v>30625</v>
      </c>
      <c r="N76" s="512">
        <f t="shared" si="56"/>
        <v>34625</v>
      </c>
      <c r="P76" s="267">
        <v>611</v>
      </c>
      <c r="Q76" s="121" t="s">
        <v>403</v>
      </c>
      <c r="R76" s="719">
        <f t="shared" ref="R76:AH76" si="65">SUM(R77:R81)</f>
        <v>1000</v>
      </c>
      <c r="S76" s="719">
        <f t="shared" si="65"/>
        <v>0</v>
      </c>
      <c r="T76" s="719">
        <f t="shared" si="65"/>
        <v>0</v>
      </c>
      <c r="U76" s="719">
        <f t="shared" si="65"/>
        <v>3500</v>
      </c>
      <c r="V76" s="719">
        <f t="shared" si="65"/>
        <v>150</v>
      </c>
      <c r="W76" s="719">
        <f t="shared" si="65"/>
        <v>2100</v>
      </c>
      <c r="X76" s="719">
        <f t="shared" si="65"/>
        <v>1000</v>
      </c>
      <c r="Y76" s="719">
        <f t="shared" si="65"/>
        <v>1050</v>
      </c>
      <c r="Z76" s="719">
        <f>SUM(Z77:Z81)</f>
        <v>2150</v>
      </c>
      <c r="AA76" s="719">
        <f>SUM(AA77:AA81)</f>
        <v>0</v>
      </c>
      <c r="AB76" s="719">
        <f t="shared" si="65"/>
        <v>0</v>
      </c>
      <c r="AC76" s="719">
        <f t="shared" si="65"/>
        <v>5000</v>
      </c>
      <c r="AD76" s="719">
        <f t="shared" si="65"/>
        <v>0</v>
      </c>
      <c r="AE76" s="723">
        <f>SUM(AE77:AE81)</f>
        <v>2000</v>
      </c>
      <c r="AF76" s="719">
        <f t="shared" si="65"/>
        <v>0</v>
      </c>
      <c r="AG76" s="719"/>
      <c r="AH76" s="719">
        <f t="shared" si="65"/>
        <v>0</v>
      </c>
      <c r="AI76" s="719"/>
      <c r="AJ76" s="597">
        <f t="shared" si="59"/>
        <v>17950</v>
      </c>
      <c r="AK76" s="203"/>
      <c r="AL76" s="577">
        <v>611</v>
      </c>
      <c r="AM76" s="533" t="s">
        <v>403</v>
      </c>
      <c r="AN76" s="737">
        <f>SUM(AN77:AN81)</f>
        <v>0</v>
      </c>
      <c r="AO76" s="737">
        <f>SUM(AO77:AO81)</f>
        <v>0</v>
      </c>
      <c r="AP76" s="737">
        <f>SUM(AP77:AP81)</f>
        <v>6985</v>
      </c>
      <c r="AQ76" s="737">
        <f>SUM(AQ77:AQ81)</f>
        <v>6985</v>
      </c>
      <c r="AS76" s="267">
        <v>611</v>
      </c>
      <c r="AT76" s="651" t="s">
        <v>403</v>
      </c>
      <c r="AU76" s="726">
        <f t="shared" ref="AU76:BA76" si="66">SUM(AU77:AU81)</f>
        <v>0</v>
      </c>
      <c r="AV76" s="726">
        <f t="shared" si="66"/>
        <v>0</v>
      </c>
      <c r="AW76" s="726">
        <f t="shared" si="66"/>
        <v>0</v>
      </c>
      <c r="AX76" s="726">
        <f t="shared" si="66"/>
        <v>1932</v>
      </c>
      <c r="AY76" s="726">
        <f t="shared" si="66"/>
        <v>490.34</v>
      </c>
      <c r="AZ76" s="726">
        <f t="shared" si="66"/>
        <v>0</v>
      </c>
      <c r="BA76" s="726">
        <f t="shared" si="66"/>
        <v>0</v>
      </c>
      <c r="BB76" s="599">
        <f t="shared" si="62"/>
        <v>2422.34</v>
      </c>
      <c r="BD76" s="1088">
        <f t="shared" si="61"/>
        <v>61982.34</v>
      </c>
      <c r="BE76" s="478"/>
      <c r="BI76" s="478">
        <f>Ingresos!E84</f>
        <v>4668295.88</v>
      </c>
      <c r="BJ76" s="52" t="s">
        <v>996</v>
      </c>
    </row>
    <row r="77" spans="1:62" s="52" customFormat="1" ht="11.25" x14ac:dyDescent="0.2">
      <c r="A77" s="115">
        <v>61101</v>
      </c>
      <c r="B77" s="116" t="s">
        <v>605</v>
      </c>
      <c r="C77" s="719"/>
      <c r="D77" s="719">
        <f>1000+1500</f>
        <v>2500</v>
      </c>
      <c r="E77" s="719"/>
      <c r="F77" s="719"/>
      <c r="G77" s="719"/>
      <c r="H77" s="719"/>
      <c r="I77" s="719"/>
      <c r="J77" s="719"/>
      <c r="K77" s="719"/>
      <c r="L77" s="719"/>
      <c r="M77" s="719"/>
      <c r="N77" s="512">
        <f t="shared" si="56"/>
        <v>2500</v>
      </c>
      <c r="P77" s="115">
        <v>61101</v>
      </c>
      <c r="Q77" s="116" t="s">
        <v>605</v>
      </c>
      <c r="R77" s="719"/>
      <c r="S77" s="719"/>
      <c r="T77" s="719"/>
      <c r="U77" s="719">
        <v>200</v>
      </c>
      <c r="V77" s="719">
        <v>150</v>
      </c>
      <c r="W77" s="719">
        <v>300</v>
      </c>
      <c r="X77" s="719"/>
      <c r="Y77" s="732">
        <v>250</v>
      </c>
      <c r="Z77" s="719"/>
      <c r="AA77" s="719"/>
      <c r="AB77" s="719"/>
      <c r="AC77" s="719"/>
      <c r="AD77" s="719"/>
      <c r="AE77" s="732">
        <v>2000</v>
      </c>
      <c r="AF77" s="732"/>
      <c r="AG77" s="719"/>
      <c r="AH77" s="719"/>
      <c r="AI77" s="719"/>
      <c r="AJ77" s="597">
        <f t="shared" si="59"/>
        <v>2900</v>
      </c>
      <c r="AK77" s="203"/>
      <c r="AL77" s="578">
        <v>61101</v>
      </c>
      <c r="AM77" s="535" t="s">
        <v>605</v>
      </c>
      <c r="AN77" s="735"/>
      <c r="AO77" s="735"/>
      <c r="AP77" s="735">
        <v>1000</v>
      </c>
      <c r="AQ77" s="735">
        <f>SUM(AN77:AP77)</f>
        <v>1000</v>
      </c>
      <c r="AS77" s="115">
        <v>61101</v>
      </c>
      <c r="AT77" s="652" t="s">
        <v>605</v>
      </c>
      <c r="AU77" s="724"/>
      <c r="AV77" s="724"/>
      <c r="AW77" s="724"/>
      <c r="AX77" s="724"/>
      <c r="AY77" s="724">
        <v>490.34</v>
      </c>
      <c r="AZ77" s="724"/>
      <c r="BA77" s="729"/>
      <c r="BB77" s="599">
        <f t="shared" si="62"/>
        <v>490.34</v>
      </c>
      <c r="BD77" s="1088">
        <f t="shared" si="61"/>
        <v>6890.34</v>
      </c>
      <c r="BE77" s="478"/>
      <c r="BI77" s="478">
        <f>BI86</f>
        <v>1498974.5499999998</v>
      </c>
      <c r="BJ77" s="52" t="s">
        <v>997</v>
      </c>
    </row>
    <row r="78" spans="1:62" s="52" customFormat="1" ht="11.25" x14ac:dyDescent="0.2">
      <c r="A78" s="115">
        <v>61102</v>
      </c>
      <c r="B78" s="116" t="s">
        <v>606</v>
      </c>
      <c r="C78" s="719"/>
      <c r="D78" s="719"/>
      <c r="E78" s="719"/>
      <c r="F78" s="719"/>
      <c r="G78" s="719"/>
      <c r="H78" s="719"/>
      <c r="I78" s="719"/>
      <c r="J78" s="719"/>
      <c r="K78" s="719"/>
      <c r="L78" s="719"/>
      <c r="M78" s="719"/>
      <c r="N78" s="512">
        <f t="shared" si="56"/>
        <v>0</v>
      </c>
      <c r="P78" s="115">
        <v>61102</v>
      </c>
      <c r="Q78" s="116" t="s">
        <v>606</v>
      </c>
      <c r="R78" s="719"/>
      <c r="S78" s="719"/>
      <c r="T78" s="719"/>
      <c r="U78" s="719"/>
      <c r="V78" s="719"/>
      <c r="W78" s="719"/>
      <c r="X78" s="719"/>
      <c r="Y78" s="732"/>
      <c r="Z78" s="719"/>
      <c r="AA78" s="719"/>
      <c r="AB78" s="719"/>
      <c r="AC78" s="719"/>
      <c r="AD78" s="719"/>
      <c r="AE78" s="732"/>
      <c r="AF78" s="732"/>
      <c r="AG78" s="719"/>
      <c r="AH78" s="719"/>
      <c r="AI78" s="719"/>
      <c r="AJ78" s="597">
        <f t="shared" si="59"/>
        <v>0</v>
      </c>
      <c r="AK78" s="203"/>
      <c r="AL78" s="578">
        <v>61102</v>
      </c>
      <c r="AM78" s="535" t="s">
        <v>606</v>
      </c>
      <c r="AN78" s="735"/>
      <c r="AO78" s="735"/>
      <c r="AP78" s="735"/>
      <c r="AQ78" s="735">
        <f>SUM(AN78:AP78)</f>
        <v>0</v>
      </c>
      <c r="AS78" s="115">
        <v>61102</v>
      </c>
      <c r="AT78" s="652" t="s">
        <v>606</v>
      </c>
      <c r="AU78" s="724"/>
      <c r="AV78" s="724"/>
      <c r="AW78" s="724"/>
      <c r="AX78" s="724"/>
      <c r="AY78" s="724"/>
      <c r="AZ78" s="724"/>
      <c r="BA78" s="729"/>
      <c r="BB78" s="599">
        <f t="shared" si="62"/>
        <v>0</v>
      </c>
      <c r="BD78" s="1088">
        <f t="shared" si="61"/>
        <v>0</v>
      </c>
      <c r="BE78" s="478"/>
      <c r="BI78" s="1095">
        <f>BI76-BI77</f>
        <v>3169321.33</v>
      </c>
      <c r="BJ78" s="52" t="s">
        <v>998</v>
      </c>
    </row>
    <row r="79" spans="1:62" s="52" customFormat="1" ht="11.25" x14ac:dyDescent="0.2">
      <c r="A79" s="147">
        <v>61105</v>
      </c>
      <c r="B79" s="148" t="s">
        <v>785</v>
      </c>
      <c r="C79" s="721"/>
      <c r="D79" s="721"/>
      <c r="E79" s="721"/>
      <c r="F79" s="721"/>
      <c r="G79" s="721"/>
      <c r="H79" s="721"/>
      <c r="I79" s="721"/>
      <c r="J79" s="721"/>
      <c r="K79" s="721"/>
      <c r="L79" s="721"/>
      <c r="M79" s="721"/>
      <c r="N79" s="512">
        <f t="shared" si="56"/>
        <v>0</v>
      </c>
      <c r="P79" s="147">
        <v>61105</v>
      </c>
      <c r="Q79" s="148" t="s">
        <v>785</v>
      </c>
      <c r="R79" s="721"/>
      <c r="S79" s="721"/>
      <c r="T79" s="721"/>
      <c r="U79" s="721"/>
      <c r="V79" s="721"/>
      <c r="W79" s="721"/>
      <c r="X79" s="721"/>
      <c r="Y79" s="734"/>
      <c r="Z79" s="721"/>
      <c r="AA79" s="721"/>
      <c r="AB79" s="721"/>
      <c r="AC79" s="721"/>
      <c r="AD79" s="721"/>
      <c r="AE79" s="734"/>
      <c r="AF79" s="734"/>
      <c r="AG79" s="721"/>
      <c r="AH79" s="721"/>
      <c r="AI79" s="721"/>
      <c r="AJ79" s="597">
        <f t="shared" si="59"/>
        <v>0</v>
      </c>
      <c r="AK79" s="203"/>
      <c r="AL79" s="579">
        <v>61105</v>
      </c>
      <c r="AM79" s="540" t="s">
        <v>785</v>
      </c>
      <c r="AN79" s="738"/>
      <c r="AO79" s="738"/>
      <c r="AP79" s="738"/>
      <c r="AQ79" s="735"/>
      <c r="AS79" s="147">
        <v>61105</v>
      </c>
      <c r="AT79" s="653" t="s">
        <v>785</v>
      </c>
      <c r="AU79" s="727"/>
      <c r="AV79" s="727"/>
      <c r="AW79" s="727"/>
      <c r="AX79" s="727"/>
      <c r="AY79" s="727"/>
      <c r="AZ79" s="727"/>
      <c r="BA79" s="731"/>
      <c r="BB79" s="599">
        <f t="shared" si="62"/>
        <v>0</v>
      </c>
      <c r="BD79" s="1088">
        <f t="shared" si="61"/>
        <v>0</v>
      </c>
      <c r="BE79" s="478"/>
      <c r="BF79" s="1094"/>
      <c r="BI79" s="478">
        <f>BI91</f>
        <v>1895512.13</v>
      </c>
      <c r="BJ79" s="52" t="s">
        <v>999</v>
      </c>
    </row>
    <row r="80" spans="1:62" s="52" customFormat="1" ht="11.25" x14ac:dyDescent="0.2">
      <c r="A80" s="147">
        <v>61104</v>
      </c>
      <c r="B80" s="148" t="s">
        <v>607</v>
      </c>
      <c r="C80" s="721"/>
      <c r="D80" s="721"/>
      <c r="E80" s="721"/>
      <c r="F80" s="721">
        <v>800</v>
      </c>
      <c r="G80" s="721"/>
      <c r="H80" s="721"/>
      <c r="I80" s="721"/>
      <c r="J80" s="719"/>
      <c r="K80" s="721"/>
      <c r="L80" s="721">
        <v>200</v>
      </c>
      <c r="M80" s="721">
        <v>30000</v>
      </c>
      <c r="N80" s="512">
        <f t="shared" si="56"/>
        <v>31000</v>
      </c>
      <c r="P80" s="147">
        <v>61104</v>
      </c>
      <c r="Q80" s="148" t="s">
        <v>607</v>
      </c>
      <c r="R80" s="721">
        <v>1000</v>
      </c>
      <c r="S80" s="721"/>
      <c r="T80" s="721"/>
      <c r="U80" s="721">
        <v>3300</v>
      </c>
      <c r="V80" s="721"/>
      <c r="W80" s="721">
        <v>1800</v>
      </c>
      <c r="X80" s="721">
        <v>1000</v>
      </c>
      <c r="Y80" s="734">
        <v>800</v>
      </c>
      <c r="Z80" s="721">
        <v>1350</v>
      </c>
      <c r="AA80" s="721"/>
      <c r="AB80" s="721"/>
      <c r="AC80" s="721"/>
      <c r="AD80" s="721"/>
      <c r="AE80" s="734"/>
      <c r="AF80" s="734"/>
      <c r="AG80" s="721"/>
      <c r="AH80" s="721"/>
      <c r="AI80" s="721"/>
      <c r="AJ80" s="597">
        <f t="shared" si="59"/>
        <v>9250</v>
      </c>
      <c r="AK80" s="203"/>
      <c r="AL80" s="579">
        <v>61104</v>
      </c>
      <c r="AM80" s="540" t="s">
        <v>607</v>
      </c>
      <c r="AN80" s="738"/>
      <c r="AO80" s="738"/>
      <c r="AP80" s="738">
        <v>4000</v>
      </c>
      <c r="AQ80" s="735">
        <f>SUM(AN80:AP80)</f>
        <v>4000</v>
      </c>
      <c r="AS80" s="147">
        <v>61104</v>
      </c>
      <c r="AT80" s="653" t="s">
        <v>607</v>
      </c>
      <c r="AU80" s="727"/>
      <c r="AV80" s="727"/>
      <c r="AW80" s="727"/>
      <c r="AX80" s="727">
        <v>1932</v>
      </c>
      <c r="AY80" s="727"/>
      <c r="AZ80" s="727"/>
      <c r="BA80" s="731"/>
      <c r="BB80" s="599">
        <f t="shared" si="62"/>
        <v>1932</v>
      </c>
      <c r="BD80" s="1088">
        <f t="shared" si="61"/>
        <v>46182</v>
      </c>
      <c r="BE80" s="502"/>
      <c r="BF80" s="1094"/>
      <c r="BI80" s="1095">
        <f>BI78-BI79</f>
        <v>1273809.2000000002</v>
      </c>
      <c r="BJ80" s="52" t="s">
        <v>1000</v>
      </c>
    </row>
    <row r="81" spans="1:62" s="52" customFormat="1" ht="11.25" x14ac:dyDescent="0.2">
      <c r="A81" s="117">
        <v>61199</v>
      </c>
      <c r="B81" s="116" t="s">
        <v>608</v>
      </c>
      <c r="C81" s="719"/>
      <c r="D81" s="719">
        <v>500</v>
      </c>
      <c r="E81" s="719"/>
      <c r="F81" s="719"/>
      <c r="G81" s="719"/>
      <c r="H81" s="719"/>
      <c r="I81" s="719"/>
      <c r="J81" s="719"/>
      <c r="K81" s="719"/>
      <c r="L81" s="719"/>
      <c r="M81" s="719">
        <v>625</v>
      </c>
      <c r="N81" s="512">
        <f t="shared" si="56"/>
        <v>1125</v>
      </c>
      <c r="P81" s="117">
        <v>61199</v>
      </c>
      <c r="Q81" s="116" t="s">
        <v>608</v>
      </c>
      <c r="R81" s="719"/>
      <c r="S81" s="719"/>
      <c r="T81" s="719"/>
      <c r="U81" s="719"/>
      <c r="V81" s="719"/>
      <c r="W81" s="719"/>
      <c r="X81" s="719"/>
      <c r="Y81" s="719"/>
      <c r="Z81" s="719">
        <v>800</v>
      </c>
      <c r="AA81" s="719"/>
      <c r="AB81" s="719"/>
      <c r="AC81" s="719">
        <v>5000</v>
      </c>
      <c r="AD81" s="719"/>
      <c r="AE81" s="719"/>
      <c r="AF81" s="719"/>
      <c r="AG81" s="719"/>
      <c r="AH81" s="719"/>
      <c r="AI81" s="719"/>
      <c r="AJ81" s="597">
        <f t="shared" si="59"/>
        <v>5800</v>
      </c>
      <c r="AK81" s="203"/>
      <c r="AL81" s="739">
        <v>61199</v>
      </c>
      <c r="AM81" s="535" t="s">
        <v>608</v>
      </c>
      <c r="AN81" s="735"/>
      <c r="AO81" s="735"/>
      <c r="AP81" s="735">
        <v>1985</v>
      </c>
      <c r="AQ81" s="735">
        <f t="shared" ref="AQ81:AQ82" si="67">SUM(AN81:AP81)</f>
        <v>1985</v>
      </c>
      <c r="AS81" s="117">
        <v>61199</v>
      </c>
      <c r="AT81" s="652" t="s">
        <v>608</v>
      </c>
      <c r="AU81" s="724"/>
      <c r="AV81" s="724"/>
      <c r="AW81" s="724"/>
      <c r="AX81" s="724"/>
      <c r="AY81" s="724"/>
      <c r="AZ81" s="724"/>
      <c r="BA81" s="724"/>
      <c r="BB81" s="597">
        <f t="shared" si="62"/>
        <v>0</v>
      </c>
      <c r="BD81" s="1088">
        <f t="shared" si="61"/>
        <v>8910</v>
      </c>
      <c r="BE81" s="502"/>
      <c r="BI81" s="478">
        <f>Egre0304!H66</f>
        <v>524421.19999999995</v>
      </c>
      <c r="BJ81" s="52" t="s">
        <v>1001</v>
      </c>
    </row>
    <row r="82" spans="1:62" s="52" customFormat="1" ht="11.25" x14ac:dyDescent="0.2">
      <c r="A82" s="117">
        <v>61403</v>
      </c>
      <c r="B82" s="116" t="s">
        <v>764</v>
      </c>
      <c r="C82" s="719"/>
      <c r="D82" s="719"/>
      <c r="E82" s="719"/>
      <c r="F82" s="719"/>
      <c r="G82" s="719"/>
      <c r="H82" s="719"/>
      <c r="I82" s="719"/>
      <c r="J82" s="719"/>
      <c r="K82" s="719"/>
      <c r="L82" s="719"/>
      <c r="M82" s="719">
        <v>25000</v>
      </c>
      <c r="N82" s="512">
        <f t="shared" si="56"/>
        <v>25000</v>
      </c>
      <c r="P82" s="117">
        <v>61403</v>
      </c>
      <c r="Q82" s="116" t="s">
        <v>764</v>
      </c>
      <c r="R82" s="719"/>
      <c r="S82" s="719"/>
      <c r="T82" s="719"/>
      <c r="U82" s="719"/>
      <c r="V82" s="719"/>
      <c r="W82" s="719"/>
      <c r="X82" s="719"/>
      <c r="Y82" s="719"/>
      <c r="Z82" s="719"/>
      <c r="AA82" s="719"/>
      <c r="AB82" s="719"/>
      <c r="AC82" s="719"/>
      <c r="AD82" s="719"/>
      <c r="AE82" s="719"/>
      <c r="AF82" s="719"/>
      <c r="AG82" s="719"/>
      <c r="AH82" s="719"/>
      <c r="AI82" s="719"/>
      <c r="AJ82" s="597">
        <f t="shared" si="59"/>
        <v>0</v>
      </c>
      <c r="AK82" s="203"/>
      <c r="AL82" s="739">
        <v>61403</v>
      </c>
      <c r="AM82" s="535" t="s">
        <v>764</v>
      </c>
      <c r="AN82" s="735"/>
      <c r="AO82" s="735"/>
      <c r="AP82" s="735"/>
      <c r="AQ82" s="735">
        <f t="shared" si="67"/>
        <v>0</v>
      </c>
      <c r="AS82" s="117">
        <v>61403</v>
      </c>
      <c r="AT82" s="652" t="s">
        <v>764</v>
      </c>
      <c r="AU82" s="724"/>
      <c r="AV82" s="724"/>
      <c r="AW82" s="724"/>
      <c r="AX82" s="724"/>
      <c r="AY82" s="724"/>
      <c r="AZ82" s="724"/>
      <c r="BA82" s="724"/>
      <c r="BB82" s="597">
        <f t="shared" si="62"/>
        <v>0</v>
      </c>
      <c r="BD82" s="1088">
        <f t="shared" si="61"/>
        <v>25000</v>
      </c>
      <c r="BE82" s="502"/>
      <c r="BI82" s="478">
        <f>Egre0304!H113</f>
        <v>749388</v>
      </c>
      <c r="BJ82" s="52" t="s">
        <v>930</v>
      </c>
    </row>
    <row r="83" spans="1:62" s="52" customFormat="1" ht="11.25" x14ac:dyDescent="0.2">
      <c r="A83" s="967">
        <v>721</v>
      </c>
      <c r="B83" s="968" t="s">
        <v>801</v>
      </c>
      <c r="C83" s="723">
        <f>SUM(C84)</f>
        <v>58973.4</v>
      </c>
      <c r="D83" s="719"/>
      <c r="E83" s="719"/>
      <c r="F83" s="719"/>
      <c r="G83" s="719"/>
      <c r="H83" s="719"/>
      <c r="I83" s="719"/>
      <c r="J83" s="719"/>
      <c r="K83" s="719"/>
      <c r="L83" s="719"/>
      <c r="M83" s="719"/>
      <c r="N83" s="512">
        <f t="shared" si="56"/>
        <v>58973.4</v>
      </c>
      <c r="P83" s="117"/>
      <c r="Q83" s="116"/>
      <c r="R83" s="719"/>
      <c r="S83" s="719"/>
      <c r="T83" s="719"/>
      <c r="U83" s="719"/>
      <c r="V83" s="719"/>
      <c r="W83" s="719"/>
      <c r="X83" s="719"/>
      <c r="Y83" s="719"/>
      <c r="Z83" s="719"/>
      <c r="AA83" s="719"/>
      <c r="AB83" s="719"/>
      <c r="AC83" s="719"/>
      <c r="AD83" s="719"/>
      <c r="AE83" s="719"/>
      <c r="AF83" s="719"/>
      <c r="AG83" s="719"/>
      <c r="AH83" s="719"/>
      <c r="AI83" s="719"/>
      <c r="AJ83" s="597">
        <f t="shared" si="59"/>
        <v>0</v>
      </c>
      <c r="AK83" s="203"/>
      <c r="AL83" s="739"/>
      <c r="AM83" s="535"/>
      <c r="AN83" s="735"/>
      <c r="AO83" s="735"/>
      <c r="AP83" s="735"/>
      <c r="AQ83" s="735"/>
      <c r="AS83" s="117"/>
      <c r="AT83" s="652"/>
      <c r="AU83" s="724"/>
      <c r="AV83" s="724"/>
      <c r="AW83" s="724"/>
      <c r="AX83" s="724"/>
      <c r="AY83" s="724"/>
      <c r="AZ83" s="724"/>
      <c r="BA83" s="724"/>
      <c r="BB83" s="597"/>
      <c r="BD83" s="1088">
        <f t="shared" si="61"/>
        <v>58973.4</v>
      </c>
      <c r="BE83" s="502"/>
      <c r="BG83" s="1094">
        <f>BH83-BI83</f>
        <v>0</v>
      </c>
      <c r="BH83" s="52">
        <f>ResCE!C37</f>
        <v>0</v>
      </c>
      <c r="BI83" s="1094">
        <f>BI80-BI81-BI82</f>
        <v>0</v>
      </c>
    </row>
    <row r="84" spans="1:62" s="52" customFormat="1" ht="11.25" x14ac:dyDescent="0.2">
      <c r="A84" s="739">
        <v>72101</v>
      </c>
      <c r="B84" s="969" t="s">
        <v>801</v>
      </c>
      <c r="C84" s="719">
        <v>58973.4</v>
      </c>
      <c r="D84" s="719"/>
      <c r="E84" s="719"/>
      <c r="F84" s="719"/>
      <c r="G84" s="719"/>
      <c r="H84" s="719"/>
      <c r="I84" s="719"/>
      <c r="J84" s="719"/>
      <c r="K84" s="719"/>
      <c r="L84" s="719"/>
      <c r="M84" s="719"/>
      <c r="N84" s="512">
        <f t="shared" si="56"/>
        <v>58973.4</v>
      </c>
      <c r="P84" s="117"/>
      <c r="Q84" s="116"/>
      <c r="R84" s="719"/>
      <c r="S84" s="719"/>
      <c r="T84" s="719"/>
      <c r="U84" s="719"/>
      <c r="V84" s="719"/>
      <c r="W84" s="719"/>
      <c r="X84" s="719"/>
      <c r="Y84" s="719"/>
      <c r="Z84" s="719"/>
      <c r="AA84" s="719"/>
      <c r="AB84" s="719"/>
      <c r="AC84" s="719"/>
      <c r="AD84" s="719"/>
      <c r="AE84" s="719"/>
      <c r="AF84" s="719"/>
      <c r="AG84" s="719"/>
      <c r="AH84" s="719"/>
      <c r="AI84" s="719"/>
      <c r="AJ84" s="597">
        <f t="shared" si="59"/>
        <v>0</v>
      </c>
      <c r="AK84" s="203"/>
      <c r="AL84" s="739"/>
      <c r="AM84" s="535"/>
      <c r="AN84" s="735"/>
      <c r="AO84" s="735"/>
      <c r="AP84" s="735"/>
      <c r="AQ84" s="735"/>
      <c r="AS84" s="117"/>
      <c r="AT84" s="652"/>
      <c r="AU84" s="724"/>
      <c r="AV84" s="724"/>
      <c r="AW84" s="724"/>
      <c r="AX84" s="724"/>
      <c r="AY84" s="724"/>
      <c r="AZ84" s="724"/>
      <c r="BA84" s="724"/>
      <c r="BB84" s="597"/>
      <c r="BD84" s="1088">
        <f t="shared" si="61"/>
        <v>58973.4</v>
      </c>
      <c r="BE84" s="502"/>
    </row>
    <row r="85" spans="1:62" s="52" customFormat="1" ht="22.5" x14ac:dyDescent="0.2">
      <c r="A85" s="967">
        <v>722</v>
      </c>
      <c r="B85" s="968" t="s">
        <v>810</v>
      </c>
      <c r="C85" s="719">
        <f>SUM(C86)</f>
        <v>0</v>
      </c>
      <c r="D85" s="719"/>
      <c r="E85" s="719"/>
      <c r="F85" s="719"/>
      <c r="G85" s="719"/>
      <c r="H85" s="719"/>
      <c r="I85" s="719"/>
      <c r="J85" s="719"/>
      <c r="K85" s="719"/>
      <c r="L85" s="719"/>
      <c r="M85" s="719"/>
      <c r="N85" s="512">
        <f t="shared" si="56"/>
        <v>0</v>
      </c>
      <c r="P85" s="117"/>
      <c r="Q85" s="116"/>
      <c r="R85" s="719"/>
      <c r="S85" s="719"/>
      <c r="T85" s="719"/>
      <c r="U85" s="719"/>
      <c r="V85" s="719"/>
      <c r="W85" s="719"/>
      <c r="X85" s="719"/>
      <c r="Y85" s="719"/>
      <c r="Z85" s="719"/>
      <c r="AA85" s="719"/>
      <c r="AB85" s="719"/>
      <c r="AC85" s="719"/>
      <c r="AD85" s="719"/>
      <c r="AE85" s="719"/>
      <c r="AF85" s="719"/>
      <c r="AG85" s="719"/>
      <c r="AH85" s="719"/>
      <c r="AI85" s="719"/>
      <c r="AJ85" s="597">
        <f t="shared" si="59"/>
        <v>0</v>
      </c>
      <c r="AK85" s="203"/>
      <c r="AL85" s="739"/>
      <c r="AM85" s="535"/>
      <c r="AN85" s="735"/>
      <c r="AO85" s="735"/>
      <c r="AP85" s="735"/>
      <c r="AQ85" s="735"/>
      <c r="AS85" s="117"/>
      <c r="AT85" s="652"/>
      <c r="AU85" s="724"/>
      <c r="AV85" s="724"/>
      <c r="AW85" s="724"/>
      <c r="AX85" s="724"/>
      <c r="AY85" s="724"/>
      <c r="AZ85" s="724"/>
      <c r="BA85" s="724"/>
      <c r="BB85" s="597"/>
      <c r="BD85" s="1088">
        <f t="shared" si="61"/>
        <v>0</v>
      </c>
      <c r="BE85" s="502"/>
    </row>
    <row r="86" spans="1:62" s="52" customFormat="1" ht="12" thickBot="1" x14ac:dyDescent="0.25">
      <c r="A86" s="739">
        <v>72201</v>
      </c>
      <c r="B86" s="969" t="s">
        <v>810</v>
      </c>
      <c r="C86" s="906"/>
      <c r="D86" s="906"/>
      <c r="E86" s="906"/>
      <c r="F86" s="906"/>
      <c r="G86" s="906"/>
      <c r="H86" s="906"/>
      <c r="I86" s="906"/>
      <c r="J86" s="906"/>
      <c r="K86" s="906"/>
      <c r="L86" s="906"/>
      <c r="M86" s="906"/>
      <c r="N86" s="512">
        <f t="shared" si="56"/>
        <v>0</v>
      </c>
      <c r="P86" s="284"/>
      <c r="Q86" s="81"/>
      <c r="R86" s="906"/>
      <c r="S86" s="906"/>
      <c r="T86" s="906"/>
      <c r="U86" s="906"/>
      <c r="V86" s="906"/>
      <c r="W86" s="906"/>
      <c r="X86" s="906"/>
      <c r="Y86" s="907"/>
      <c r="Z86" s="906"/>
      <c r="AA86" s="906"/>
      <c r="AB86" s="906"/>
      <c r="AC86" s="906"/>
      <c r="AD86" s="906"/>
      <c r="AE86" s="907"/>
      <c r="AF86" s="907"/>
      <c r="AG86" s="906"/>
      <c r="AH86" s="906"/>
      <c r="AI86" s="906"/>
      <c r="AJ86" s="597">
        <f t="shared" si="59"/>
        <v>0</v>
      </c>
      <c r="AK86" s="203"/>
      <c r="AL86" s="888"/>
      <c r="AM86" s="889"/>
      <c r="AN86" s="908"/>
      <c r="AO86" s="908"/>
      <c r="AP86" s="908"/>
      <c r="AQ86" s="970"/>
      <c r="AS86" s="284"/>
      <c r="AT86" s="909"/>
      <c r="AU86" s="910"/>
      <c r="AV86" s="910"/>
      <c r="AW86" s="910"/>
      <c r="AX86" s="910"/>
      <c r="AY86" s="910"/>
      <c r="AZ86" s="910"/>
      <c r="BA86" s="911"/>
      <c r="BB86" s="971"/>
      <c r="BD86" s="1088">
        <f t="shared" si="61"/>
        <v>0</v>
      </c>
      <c r="BE86" s="502"/>
      <c r="BI86" s="878">
        <f>BI90+BI94</f>
        <v>1498974.5499999998</v>
      </c>
    </row>
    <row r="87" spans="1:62" s="52" customFormat="1" ht="12" thickBot="1" x14ac:dyDescent="0.25">
      <c r="A87" s="271"/>
      <c r="B87" s="272" t="s">
        <v>130</v>
      </c>
      <c r="C87" s="575">
        <f t="shared" ref="C87:N87" si="68">+C69+C60+C7+C76+C82+C83+C85</f>
        <v>272968.45</v>
      </c>
      <c r="D87" s="575">
        <f t="shared" si="68"/>
        <v>16193.220000000001</v>
      </c>
      <c r="E87" s="575">
        <f t="shared" si="68"/>
        <v>1000</v>
      </c>
      <c r="F87" s="575">
        <f t="shared" si="68"/>
        <v>1535</v>
      </c>
      <c r="G87" s="575">
        <f t="shared" si="68"/>
        <v>6200</v>
      </c>
      <c r="H87" s="575">
        <f t="shared" si="68"/>
        <v>4300</v>
      </c>
      <c r="I87" s="575">
        <f t="shared" si="68"/>
        <v>500</v>
      </c>
      <c r="J87" s="575">
        <f t="shared" si="68"/>
        <v>16522.900000000001</v>
      </c>
      <c r="K87" s="575">
        <f t="shared" si="68"/>
        <v>1000</v>
      </c>
      <c r="L87" s="575">
        <f t="shared" si="68"/>
        <v>640</v>
      </c>
      <c r="M87" s="575">
        <f t="shared" si="68"/>
        <v>65563</v>
      </c>
      <c r="N87" s="575">
        <f t="shared" si="68"/>
        <v>386422.57</v>
      </c>
      <c r="O87" s="636">
        <f>SUM(C87:M87)</f>
        <v>386422.57000000007</v>
      </c>
      <c r="P87" s="271"/>
      <c r="Q87" s="272" t="s">
        <v>130</v>
      </c>
      <c r="R87" s="575">
        <f>+R69+R60+R7+R76+R82</f>
        <v>1000</v>
      </c>
      <c r="S87" s="575">
        <f t="shared" ref="S87:AG87" si="69">+S69+S60+S7+S76+S82</f>
        <v>10000</v>
      </c>
      <c r="T87" s="575">
        <f>+T69+T60+T7+T76+T82</f>
        <v>1000</v>
      </c>
      <c r="U87" s="575">
        <f t="shared" si="69"/>
        <v>30150</v>
      </c>
      <c r="V87" s="575">
        <f>+V69+V60+V7+V76+V82</f>
        <v>32666</v>
      </c>
      <c r="W87" s="575">
        <f t="shared" si="69"/>
        <v>2100</v>
      </c>
      <c r="X87" s="575">
        <f t="shared" si="69"/>
        <v>2560</v>
      </c>
      <c r="Y87" s="575">
        <f t="shared" si="69"/>
        <v>25730</v>
      </c>
      <c r="Z87" s="575">
        <f t="shared" si="69"/>
        <v>196662.25</v>
      </c>
      <c r="AA87" s="575">
        <f t="shared" si="69"/>
        <v>900</v>
      </c>
      <c r="AB87" s="575">
        <f t="shared" si="69"/>
        <v>0</v>
      </c>
      <c r="AC87" s="575">
        <f t="shared" si="69"/>
        <v>59200</v>
      </c>
      <c r="AD87" s="575">
        <f t="shared" si="69"/>
        <v>12600</v>
      </c>
      <c r="AE87" s="575">
        <f t="shared" si="69"/>
        <v>37150</v>
      </c>
      <c r="AF87" s="575">
        <f>+AF69+AF60+AF7+AF76+AF82</f>
        <v>24760</v>
      </c>
      <c r="AG87" s="575">
        <f t="shared" si="69"/>
        <v>0</v>
      </c>
      <c r="AH87" s="575">
        <f>+AH69+AH60+AH7+AH76+AH82</f>
        <v>0</v>
      </c>
      <c r="AI87" s="575">
        <f>+AI69+AI60+AI7+AI76+AI82</f>
        <v>965</v>
      </c>
      <c r="AJ87" s="575">
        <f>+AJ69+AJ60+AJ7+AJ76+AJ82</f>
        <v>437443.25</v>
      </c>
      <c r="AK87" s="270"/>
      <c r="AL87" s="647"/>
      <c r="AM87" s="648" t="s">
        <v>130</v>
      </c>
      <c r="AN87" s="649">
        <f>+AN69+AN60+AN7+AN76+AN82</f>
        <v>110000</v>
      </c>
      <c r="AO87" s="649">
        <f>+AO69+AO60+AO7+AO76+AO82</f>
        <v>14500</v>
      </c>
      <c r="AP87" s="649">
        <f>+AP69+AP60+AP7+AP76+AP82</f>
        <v>11454.9</v>
      </c>
      <c r="AQ87" s="649">
        <f>+AQ69+AQ60+AQ7+AQ76+AQ82</f>
        <v>135954.9</v>
      </c>
      <c r="AR87" s="502">
        <f>SUM(AN87:AP87)</f>
        <v>135954.9</v>
      </c>
      <c r="AS87" s="271"/>
      <c r="AT87" s="654" t="s">
        <v>130</v>
      </c>
      <c r="AU87" s="655">
        <f t="shared" ref="AU87:BA87" si="70">+AU69+AU60+AU7+AU76+AU82</f>
        <v>3362.5</v>
      </c>
      <c r="AV87" s="655">
        <f t="shared" si="70"/>
        <v>0</v>
      </c>
      <c r="AW87" s="655">
        <f t="shared" si="70"/>
        <v>111576</v>
      </c>
      <c r="AX87" s="655">
        <f t="shared" si="70"/>
        <v>428497.56</v>
      </c>
      <c r="AY87" s="655">
        <f t="shared" si="70"/>
        <v>49490.02</v>
      </c>
      <c r="AZ87" s="655">
        <f t="shared" si="70"/>
        <v>5800</v>
      </c>
      <c r="BA87" s="655">
        <f t="shared" si="70"/>
        <v>15340</v>
      </c>
      <c r="BB87" s="655">
        <f>+BB69+BB60+BB7+BB76+BB82</f>
        <v>614066.08000000007</v>
      </c>
      <c r="BC87" s="114">
        <f>SUM(AU87:BA87)</f>
        <v>614066.08000000007</v>
      </c>
      <c r="BD87" s="1088">
        <f t="shared" si="61"/>
        <v>1573886.8</v>
      </c>
      <c r="BE87" s="321"/>
      <c r="BF87" s="268"/>
      <c r="BG87" s="478"/>
      <c r="BI87" s="268"/>
    </row>
    <row r="88" spans="1:62" s="52" customFormat="1" ht="12" thickTop="1" x14ac:dyDescent="0.2">
      <c r="B88" s="142"/>
      <c r="C88" s="270"/>
      <c r="D88" s="270"/>
      <c r="E88" s="270"/>
      <c r="F88" s="270"/>
      <c r="G88" s="270"/>
      <c r="H88" s="270"/>
      <c r="I88" s="270"/>
      <c r="J88" s="270"/>
      <c r="K88" s="270"/>
      <c r="L88" s="270"/>
      <c r="M88" s="270"/>
      <c r="N88" s="270"/>
      <c r="O88" s="270"/>
      <c r="Q88" s="142"/>
      <c r="R88" s="270"/>
      <c r="S88" s="270"/>
      <c r="T88" s="270"/>
      <c r="U88" s="270"/>
      <c r="V88" s="270"/>
      <c r="W88" s="270"/>
      <c r="X88" s="270"/>
      <c r="Y88" s="270"/>
      <c r="Z88" s="270"/>
      <c r="AA88" s="270"/>
      <c r="AB88" s="270"/>
      <c r="AC88" s="270"/>
      <c r="AD88" s="270"/>
      <c r="AE88" s="270"/>
      <c r="AF88" s="270"/>
      <c r="AG88" s="270"/>
      <c r="AH88" s="270"/>
      <c r="AI88" s="270"/>
      <c r="AJ88" s="270"/>
      <c r="AK88" s="270">
        <f>SUM(R87:AI87)</f>
        <v>437443.25</v>
      </c>
      <c r="AW88" s="114"/>
      <c r="BC88" s="874">
        <f>BC87+AR87+AK87+O87</f>
        <v>1136443.5500000003</v>
      </c>
      <c r="BD88" s="1088"/>
      <c r="BE88" s="874"/>
      <c r="BI88" s="1094"/>
    </row>
    <row r="89" spans="1:62" s="52" customFormat="1" ht="11.25" x14ac:dyDescent="0.2">
      <c r="B89" s="142"/>
      <c r="C89" s="270"/>
      <c r="D89" s="270"/>
      <c r="E89" s="270"/>
      <c r="F89" s="270"/>
      <c r="G89" s="270"/>
      <c r="H89" s="270"/>
      <c r="I89" s="270"/>
      <c r="J89" s="270"/>
      <c r="K89" s="270"/>
      <c r="L89" s="270"/>
      <c r="M89" s="270"/>
      <c r="N89" s="270"/>
      <c r="O89" s="270"/>
      <c r="R89" s="270"/>
      <c r="S89" s="270"/>
      <c r="AU89" s="637">
        <f t="shared" ref="AU89:BA89" si="71">AU87-AU178-AU268</f>
        <v>0</v>
      </c>
      <c r="AV89" s="637">
        <f t="shared" si="71"/>
        <v>0</v>
      </c>
      <c r="AW89" s="114">
        <f t="shared" si="71"/>
        <v>0</v>
      </c>
      <c r="AX89" s="637">
        <f t="shared" si="71"/>
        <v>0</v>
      </c>
      <c r="AY89" s="637">
        <f t="shared" si="71"/>
        <v>0</v>
      </c>
      <c r="AZ89" s="637">
        <f t="shared" si="71"/>
        <v>0</v>
      </c>
      <c r="BA89" s="637">
        <f t="shared" si="71"/>
        <v>0</v>
      </c>
      <c r="BB89" s="637">
        <f>BB87-BB178-BB268</f>
        <v>0</v>
      </c>
      <c r="BC89" s="874"/>
      <c r="BD89" s="1088"/>
    </row>
    <row r="90" spans="1:62" s="52" customFormat="1" x14ac:dyDescent="0.2">
      <c r="B90" s="142"/>
      <c r="C90" s="270"/>
      <c r="D90" s="270"/>
      <c r="E90" s="270"/>
      <c r="F90" s="270"/>
      <c r="G90" s="270"/>
      <c r="H90" s="270"/>
      <c r="I90" s="270"/>
      <c r="J90" s="270"/>
      <c r="K90" s="270"/>
      <c r="L90" s="270"/>
      <c r="M90" s="270"/>
      <c r="N90" s="270"/>
      <c r="O90" s="270"/>
      <c r="R90" s="637">
        <f t="shared" ref="R90:AE90" si="72">R87-R178-R268</f>
        <v>0</v>
      </c>
      <c r="S90" s="637">
        <f t="shared" si="72"/>
        <v>0</v>
      </c>
      <c r="T90" s="637">
        <f t="shared" si="72"/>
        <v>0</v>
      </c>
      <c r="U90" s="637">
        <f t="shared" si="72"/>
        <v>0</v>
      </c>
      <c r="V90" s="637">
        <f t="shared" si="72"/>
        <v>0</v>
      </c>
      <c r="W90" s="637">
        <f t="shared" si="72"/>
        <v>0</v>
      </c>
      <c r="X90" s="637">
        <f t="shared" si="72"/>
        <v>0</v>
      </c>
      <c r="Y90" s="637">
        <f t="shared" si="72"/>
        <v>0</v>
      </c>
      <c r="Z90" s="637">
        <f t="shared" si="72"/>
        <v>73012.25</v>
      </c>
      <c r="AA90" s="637">
        <f t="shared" si="72"/>
        <v>0</v>
      </c>
      <c r="AB90" s="637">
        <f t="shared" si="72"/>
        <v>0</v>
      </c>
      <c r="AC90" s="637">
        <f t="shared" si="72"/>
        <v>0</v>
      </c>
      <c r="AD90" s="637">
        <f t="shared" si="72"/>
        <v>0</v>
      </c>
      <c r="AE90" s="637">
        <f t="shared" si="72"/>
        <v>0</v>
      </c>
      <c r="AF90" s="637"/>
      <c r="AG90" s="637">
        <f>AG87-AG178-AG268</f>
        <v>0</v>
      </c>
      <c r="AH90" s="637">
        <f>AH87-AH178-AH268</f>
        <v>0</v>
      </c>
      <c r="AI90" s="637">
        <f>AI87-AI178-AI268</f>
        <v>0</v>
      </c>
      <c r="AJ90" s="637">
        <f>AJ87-AJ178-AJ268</f>
        <v>74912.25</v>
      </c>
      <c r="AN90" s="637">
        <f>AN87-AN178-AN268</f>
        <v>0</v>
      </c>
      <c r="AO90" s="637">
        <f>AO87-AO178-AO268</f>
        <v>0</v>
      </c>
      <c r="AP90" s="637">
        <f>AP87-AP178-AP268</f>
        <v>0</v>
      </c>
      <c r="AQ90" s="637">
        <f>AQ87-AQ178-AQ268</f>
        <v>0</v>
      </c>
      <c r="AW90" s="114"/>
      <c r="BB90" s="636"/>
      <c r="BC90" s="874"/>
      <c r="BD90" s="1088"/>
      <c r="BE90" s="870" t="s">
        <v>817</v>
      </c>
      <c r="BF90" s="871">
        <f>ProyIng!H50+SdoBcos!E26+SdoBcos!E46</f>
        <v>2615164.7000000002</v>
      </c>
      <c r="BG90" s="478"/>
      <c r="BH90" s="478" t="s">
        <v>515</v>
      </c>
      <c r="BI90" s="878">
        <f>BB178+AQ178+AJ178+N178</f>
        <v>719652.57</v>
      </c>
      <c r="BJ90" s="478">
        <f>BI90-UNIDAD_PPTO!C45</f>
        <v>0</v>
      </c>
    </row>
    <row r="91" spans="1:62" s="52" customFormat="1" x14ac:dyDescent="0.2">
      <c r="A91" s="30"/>
      <c r="B91" s="601"/>
      <c r="C91" s="601">
        <f>C87-C178-C268</f>
        <v>0</v>
      </c>
      <c r="D91" s="601">
        <f>D87-D178-D268</f>
        <v>0</v>
      </c>
      <c r="E91" s="601">
        <f>E87-E178-E268</f>
        <v>0</v>
      </c>
      <c r="F91" s="601">
        <f>F87-F178-F268</f>
        <v>0</v>
      </c>
      <c r="G91" s="601">
        <f>G87-G178-G268</f>
        <v>0</v>
      </c>
      <c r="H91" s="601"/>
      <c r="I91" s="601">
        <f t="shared" ref="I91:M91" si="73">I87-I178-I268</f>
        <v>0</v>
      </c>
      <c r="J91" s="601">
        <f t="shared" si="73"/>
        <v>0</v>
      </c>
      <c r="K91" s="601">
        <f t="shared" si="73"/>
        <v>0</v>
      </c>
      <c r="L91" s="601">
        <f t="shared" si="73"/>
        <v>0</v>
      </c>
      <c r="M91" s="601">
        <f t="shared" si="73"/>
        <v>0</v>
      </c>
      <c r="N91" s="601">
        <f>N87-N178-N268</f>
        <v>0</v>
      </c>
      <c r="O91" s="30"/>
      <c r="P91" s="30"/>
      <c r="Q91" s="30"/>
      <c r="R91" s="1114"/>
      <c r="S91" s="1114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W91" s="114"/>
      <c r="BD91" s="1088"/>
      <c r="BF91" s="869" t="s">
        <v>727</v>
      </c>
      <c r="BG91" s="899">
        <f>BF90-(BI90+BI91)</f>
        <v>0</v>
      </c>
      <c r="BH91" s="478" t="s">
        <v>516</v>
      </c>
      <c r="BI91" s="740">
        <f>Res_Nom_FF!I31</f>
        <v>1895512.13</v>
      </c>
      <c r="BJ91" s="478"/>
    </row>
    <row r="92" spans="1:62" x14ac:dyDescent="0.2">
      <c r="A92" s="1114" t="s">
        <v>268</v>
      </c>
      <c r="B92" s="1114"/>
      <c r="C92" s="1114"/>
      <c r="D92" s="1114"/>
      <c r="E92" s="1114"/>
      <c r="F92" s="1114"/>
      <c r="G92" s="1114"/>
      <c r="H92" s="1114"/>
      <c r="I92" s="1114"/>
      <c r="J92" s="1114"/>
      <c r="K92" s="1114"/>
      <c r="L92" s="1114"/>
      <c r="M92" s="1114"/>
      <c r="N92" s="1114"/>
      <c r="O92" s="51"/>
      <c r="P92" s="1114" t="s">
        <v>268</v>
      </c>
      <c r="Q92" s="1114"/>
      <c r="R92" s="1114"/>
      <c r="S92" s="1114"/>
      <c r="T92" s="1114"/>
      <c r="U92" s="1114"/>
      <c r="V92" s="1114"/>
      <c r="W92" s="1114"/>
      <c r="X92" s="1114"/>
      <c r="Y92" s="1114"/>
      <c r="Z92" s="1114"/>
      <c r="AA92" s="1114"/>
      <c r="AB92" s="1114"/>
      <c r="AC92" s="1114"/>
      <c r="AD92" s="1114"/>
      <c r="AE92" s="1114"/>
      <c r="AF92" s="1114"/>
      <c r="AG92" s="1114"/>
      <c r="AH92" s="1114"/>
      <c r="AI92" s="1114"/>
      <c r="AJ92" s="1114"/>
      <c r="AK92" s="51"/>
      <c r="AL92" s="1114" t="s">
        <v>268</v>
      </c>
      <c r="AM92" s="1114"/>
      <c r="AN92" s="1114"/>
      <c r="AO92" s="1114"/>
      <c r="AP92" s="1114"/>
      <c r="AQ92" s="1114"/>
      <c r="AS92" s="1114" t="s">
        <v>268</v>
      </c>
      <c r="AT92" s="1114"/>
      <c r="AU92" s="1114"/>
      <c r="AV92" s="1114"/>
      <c r="AW92" s="1114"/>
      <c r="AX92" s="1114"/>
      <c r="AY92" s="1114"/>
      <c r="BD92" s="1088"/>
      <c r="BF92" s="873" t="s">
        <v>568</v>
      </c>
      <c r="BG92" s="873">
        <f>BF90-BI91</f>
        <v>719652.5700000003</v>
      </c>
      <c r="BH92" s="500"/>
      <c r="BI92" s="500">
        <f>SUM(BI90:BI91)</f>
        <v>2615164.6999999997</v>
      </c>
      <c r="BJ92" s="500"/>
    </row>
    <row r="93" spans="1:62" x14ac:dyDescent="0.2">
      <c r="A93" s="1114" t="s">
        <v>676</v>
      </c>
      <c r="B93" s="1114"/>
      <c r="C93" s="1114"/>
      <c r="D93" s="1114"/>
      <c r="E93" s="1114"/>
      <c r="F93" s="1114"/>
      <c r="G93" s="1114"/>
      <c r="H93" s="1114"/>
      <c r="I93" s="1114"/>
      <c r="J93" s="1114"/>
      <c r="K93" s="1114"/>
      <c r="L93" s="1114"/>
      <c r="M93" s="1114"/>
      <c r="N93" s="1114"/>
      <c r="O93" s="51"/>
      <c r="P93" s="1114" t="s">
        <v>676</v>
      </c>
      <c r="Q93" s="1114"/>
      <c r="R93" s="1114"/>
      <c r="S93" s="1114"/>
      <c r="T93" s="1114"/>
      <c r="U93" s="1114"/>
      <c r="V93" s="1114"/>
      <c r="W93" s="1114"/>
      <c r="X93" s="1114"/>
      <c r="Y93" s="1114"/>
      <c r="Z93" s="1114"/>
      <c r="AA93" s="1114"/>
      <c r="AB93" s="1114"/>
      <c r="AC93" s="1114"/>
      <c r="AD93" s="1114"/>
      <c r="AE93" s="1114"/>
      <c r="AF93" s="1114"/>
      <c r="AG93" s="1114"/>
      <c r="AH93" s="1114"/>
      <c r="AI93" s="1114"/>
      <c r="AJ93" s="1114"/>
      <c r="AK93" s="51"/>
      <c r="AL93" s="1114" t="s">
        <v>676</v>
      </c>
      <c r="AM93" s="1114"/>
      <c r="AN93" s="1114"/>
      <c r="AO93" s="1114"/>
      <c r="AP93" s="1114"/>
      <c r="AQ93" s="1114"/>
      <c r="AS93" s="1114" t="s">
        <v>676</v>
      </c>
      <c r="AT93" s="1114"/>
      <c r="AU93" s="1114"/>
      <c r="AV93" s="1114"/>
      <c r="AW93" s="1114"/>
      <c r="AX93" s="1114"/>
      <c r="AY93" s="1114"/>
      <c r="BD93" s="1088"/>
      <c r="BF93" s="500"/>
      <c r="BG93" s="500"/>
      <c r="BH93" s="500"/>
      <c r="BI93" s="500"/>
      <c r="BJ93" s="500"/>
    </row>
    <row r="94" spans="1:62" x14ac:dyDescent="0.2">
      <c r="A94" s="1191" t="s">
        <v>72</v>
      </c>
      <c r="B94" s="1191"/>
      <c r="C94" s="1191"/>
      <c r="D94" s="1191"/>
      <c r="E94" s="1191"/>
      <c r="F94" s="1191"/>
      <c r="G94" s="1191"/>
      <c r="H94" s="1191"/>
      <c r="I94" s="1191"/>
      <c r="J94" s="1191"/>
      <c r="K94" s="1191"/>
      <c r="L94" s="1191"/>
      <c r="M94" s="1191"/>
      <c r="N94" s="1191"/>
      <c r="P94" s="1191" t="s">
        <v>72</v>
      </c>
      <c r="Q94" s="1191"/>
      <c r="R94" s="1191"/>
      <c r="S94" s="1191"/>
      <c r="T94" s="1191"/>
      <c r="U94" s="1191"/>
      <c r="V94" s="1191"/>
      <c r="W94" s="1191"/>
      <c r="X94" s="1191"/>
      <c r="Y94" s="1191"/>
      <c r="Z94" s="1191"/>
      <c r="AA94" s="1191"/>
      <c r="AB94" s="1191"/>
      <c r="AC94" s="1191"/>
      <c r="AD94" s="1191"/>
      <c r="AE94" s="1191"/>
      <c r="AF94" s="1191"/>
      <c r="AG94" s="1191"/>
      <c r="AH94" s="1191"/>
      <c r="AI94" s="1191"/>
      <c r="AJ94" s="1191"/>
      <c r="AL94" s="1191" t="s">
        <v>72</v>
      </c>
      <c r="AM94" s="1191"/>
      <c r="AN94" s="1191"/>
      <c r="AO94" s="1191"/>
      <c r="AP94" s="1191"/>
      <c r="AQ94" s="1191"/>
      <c r="AS94" s="1191" t="s">
        <v>72</v>
      </c>
      <c r="AT94" s="1191"/>
      <c r="AU94" s="1191"/>
      <c r="AV94" s="1191"/>
      <c r="AW94" s="1191"/>
      <c r="AX94" s="1191"/>
      <c r="AY94" s="1191"/>
      <c r="BD94" s="1088"/>
      <c r="BE94" s="52"/>
      <c r="BF94" s="478"/>
      <c r="BG94" s="478"/>
      <c r="BH94" s="478" t="s">
        <v>787</v>
      </c>
      <c r="BI94" s="878">
        <f>BD268</f>
        <v>779321.98</v>
      </c>
      <c r="BJ94" s="500"/>
    </row>
    <row r="95" spans="1:62" x14ac:dyDescent="0.2">
      <c r="A95" s="51" t="s">
        <v>458</v>
      </c>
      <c r="P95" s="51" t="s">
        <v>458</v>
      </c>
      <c r="AL95" s="51" t="s">
        <v>290</v>
      </c>
      <c r="AS95" s="51" t="s">
        <v>290</v>
      </c>
      <c r="BD95" s="1088"/>
      <c r="BE95" s="870" t="s">
        <v>937</v>
      </c>
      <c r="BF95" s="872">
        <f>ProyIng!F57+SdoBcos!F26+SdoBcos!E44+SdoBcos!K17</f>
        <v>779321.98</v>
      </c>
      <c r="BG95" s="478"/>
      <c r="BH95" s="478" t="s">
        <v>799</v>
      </c>
      <c r="BI95" s="740">
        <f>Res_Nom_FF!I15</f>
        <v>0</v>
      </c>
      <c r="BJ95" s="500">
        <f>SUM(BI94:BI95)</f>
        <v>779321.98</v>
      </c>
    </row>
    <row r="96" spans="1:62" ht="13.5" thickBot="1" x14ac:dyDescent="0.25">
      <c r="A96" s="51" t="s">
        <v>459</v>
      </c>
      <c r="B96" s="252"/>
      <c r="P96" s="51" t="s">
        <v>453</v>
      </c>
      <c r="Q96" s="252"/>
      <c r="AL96" s="51" t="s">
        <v>455</v>
      </c>
      <c r="AM96" s="252"/>
      <c r="AS96" s="51" t="s">
        <v>457</v>
      </c>
      <c r="AT96" s="252"/>
      <c r="BD96" s="1088"/>
      <c r="BE96" s="52"/>
      <c r="BF96" s="869" t="s">
        <v>788</v>
      </c>
      <c r="BG96" s="899">
        <f>BF95-BI94-BI95</f>
        <v>0</v>
      </c>
      <c r="BH96" s="478"/>
      <c r="BI96" s="478"/>
      <c r="BJ96" s="500">
        <f>BI90+BI94</f>
        <v>1498974.5499999998</v>
      </c>
    </row>
    <row r="97" spans="1:63" ht="46.5" thickTop="1" thickBot="1" x14ac:dyDescent="0.25">
      <c r="A97" s="258" t="s">
        <v>88</v>
      </c>
      <c r="B97" s="259" t="s">
        <v>89</v>
      </c>
      <c r="C97" s="404" t="s">
        <v>282</v>
      </c>
      <c r="D97" s="405" t="s">
        <v>283</v>
      </c>
      <c r="E97" s="405" t="s">
        <v>244</v>
      </c>
      <c r="F97" s="405" t="s">
        <v>346</v>
      </c>
      <c r="G97" s="405" t="s">
        <v>248</v>
      </c>
      <c r="H97" s="405" t="s">
        <v>699</v>
      </c>
      <c r="I97" s="405" t="s">
        <v>250</v>
      </c>
      <c r="J97" s="405" t="s">
        <v>438</v>
      </c>
      <c r="K97" s="405" t="s">
        <v>637</v>
      </c>
      <c r="L97" s="405" t="s">
        <v>658</v>
      </c>
      <c r="M97" s="405" t="s">
        <v>659</v>
      </c>
      <c r="N97" s="403" t="s">
        <v>463</v>
      </c>
      <c r="P97" s="258" t="s">
        <v>88</v>
      </c>
      <c r="Q97" s="259" t="s">
        <v>89</v>
      </c>
      <c r="R97" s="260" t="s">
        <v>575</v>
      </c>
      <c r="S97" s="261" t="s">
        <v>576</v>
      </c>
      <c r="T97" s="261" t="s">
        <v>528</v>
      </c>
      <c r="U97" s="261" t="s">
        <v>529</v>
      </c>
      <c r="V97" s="261" t="s">
        <v>207</v>
      </c>
      <c r="W97" s="261" t="s">
        <v>182</v>
      </c>
      <c r="X97" s="261" t="s">
        <v>943</v>
      </c>
      <c r="Y97" s="398" t="s">
        <v>578</v>
      </c>
      <c r="Z97" s="261" t="s">
        <v>553</v>
      </c>
      <c r="AA97" s="261" t="s">
        <v>618</v>
      </c>
      <c r="AB97" s="261" t="s">
        <v>514</v>
      </c>
      <c r="AC97" s="261" t="s">
        <v>532</v>
      </c>
      <c r="AD97" s="198" t="s">
        <v>623</v>
      </c>
      <c r="AE97" s="398" t="s">
        <v>533</v>
      </c>
      <c r="AF97" s="398" t="s">
        <v>729</v>
      </c>
      <c r="AG97" s="261" t="s">
        <v>441</v>
      </c>
      <c r="AH97" s="433" t="s">
        <v>850</v>
      </c>
      <c r="AI97" s="433" t="s">
        <v>936</v>
      </c>
      <c r="AJ97" s="1011" t="s">
        <v>31</v>
      </c>
      <c r="AK97" s="257"/>
      <c r="AL97" s="258" t="s">
        <v>88</v>
      </c>
      <c r="AM97" s="259" t="s">
        <v>89</v>
      </c>
      <c r="AN97" s="260" t="s">
        <v>183</v>
      </c>
      <c r="AO97" s="260" t="s">
        <v>695</v>
      </c>
      <c r="AP97" s="261" t="s">
        <v>460</v>
      </c>
      <c r="AQ97" s="403" t="s">
        <v>463</v>
      </c>
      <c r="AS97" s="258" t="s">
        <v>88</v>
      </c>
      <c r="AT97" s="259" t="s">
        <v>89</v>
      </c>
      <c r="AU97" s="260" t="s">
        <v>280</v>
      </c>
      <c r="AV97" s="260" t="s">
        <v>648</v>
      </c>
      <c r="AW97" s="261" t="s">
        <v>534</v>
      </c>
      <c r="AX97" s="261" t="s">
        <v>535</v>
      </c>
      <c r="AY97" s="262" t="s">
        <v>536</v>
      </c>
      <c r="AZ97" s="262" t="s">
        <v>443</v>
      </c>
      <c r="BA97" s="629" t="s">
        <v>651</v>
      </c>
      <c r="BB97" s="263" t="s">
        <v>463</v>
      </c>
      <c r="BD97" s="1088"/>
      <c r="BF97" s="873" t="s">
        <v>568</v>
      </c>
      <c r="BG97" s="873">
        <f>BF95-BI95</f>
        <v>779321.98</v>
      </c>
      <c r="BH97" s="500"/>
      <c r="BI97" s="924" t="s">
        <v>926</v>
      </c>
      <c r="BJ97" s="1060">
        <f>BI90+BI91+BJ95</f>
        <v>3394486.6799999997</v>
      </c>
      <c r="BK97" s="30" t="s">
        <v>942</v>
      </c>
    </row>
    <row r="98" spans="1:63" s="502" customFormat="1" ht="15" customHeight="1" thickBot="1" x14ac:dyDescent="0.25">
      <c r="A98" s="576">
        <v>54</v>
      </c>
      <c r="B98" s="531" t="s">
        <v>107</v>
      </c>
      <c r="C98" s="722">
        <f>C99+C121+C126+C141+C146</f>
        <v>3050</v>
      </c>
      <c r="D98" s="722">
        <f t="shared" ref="D98" si="74">D99+D121+D126+D141+D146</f>
        <v>13193.220000000001</v>
      </c>
      <c r="E98" s="722">
        <f>E99+E121+E126+E141+E146</f>
        <v>1000</v>
      </c>
      <c r="F98" s="722">
        <f>F99+F121+F126+F141+F146</f>
        <v>735</v>
      </c>
      <c r="G98" s="722">
        <f>G99+G121+G126+G141+G146</f>
        <v>6200</v>
      </c>
      <c r="H98" s="722">
        <f>H99+H121+H126+H141+H146</f>
        <v>4300</v>
      </c>
      <c r="I98" s="722">
        <f t="shared" ref="I98:J98" si="75">I99+I121+I126+I141+I146</f>
        <v>500</v>
      </c>
      <c r="J98" s="722">
        <f t="shared" si="75"/>
        <v>16522.900000000001</v>
      </c>
      <c r="K98" s="722">
        <f>K99+K121+K126+K141+K146</f>
        <v>1000</v>
      </c>
      <c r="L98" s="722">
        <f>L99+L121+L126+L141+L146</f>
        <v>440</v>
      </c>
      <c r="M98" s="722">
        <f>M99+M121+M126+M141+M146</f>
        <v>9938</v>
      </c>
      <c r="N98" s="1040">
        <f t="shared" ref="N98" si="76">SUM(C98:M98)</f>
        <v>56879.12</v>
      </c>
      <c r="P98" s="576">
        <v>54</v>
      </c>
      <c r="Q98" s="531" t="s">
        <v>107</v>
      </c>
      <c r="R98" s="722">
        <f>R99+R121+R126+R141+R146</f>
        <v>0</v>
      </c>
      <c r="S98" s="722">
        <f t="shared" ref="S98:Y98" si="77">S99+S121+S126+S141+S146</f>
        <v>10000</v>
      </c>
      <c r="T98" s="722">
        <f>T99+T121+T126+T141+T146</f>
        <v>1000</v>
      </c>
      <c r="U98" s="722">
        <f t="shared" si="77"/>
        <v>26650</v>
      </c>
      <c r="V98" s="722">
        <f t="shared" si="77"/>
        <v>32300</v>
      </c>
      <c r="W98" s="722">
        <f t="shared" si="77"/>
        <v>0</v>
      </c>
      <c r="X98" s="722">
        <f t="shared" si="77"/>
        <v>1560</v>
      </c>
      <c r="Y98" s="722">
        <f t="shared" si="77"/>
        <v>24680</v>
      </c>
      <c r="Z98" s="722">
        <f>Z99+Z121+Z126+Z141+Z146</f>
        <v>119000</v>
      </c>
      <c r="AA98" s="722">
        <f t="shared" ref="AA98:AI98" si="78">AA99+AA121+AA126+AA141+AA146</f>
        <v>900</v>
      </c>
      <c r="AB98" s="722">
        <f t="shared" si="78"/>
        <v>0</v>
      </c>
      <c r="AC98" s="722">
        <f t="shared" si="78"/>
        <v>54200</v>
      </c>
      <c r="AD98" s="722">
        <f t="shared" si="78"/>
        <v>2600</v>
      </c>
      <c r="AE98" s="722">
        <f t="shared" si="78"/>
        <v>35150</v>
      </c>
      <c r="AF98" s="722">
        <f t="shared" si="78"/>
        <v>22860</v>
      </c>
      <c r="AG98" s="722">
        <f t="shared" si="78"/>
        <v>0</v>
      </c>
      <c r="AH98" s="722">
        <f t="shared" si="78"/>
        <v>0</v>
      </c>
      <c r="AI98" s="1073">
        <f t="shared" si="78"/>
        <v>965</v>
      </c>
      <c r="AJ98" s="534">
        <f>SUM(R98:AI98)</f>
        <v>331865</v>
      </c>
      <c r="AK98" s="532"/>
      <c r="AL98" s="576">
        <v>54</v>
      </c>
      <c r="AM98" s="531" t="s">
        <v>107</v>
      </c>
      <c r="AN98" s="809">
        <f>AN99+AN121+AN126+AN141+AN146</f>
        <v>10000</v>
      </c>
      <c r="AO98" s="809">
        <f>AO99+AO121+AO126+AO141+AO146</f>
        <v>14500</v>
      </c>
      <c r="AP98" s="809">
        <f>AP99+AP121+AP126+AP141+AP146</f>
        <v>4469.8999999999996</v>
      </c>
      <c r="AQ98" s="809">
        <f>SUM(AN98:AP98)</f>
        <v>28969.9</v>
      </c>
      <c r="AS98" s="576">
        <v>54</v>
      </c>
      <c r="AT98" s="531" t="s">
        <v>107</v>
      </c>
      <c r="AU98" s="807">
        <f t="shared" ref="AU98:BA98" si="79">AU99+AU121+AU126+AU141+AU146</f>
        <v>3362.5</v>
      </c>
      <c r="AV98" s="807">
        <f t="shared" si="79"/>
        <v>0</v>
      </c>
      <c r="AW98" s="807">
        <f t="shared" si="79"/>
        <v>84576.47</v>
      </c>
      <c r="AX98" s="807">
        <f t="shared" si="79"/>
        <v>0</v>
      </c>
      <c r="AY98" s="807">
        <f t="shared" si="79"/>
        <v>48999.68</v>
      </c>
      <c r="AZ98" s="807">
        <f t="shared" si="79"/>
        <v>5800</v>
      </c>
      <c r="BA98" s="807">
        <f t="shared" si="79"/>
        <v>15340</v>
      </c>
      <c r="BB98" s="634">
        <f t="shared" ref="BB98" si="80">SUM(AU98:BA98)</f>
        <v>158078.65</v>
      </c>
      <c r="BD98" s="1088">
        <f t="shared" si="61"/>
        <v>575792.67000000004</v>
      </c>
      <c r="BI98" s="535" t="s">
        <v>927</v>
      </c>
      <c r="BJ98" s="1061">
        <f>AH87</f>
        <v>0</v>
      </c>
    </row>
    <row r="99" spans="1:63" s="857" customFormat="1" ht="12.75" customHeight="1" thickBot="1" x14ac:dyDescent="0.25">
      <c r="A99" s="577">
        <v>541</v>
      </c>
      <c r="B99" s="533" t="s">
        <v>108</v>
      </c>
      <c r="C99" s="723">
        <f>SUM(C100:C120)</f>
        <v>800</v>
      </c>
      <c r="D99" s="723">
        <f t="shared" ref="D99" si="81">SUM(D100:D120)</f>
        <v>5910</v>
      </c>
      <c r="E99" s="723">
        <f>SUM(E100:E120)</f>
        <v>1000</v>
      </c>
      <c r="F99" s="723">
        <f>SUM(F100:F120)</f>
        <v>735</v>
      </c>
      <c r="G99" s="723">
        <f>SUM(G100:G120)</f>
        <v>0</v>
      </c>
      <c r="H99" s="723">
        <f>SUM(H100:H120)</f>
        <v>1300</v>
      </c>
      <c r="I99" s="723">
        <f t="shared" ref="I99:J99" si="82">SUM(I100:I120)</f>
        <v>0</v>
      </c>
      <c r="J99" s="723">
        <f t="shared" si="82"/>
        <v>4422.8999999999996</v>
      </c>
      <c r="K99" s="723">
        <f>SUM(K100:K120)</f>
        <v>0</v>
      </c>
      <c r="L99" s="723">
        <f>SUM(L100:L120)</f>
        <v>40</v>
      </c>
      <c r="M99" s="723">
        <f>SUM(M100:M120)</f>
        <v>7658</v>
      </c>
      <c r="N99" s="1040">
        <f>SUM(C99:M99)</f>
        <v>21865.9</v>
      </c>
      <c r="O99" s="856"/>
      <c r="P99" s="577">
        <v>541</v>
      </c>
      <c r="Q99" s="533" t="s">
        <v>108</v>
      </c>
      <c r="R99" s="723">
        <f>SUM(R100:R120)</f>
        <v>0</v>
      </c>
      <c r="S99" s="723">
        <f t="shared" ref="S99:AI99" si="83">SUM(S100:S120)</f>
        <v>0</v>
      </c>
      <c r="T99" s="723">
        <f t="shared" si="83"/>
        <v>1000</v>
      </c>
      <c r="U99" s="723">
        <f t="shared" si="83"/>
        <v>600</v>
      </c>
      <c r="V99" s="723">
        <f t="shared" si="83"/>
        <v>31700</v>
      </c>
      <c r="W99" s="723">
        <f t="shared" si="83"/>
        <v>0</v>
      </c>
      <c r="X99" s="723">
        <f t="shared" si="83"/>
        <v>0</v>
      </c>
      <c r="Y99" s="723">
        <f t="shared" si="83"/>
        <v>22400</v>
      </c>
      <c r="Z99" s="723">
        <f t="shared" si="83"/>
        <v>41500</v>
      </c>
      <c r="AA99" s="723">
        <f t="shared" si="83"/>
        <v>0</v>
      </c>
      <c r="AB99" s="723">
        <f t="shared" si="83"/>
        <v>0</v>
      </c>
      <c r="AC99" s="723">
        <f t="shared" si="83"/>
        <v>19200</v>
      </c>
      <c r="AD99" s="723">
        <f t="shared" si="83"/>
        <v>2200</v>
      </c>
      <c r="AE99" s="723">
        <f t="shared" si="83"/>
        <v>27550</v>
      </c>
      <c r="AF99" s="723">
        <f t="shared" si="83"/>
        <v>22860</v>
      </c>
      <c r="AG99" s="723">
        <f t="shared" si="83"/>
        <v>0</v>
      </c>
      <c r="AH99" s="723">
        <f t="shared" si="83"/>
        <v>0</v>
      </c>
      <c r="AI99" s="723">
        <f t="shared" si="83"/>
        <v>500</v>
      </c>
      <c r="AJ99" s="534">
        <f>SUM(R99:AI99)</f>
        <v>169510</v>
      </c>
      <c r="AK99" s="532"/>
      <c r="AL99" s="577">
        <v>541</v>
      </c>
      <c r="AM99" s="533" t="s">
        <v>108</v>
      </c>
      <c r="AN99" s="737">
        <f>SUM(AN100:AN120)</f>
        <v>0</v>
      </c>
      <c r="AO99" s="737">
        <f>SUM(AO100:AO120)</f>
        <v>14500</v>
      </c>
      <c r="AP99" s="737">
        <f>SUM(AP100:AP120)</f>
        <v>2799.9</v>
      </c>
      <c r="AQ99" s="809">
        <f>SUM(AN99:AP99)</f>
        <v>17299.900000000001</v>
      </c>
      <c r="AS99" s="577">
        <v>541</v>
      </c>
      <c r="AT99" s="533" t="s">
        <v>108</v>
      </c>
      <c r="AU99" s="726">
        <f t="shared" ref="AU99:BA99" si="84">SUM(AU100:AU120)</f>
        <v>3362.5</v>
      </c>
      <c r="AV99" s="726">
        <f t="shared" si="84"/>
        <v>0</v>
      </c>
      <c r="AW99" s="726">
        <f t="shared" si="84"/>
        <v>23676.47</v>
      </c>
      <c r="AX99" s="726">
        <f t="shared" si="84"/>
        <v>0</v>
      </c>
      <c r="AY99" s="726">
        <f t="shared" si="84"/>
        <v>25499.68</v>
      </c>
      <c r="AZ99" s="726">
        <f t="shared" si="84"/>
        <v>5800</v>
      </c>
      <c r="BA99" s="726">
        <f t="shared" si="84"/>
        <v>340</v>
      </c>
      <c r="BB99" s="634">
        <f>SUM(AU99:BA99)</f>
        <v>58678.65</v>
      </c>
      <c r="BD99" s="1088">
        <f t="shared" si="61"/>
        <v>267354.45</v>
      </c>
      <c r="BF99" s="877" t="s">
        <v>726</v>
      </c>
      <c r="BG99" s="1059">
        <f>BG91+BG96</f>
        <v>0</v>
      </c>
      <c r="BI99" s="1043" t="s">
        <v>343</v>
      </c>
      <c r="BJ99" s="1060">
        <f>Z90+AD90</f>
        <v>73012.25</v>
      </c>
    </row>
    <row r="100" spans="1:63" s="502" customFormat="1" ht="12" thickBot="1" x14ac:dyDescent="0.25">
      <c r="A100" s="578">
        <v>54101</v>
      </c>
      <c r="B100" s="535" t="s">
        <v>291</v>
      </c>
      <c r="C100" s="719"/>
      <c r="D100" s="719">
        <f>4250+500</f>
        <v>4750</v>
      </c>
      <c r="E100" s="719">
        <v>1000</v>
      </c>
      <c r="F100" s="719"/>
      <c r="G100" s="719"/>
      <c r="H100" s="719">
        <v>900</v>
      </c>
      <c r="I100" s="719"/>
      <c r="J100" s="719"/>
      <c r="K100" s="719"/>
      <c r="L100" s="719"/>
      <c r="M100" s="719"/>
      <c r="N100" s="1040">
        <f t="shared" ref="N100:N161" si="85">SUM(C100:M100)</f>
        <v>6650</v>
      </c>
      <c r="P100" s="578">
        <v>54101</v>
      </c>
      <c r="Q100" s="535" t="s">
        <v>291</v>
      </c>
      <c r="R100" s="719"/>
      <c r="S100" s="719"/>
      <c r="T100" s="719">
        <v>1000</v>
      </c>
      <c r="U100" s="719"/>
      <c r="V100" s="719"/>
      <c r="W100" s="719"/>
      <c r="X100" s="719"/>
      <c r="Y100" s="732">
        <v>600</v>
      </c>
      <c r="Z100" s="719">
        <v>10000</v>
      </c>
      <c r="AA100" s="719"/>
      <c r="AB100" s="719"/>
      <c r="AC100" s="719"/>
      <c r="AD100" s="719">
        <v>600</v>
      </c>
      <c r="AE100" s="732">
        <v>1500</v>
      </c>
      <c r="AF100" s="732">
        <v>8100</v>
      </c>
      <c r="AG100" s="719"/>
      <c r="AH100" s="719"/>
      <c r="AI100" s="719"/>
      <c r="AJ100" s="534">
        <f>SUM(R100:AI100)</f>
        <v>21800</v>
      </c>
      <c r="AK100" s="536"/>
      <c r="AL100" s="578">
        <v>54101</v>
      </c>
      <c r="AM100" s="535" t="s">
        <v>291</v>
      </c>
      <c r="AN100" s="735"/>
      <c r="AO100" s="735"/>
      <c r="AP100" s="735"/>
      <c r="AQ100" s="809">
        <f t="shared" ref="AQ100:AQ151" si="86">SUM(AN100:AP100)</f>
        <v>0</v>
      </c>
      <c r="AS100" s="578">
        <v>54101</v>
      </c>
      <c r="AT100" s="535" t="s">
        <v>291</v>
      </c>
      <c r="AU100" s="724"/>
      <c r="AV100" s="724"/>
      <c r="AW100" s="724"/>
      <c r="AX100" s="724"/>
      <c r="AY100" s="724"/>
      <c r="AZ100" s="724"/>
      <c r="BA100" s="729"/>
      <c r="BB100" s="634">
        <f>SUM(AU100:BA100)</f>
        <v>0</v>
      </c>
      <c r="BD100" s="1088">
        <f t="shared" si="61"/>
        <v>28450</v>
      </c>
      <c r="BI100" s="535" t="s">
        <v>928</v>
      </c>
      <c r="BJ100" s="1061">
        <f>Egre0304!H66-Egre0304!H43-Egre0304!H42</f>
        <v>497500.93999999994</v>
      </c>
    </row>
    <row r="101" spans="1:63" s="502" customFormat="1" ht="12" thickBot="1" x14ac:dyDescent="0.25">
      <c r="A101" s="578">
        <v>54102</v>
      </c>
      <c r="B101" s="535" t="s">
        <v>842</v>
      </c>
      <c r="C101" s="719"/>
      <c r="D101" s="719"/>
      <c r="E101" s="719"/>
      <c r="F101" s="719"/>
      <c r="G101" s="719"/>
      <c r="H101" s="719"/>
      <c r="I101" s="719"/>
      <c r="J101" s="719"/>
      <c r="K101" s="719"/>
      <c r="L101" s="719"/>
      <c r="M101" s="719"/>
      <c r="N101" s="1040">
        <f t="shared" si="85"/>
        <v>0</v>
      </c>
      <c r="P101" s="578">
        <v>54102</v>
      </c>
      <c r="Q101" s="535" t="s">
        <v>842</v>
      </c>
      <c r="R101" s="719"/>
      <c r="S101" s="719"/>
      <c r="T101" s="719"/>
      <c r="U101" s="719"/>
      <c r="V101" s="719"/>
      <c r="W101" s="719"/>
      <c r="X101" s="719"/>
      <c r="Y101" s="732"/>
      <c r="Z101" s="719"/>
      <c r="AA101" s="719"/>
      <c r="AB101" s="719"/>
      <c r="AC101" s="719"/>
      <c r="AD101" s="719"/>
      <c r="AE101" s="732"/>
      <c r="AF101" s="732">
        <v>2100</v>
      </c>
      <c r="AG101" s="719"/>
      <c r="AH101" s="719"/>
      <c r="AI101" s="719"/>
      <c r="AJ101" s="534">
        <f t="shared" ref="AJ101:AJ163" si="87">SUM(R101:AI101)</f>
        <v>2100</v>
      </c>
      <c r="AK101" s="536"/>
      <c r="AL101" s="578">
        <v>54102</v>
      </c>
      <c r="AM101" s="535" t="s">
        <v>841</v>
      </c>
      <c r="AN101" s="735"/>
      <c r="AO101" s="735"/>
      <c r="AP101" s="735"/>
      <c r="AQ101" s="809">
        <f t="shared" si="86"/>
        <v>0</v>
      </c>
      <c r="AS101" s="578">
        <v>54102</v>
      </c>
      <c r="AT101" s="535" t="s">
        <v>842</v>
      </c>
      <c r="AU101" s="724"/>
      <c r="AV101" s="724"/>
      <c r="AW101" s="724"/>
      <c r="AX101" s="724"/>
      <c r="AY101" s="724"/>
      <c r="AZ101" s="724"/>
      <c r="BA101" s="729"/>
      <c r="BB101" s="634">
        <f t="shared" ref="BB101:BB131" si="88">SUM(AU101:BA101)</f>
        <v>0</v>
      </c>
      <c r="BD101" s="1088">
        <f t="shared" si="61"/>
        <v>2100</v>
      </c>
      <c r="BI101" s="1044" t="s">
        <v>929</v>
      </c>
      <c r="BJ101" s="1062">
        <f>SUM(BJ97:BJ100)</f>
        <v>3964999.8699999996</v>
      </c>
    </row>
    <row r="102" spans="1:63" s="502" customFormat="1" ht="12" thickBot="1" x14ac:dyDescent="0.25">
      <c r="A102" s="578">
        <v>54103</v>
      </c>
      <c r="B102" s="535" t="s">
        <v>292</v>
      </c>
      <c r="C102" s="719"/>
      <c r="D102" s="719"/>
      <c r="E102" s="719"/>
      <c r="F102" s="719"/>
      <c r="G102" s="719"/>
      <c r="H102" s="719"/>
      <c r="I102" s="719"/>
      <c r="J102" s="719"/>
      <c r="K102" s="719"/>
      <c r="L102" s="719"/>
      <c r="M102" s="719"/>
      <c r="N102" s="1040">
        <f t="shared" si="85"/>
        <v>0</v>
      </c>
      <c r="P102" s="578">
        <v>54103</v>
      </c>
      <c r="Q102" s="535" t="s">
        <v>292</v>
      </c>
      <c r="R102" s="719"/>
      <c r="S102" s="719"/>
      <c r="T102" s="719"/>
      <c r="U102" s="719"/>
      <c r="V102" s="719"/>
      <c r="W102" s="719"/>
      <c r="X102" s="719"/>
      <c r="Y102" s="732"/>
      <c r="Z102" s="719">
        <v>4500</v>
      </c>
      <c r="AA102" s="719"/>
      <c r="AB102" s="719"/>
      <c r="AC102" s="719"/>
      <c r="AD102" s="719"/>
      <c r="AE102" s="732">
        <v>7500</v>
      </c>
      <c r="AF102" s="732">
        <v>3600</v>
      </c>
      <c r="AG102" s="719"/>
      <c r="AH102" s="719"/>
      <c r="AI102" s="719">
        <v>500</v>
      </c>
      <c r="AJ102" s="534">
        <f t="shared" si="87"/>
        <v>16100</v>
      </c>
      <c r="AK102" s="536"/>
      <c r="AL102" s="578">
        <v>54103</v>
      </c>
      <c r="AM102" s="535" t="s">
        <v>292</v>
      </c>
      <c r="AN102" s="735"/>
      <c r="AO102" s="735"/>
      <c r="AP102" s="735"/>
      <c r="AQ102" s="809">
        <f t="shared" si="86"/>
        <v>0</v>
      </c>
      <c r="AS102" s="578">
        <v>54103</v>
      </c>
      <c r="AT102" s="535" t="s">
        <v>292</v>
      </c>
      <c r="AU102" s="724"/>
      <c r="AV102" s="724"/>
      <c r="AW102" s="724"/>
      <c r="AX102" s="724"/>
      <c r="AY102" s="724"/>
      <c r="AZ102" s="724"/>
      <c r="BA102" s="729"/>
      <c r="BB102" s="634">
        <f t="shared" si="88"/>
        <v>0</v>
      </c>
      <c r="BD102" s="1088">
        <f t="shared" si="61"/>
        <v>16100</v>
      </c>
      <c r="BI102" s="535" t="s">
        <v>930</v>
      </c>
      <c r="BJ102" s="1061">
        <f>Egre0304!H113</f>
        <v>749388</v>
      </c>
    </row>
    <row r="103" spans="1:63" s="502" customFormat="1" ht="12" thickBot="1" x14ac:dyDescent="0.25">
      <c r="A103" s="578">
        <v>54104</v>
      </c>
      <c r="B103" s="535" t="s">
        <v>293</v>
      </c>
      <c r="C103" s="719"/>
      <c r="D103" s="719"/>
      <c r="E103" s="719"/>
      <c r="F103" s="719"/>
      <c r="G103" s="719"/>
      <c r="H103" s="719"/>
      <c r="I103" s="719"/>
      <c r="J103" s="719"/>
      <c r="K103" s="719"/>
      <c r="L103" s="719"/>
      <c r="M103" s="719"/>
      <c r="N103" s="1040">
        <f t="shared" si="85"/>
        <v>0</v>
      </c>
      <c r="P103" s="578">
        <v>54104</v>
      </c>
      <c r="Q103" s="535" t="s">
        <v>293</v>
      </c>
      <c r="R103" s="719"/>
      <c r="S103" s="719"/>
      <c r="T103" s="719"/>
      <c r="U103" s="719"/>
      <c r="V103" s="719"/>
      <c r="W103" s="719"/>
      <c r="X103" s="719"/>
      <c r="Y103" s="732">
        <v>16000</v>
      </c>
      <c r="Z103" s="719">
        <v>1000</v>
      </c>
      <c r="AA103" s="719"/>
      <c r="AB103" s="719"/>
      <c r="AC103" s="719"/>
      <c r="AD103" s="719">
        <v>500</v>
      </c>
      <c r="AE103" s="732"/>
      <c r="AF103" s="732">
        <v>3000</v>
      </c>
      <c r="AG103" s="719"/>
      <c r="AH103" s="719"/>
      <c r="AI103" s="719"/>
      <c r="AJ103" s="534">
        <f t="shared" si="87"/>
        <v>20500</v>
      </c>
      <c r="AK103" s="536"/>
      <c r="AL103" s="578">
        <v>54104</v>
      </c>
      <c r="AM103" s="535" t="s">
        <v>293</v>
      </c>
      <c r="AN103" s="735"/>
      <c r="AO103" s="735"/>
      <c r="AP103" s="735"/>
      <c r="AQ103" s="809">
        <f t="shared" si="86"/>
        <v>0</v>
      </c>
      <c r="AS103" s="578">
        <v>54104</v>
      </c>
      <c r="AT103" s="535" t="s">
        <v>293</v>
      </c>
      <c r="AU103" s="724"/>
      <c r="AV103" s="724"/>
      <c r="AW103" s="724"/>
      <c r="AX103" s="724"/>
      <c r="AY103" s="724"/>
      <c r="AZ103" s="724"/>
      <c r="BA103" s="730"/>
      <c r="BB103" s="634">
        <f t="shared" si="88"/>
        <v>0</v>
      </c>
      <c r="BD103" s="1088">
        <f t="shared" si="61"/>
        <v>20500</v>
      </c>
      <c r="BI103" s="535" t="s">
        <v>931</v>
      </c>
      <c r="BJ103" s="1061">
        <f>Consolidado!G122</f>
        <v>13583.52</v>
      </c>
    </row>
    <row r="104" spans="1:63" s="502" customFormat="1" ht="12" thickBot="1" x14ac:dyDescent="0.25">
      <c r="A104" s="578">
        <v>54105</v>
      </c>
      <c r="B104" s="535" t="s">
        <v>294</v>
      </c>
      <c r="C104" s="720"/>
      <c r="D104" s="720"/>
      <c r="E104" s="720"/>
      <c r="F104" s="720">
        <v>255</v>
      </c>
      <c r="G104" s="720"/>
      <c r="H104" s="720"/>
      <c r="I104" s="720"/>
      <c r="J104" s="720">
        <v>170</v>
      </c>
      <c r="K104" s="720"/>
      <c r="L104" s="720"/>
      <c r="M104" s="720"/>
      <c r="N104" s="1040">
        <f t="shared" si="85"/>
        <v>425</v>
      </c>
      <c r="P104" s="578">
        <v>54105</v>
      </c>
      <c r="Q104" s="535" t="s">
        <v>294</v>
      </c>
      <c r="R104" s="720"/>
      <c r="S104" s="720"/>
      <c r="T104" s="720"/>
      <c r="U104" s="720"/>
      <c r="V104" s="720"/>
      <c r="W104" s="719"/>
      <c r="X104" s="720"/>
      <c r="Y104" s="733"/>
      <c r="Z104" s="720"/>
      <c r="AA104" s="719"/>
      <c r="AB104" s="720"/>
      <c r="AC104" s="728"/>
      <c r="AD104" s="720"/>
      <c r="AE104" s="733">
        <v>700</v>
      </c>
      <c r="AF104" s="733"/>
      <c r="AG104" s="720"/>
      <c r="AH104" s="720"/>
      <c r="AI104" s="720"/>
      <c r="AJ104" s="534">
        <f t="shared" si="87"/>
        <v>700</v>
      </c>
      <c r="AK104" s="537"/>
      <c r="AL104" s="578">
        <v>54105</v>
      </c>
      <c r="AM104" s="535" t="s">
        <v>294</v>
      </c>
      <c r="AN104" s="736"/>
      <c r="AO104" s="736">
        <v>5000</v>
      </c>
      <c r="AP104" s="736"/>
      <c r="AQ104" s="809">
        <f t="shared" si="86"/>
        <v>5000</v>
      </c>
      <c r="AS104" s="578">
        <v>54105</v>
      </c>
      <c r="AT104" s="535" t="s">
        <v>294</v>
      </c>
      <c r="AU104" s="725"/>
      <c r="AV104" s="725"/>
      <c r="AW104" s="725"/>
      <c r="AX104" s="725"/>
      <c r="AY104" s="725"/>
      <c r="AZ104" s="725"/>
      <c r="BA104" s="730"/>
      <c r="BB104" s="634">
        <f t="shared" si="88"/>
        <v>0</v>
      </c>
      <c r="BD104" s="1088">
        <f t="shared" si="61"/>
        <v>6125</v>
      </c>
      <c r="BI104" s="1044" t="s">
        <v>932</v>
      </c>
      <c r="BJ104" s="1062">
        <f>BJ101+BJ102+BJ103</f>
        <v>4727971.3899999987</v>
      </c>
    </row>
    <row r="105" spans="1:63" s="502" customFormat="1" ht="12" thickBot="1" x14ac:dyDescent="0.25">
      <c r="A105" s="578">
        <v>54106</v>
      </c>
      <c r="B105" s="535" t="s">
        <v>295</v>
      </c>
      <c r="C105" s="719"/>
      <c r="D105" s="719"/>
      <c r="E105" s="719"/>
      <c r="F105" s="719">
        <v>45</v>
      </c>
      <c r="G105" s="719"/>
      <c r="H105" s="719"/>
      <c r="I105" s="719"/>
      <c r="J105" s="719"/>
      <c r="K105" s="719"/>
      <c r="L105" s="719"/>
      <c r="M105" s="719"/>
      <c r="N105" s="1040">
        <f t="shared" si="85"/>
        <v>45</v>
      </c>
      <c r="P105" s="578">
        <v>54106</v>
      </c>
      <c r="Q105" s="535" t="s">
        <v>295</v>
      </c>
      <c r="R105" s="719"/>
      <c r="S105" s="719"/>
      <c r="T105" s="719"/>
      <c r="U105" s="719"/>
      <c r="V105" s="719"/>
      <c r="W105" s="720"/>
      <c r="X105" s="719"/>
      <c r="Y105" s="732">
        <v>5000</v>
      </c>
      <c r="Z105" s="719"/>
      <c r="AA105" s="719"/>
      <c r="AB105" s="719"/>
      <c r="AC105" s="728"/>
      <c r="AD105" s="719"/>
      <c r="AE105" s="732">
        <v>2000</v>
      </c>
      <c r="AF105" s="732"/>
      <c r="AG105" s="719"/>
      <c r="AH105" s="719"/>
      <c r="AI105" s="719"/>
      <c r="AJ105" s="534">
        <f t="shared" si="87"/>
        <v>7000</v>
      </c>
      <c r="AK105" s="536"/>
      <c r="AL105" s="578">
        <v>54106</v>
      </c>
      <c r="AM105" s="535" t="s">
        <v>295</v>
      </c>
      <c r="AN105" s="735"/>
      <c r="AO105" s="735"/>
      <c r="AP105" s="735"/>
      <c r="AQ105" s="809">
        <f t="shared" si="86"/>
        <v>0</v>
      </c>
      <c r="AS105" s="578">
        <v>54106</v>
      </c>
      <c r="AT105" s="535" t="s">
        <v>295</v>
      </c>
      <c r="AU105" s="724">
        <v>468</v>
      </c>
      <c r="AV105" s="724"/>
      <c r="AW105" s="724">
        <v>3512</v>
      </c>
      <c r="AX105" s="724"/>
      <c r="AY105" s="724"/>
      <c r="AZ105" s="724"/>
      <c r="BA105" s="729">
        <v>100</v>
      </c>
      <c r="BB105" s="634">
        <f t="shared" si="88"/>
        <v>4080</v>
      </c>
      <c r="BD105" s="1088">
        <f t="shared" si="61"/>
        <v>11125</v>
      </c>
      <c r="BI105" s="533" t="s">
        <v>933</v>
      </c>
      <c r="BJ105" s="1063">
        <f>ResCE!C34</f>
        <v>4668295.88</v>
      </c>
    </row>
    <row r="106" spans="1:63" s="502" customFormat="1" ht="12" thickBot="1" x14ac:dyDescent="0.25">
      <c r="A106" s="578">
        <v>54107</v>
      </c>
      <c r="B106" s="535" t="s">
        <v>420</v>
      </c>
      <c r="C106" s="719"/>
      <c r="D106" s="719"/>
      <c r="E106" s="719"/>
      <c r="F106" s="719"/>
      <c r="G106" s="719"/>
      <c r="H106" s="719"/>
      <c r="I106" s="719"/>
      <c r="J106" s="719"/>
      <c r="K106" s="719"/>
      <c r="L106" s="719"/>
      <c r="M106" s="719">
        <v>315</v>
      </c>
      <c r="N106" s="1040">
        <f t="shared" si="85"/>
        <v>315</v>
      </c>
      <c r="P106" s="578">
        <v>54107</v>
      </c>
      <c r="Q106" s="535" t="s">
        <v>420</v>
      </c>
      <c r="R106" s="719"/>
      <c r="S106" s="719"/>
      <c r="T106" s="719"/>
      <c r="U106" s="719"/>
      <c r="V106" s="719"/>
      <c r="W106" s="719"/>
      <c r="X106" s="719"/>
      <c r="Y106" s="732">
        <v>500</v>
      </c>
      <c r="Z106" s="719">
        <f>6000+7500</f>
        <v>13500</v>
      </c>
      <c r="AA106" s="719"/>
      <c r="AB106" s="719"/>
      <c r="AC106" s="728"/>
      <c r="AD106" s="719"/>
      <c r="AE106" s="732">
        <v>3650</v>
      </c>
      <c r="AF106" s="732">
        <v>790</v>
      </c>
      <c r="AG106" s="719"/>
      <c r="AH106" s="719"/>
      <c r="AI106" s="719"/>
      <c r="AJ106" s="534">
        <f t="shared" si="87"/>
        <v>18440</v>
      </c>
      <c r="AK106" s="538"/>
      <c r="AL106" s="578">
        <v>54107</v>
      </c>
      <c r="AM106" s="535" t="s">
        <v>420</v>
      </c>
      <c r="AN106" s="735"/>
      <c r="AO106" s="735">
        <v>1500</v>
      </c>
      <c r="AP106" s="735"/>
      <c r="AQ106" s="809">
        <f t="shared" si="86"/>
        <v>1500</v>
      </c>
      <c r="AS106" s="578">
        <v>54107</v>
      </c>
      <c r="AT106" s="535" t="s">
        <v>420</v>
      </c>
      <c r="AU106" s="724"/>
      <c r="AV106" s="724"/>
      <c r="AW106" s="724"/>
      <c r="AX106" s="724"/>
      <c r="AY106" s="724">
        <v>19663.650000000001</v>
      </c>
      <c r="AZ106" s="724"/>
      <c r="BA106" s="729"/>
      <c r="BB106" s="634">
        <f t="shared" si="88"/>
        <v>19663.650000000001</v>
      </c>
      <c r="BD106" s="1088">
        <f t="shared" si="61"/>
        <v>39918.65</v>
      </c>
      <c r="BI106" s="535" t="s">
        <v>934</v>
      </c>
      <c r="BJ106" s="1061">
        <f>BJ104-BJ105</f>
        <v>59675.509999998845</v>
      </c>
    </row>
    <row r="107" spans="1:63" s="502" customFormat="1" ht="12" thickBot="1" x14ac:dyDescent="0.25">
      <c r="A107" s="578">
        <v>54108</v>
      </c>
      <c r="B107" s="535" t="s">
        <v>297</v>
      </c>
      <c r="C107" s="719"/>
      <c r="D107" s="719"/>
      <c r="E107" s="719"/>
      <c r="F107" s="719"/>
      <c r="G107" s="719"/>
      <c r="H107" s="719"/>
      <c r="I107" s="719"/>
      <c r="J107" s="719"/>
      <c r="K107" s="719"/>
      <c r="L107" s="719"/>
      <c r="M107" s="719"/>
      <c r="N107" s="1040">
        <f t="shared" si="85"/>
        <v>0</v>
      </c>
      <c r="P107" s="578">
        <v>54108</v>
      </c>
      <c r="Q107" s="535" t="s">
        <v>297</v>
      </c>
      <c r="R107" s="719"/>
      <c r="S107" s="719"/>
      <c r="T107" s="719"/>
      <c r="U107" s="719"/>
      <c r="V107" s="719"/>
      <c r="W107" s="719"/>
      <c r="X107" s="719"/>
      <c r="Y107" s="732">
        <v>300</v>
      </c>
      <c r="Z107" s="719">
        <v>2500</v>
      </c>
      <c r="AA107" s="719"/>
      <c r="AB107" s="719"/>
      <c r="AC107" s="728"/>
      <c r="AD107" s="719"/>
      <c r="AE107" s="732"/>
      <c r="AF107" s="732">
        <v>300</v>
      </c>
      <c r="AG107" s="719"/>
      <c r="AH107" s="719"/>
      <c r="AI107" s="719"/>
      <c r="AJ107" s="534">
        <f t="shared" si="87"/>
        <v>3100</v>
      </c>
      <c r="AK107" s="538"/>
      <c r="AL107" s="578">
        <v>54108</v>
      </c>
      <c r="AM107" s="535" t="s">
        <v>297</v>
      </c>
      <c r="AN107" s="735"/>
      <c r="AO107" s="735"/>
      <c r="AP107" s="735"/>
      <c r="AQ107" s="809">
        <f t="shared" si="86"/>
        <v>0</v>
      </c>
      <c r="AS107" s="578">
        <v>54108</v>
      </c>
      <c r="AT107" s="535" t="s">
        <v>297</v>
      </c>
      <c r="AU107" s="724"/>
      <c r="AV107" s="724"/>
      <c r="AW107" s="724"/>
      <c r="AX107" s="724"/>
      <c r="AY107" s="724"/>
      <c r="AZ107" s="724"/>
      <c r="BA107" s="729"/>
      <c r="BB107" s="634">
        <f t="shared" si="88"/>
        <v>0</v>
      </c>
      <c r="BD107" s="1088">
        <f t="shared" si="61"/>
        <v>3100</v>
      </c>
    </row>
    <row r="108" spans="1:63" s="502" customFormat="1" ht="12" thickBot="1" x14ac:dyDescent="0.25">
      <c r="A108" s="578">
        <v>54109</v>
      </c>
      <c r="B108" s="535" t="s">
        <v>298</v>
      </c>
      <c r="C108" s="719"/>
      <c r="D108" s="719"/>
      <c r="E108" s="719"/>
      <c r="F108" s="719"/>
      <c r="G108" s="719"/>
      <c r="H108" s="719"/>
      <c r="I108" s="719"/>
      <c r="J108" s="719"/>
      <c r="K108" s="719"/>
      <c r="L108" s="719"/>
      <c r="M108" s="719"/>
      <c r="N108" s="1040">
        <f t="shared" si="85"/>
        <v>0</v>
      </c>
      <c r="P108" s="578">
        <v>54109</v>
      </c>
      <c r="Q108" s="535" t="s">
        <v>298</v>
      </c>
      <c r="R108" s="719"/>
      <c r="S108" s="719"/>
      <c r="T108" s="719"/>
      <c r="U108" s="719"/>
      <c r="V108" s="719"/>
      <c r="W108" s="719"/>
      <c r="X108" s="719"/>
      <c r="Y108" s="732"/>
      <c r="Z108" s="719"/>
      <c r="AA108" s="719"/>
      <c r="AB108" s="719"/>
      <c r="AC108" s="728">
        <v>19200</v>
      </c>
      <c r="AD108" s="719"/>
      <c r="AE108" s="732"/>
      <c r="AF108" s="732"/>
      <c r="AG108" s="719"/>
      <c r="AH108" s="719"/>
      <c r="AI108" s="719"/>
      <c r="AJ108" s="534">
        <f t="shared" si="87"/>
        <v>19200</v>
      </c>
      <c r="AK108" s="538"/>
      <c r="AL108" s="578">
        <v>54109</v>
      </c>
      <c r="AM108" s="535" t="s">
        <v>298</v>
      </c>
      <c r="AN108" s="735"/>
      <c r="AO108" s="735"/>
      <c r="AP108" s="735"/>
      <c r="AQ108" s="809">
        <f t="shared" si="86"/>
        <v>0</v>
      </c>
      <c r="AS108" s="578">
        <v>54109</v>
      </c>
      <c r="AT108" s="535" t="s">
        <v>298</v>
      </c>
      <c r="AU108" s="724">
        <v>2671.5</v>
      </c>
      <c r="AV108" s="724"/>
      <c r="AW108" s="724"/>
      <c r="AX108" s="724"/>
      <c r="AY108" s="724"/>
      <c r="AZ108" s="724"/>
      <c r="BA108" s="729"/>
      <c r="BB108" s="634">
        <f t="shared" si="88"/>
        <v>2671.5</v>
      </c>
      <c r="BD108" s="1088">
        <f t="shared" si="61"/>
        <v>21871.5</v>
      </c>
    </row>
    <row r="109" spans="1:63" s="502" customFormat="1" ht="12" thickBot="1" x14ac:dyDescent="0.25">
      <c r="A109" s="578">
        <v>54110</v>
      </c>
      <c r="B109" s="535" t="s">
        <v>391</v>
      </c>
      <c r="C109" s="719"/>
      <c r="D109" s="719"/>
      <c r="E109" s="719"/>
      <c r="F109" s="719"/>
      <c r="G109" s="719"/>
      <c r="H109" s="719"/>
      <c r="I109" s="719"/>
      <c r="J109" s="719"/>
      <c r="K109" s="719"/>
      <c r="L109" s="719"/>
      <c r="M109" s="719"/>
      <c r="N109" s="1040">
        <f t="shared" si="85"/>
        <v>0</v>
      </c>
      <c r="P109" s="578">
        <v>54110</v>
      </c>
      <c r="Q109" s="535" t="s">
        <v>391</v>
      </c>
      <c r="R109" s="719"/>
      <c r="S109" s="719"/>
      <c r="T109" s="719"/>
      <c r="U109" s="719"/>
      <c r="V109" s="719"/>
      <c r="W109" s="719"/>
      <c r="X109" s="719"/>
      <c r="Y109" s="732"/>
      <c r="Z109" s="719"/>
      <c r="AA109" s="719"/>
      <c r="AB109" s="719"/>
      <c r="AC109" s="728"/>
      <c r="AD109" s="719"/>
      <c r="AE109" s="732">
        <v>700</v>
      </c>
      <c r="AF109" s="732"/>
      <c r="AG109" s="719"/>
      <c r="AH109" s="719"/>
      <c r="AI109" s="719"/>
      <c r="AJ109" s="534">
        <f t="shared" si="87"/>
        <v>700</v>
      </c>
      <c r="AK109" s="538"/>
      <c r="AL109" s="578">
        <v>54110</v>
      </c>
      <c r="AM109" s="535" t="s">
        <v>391</v>
      </c>
      <c r="AN109" s="735"/>
      <c r="AO109" s="735"/>
      <c r="AP109" s="735"/>
      <c r="AQ109" s="809">
        <f t="shared" si="86"/>
        <v>0</v>
      </c>
      <c r="AS109" s="578">
        <v>54110</v>
      </c>
      <c r="AT109" s="535" t="s">
        <v>391</v>
      </c>
      <c r="AU109" s="724">
        <v>223</v>
      </c>
      <c r="AV109" s="724"/>
      <c r="AW109" s="724"/>
      <c r="AX109" s="724"/>
      <c r="AY109" s="724"/>
      <c r="AZ109" s="724"/>
      <c r="BA109" s="729">
        <v>240</v>
      </c>
      <c r="BB109" s="634">
        <f t="shared" si="88"/>
        <v>463</v>
      </c>
      <c r="BD109" s="1088">
        <f t="shared" si="61"/>
        <v>1163</v>
      </c>
    </row>
    <row r="110" spans="1:63" s="502" customFormat="1" ht="12" thickBot="1" x14ac:dyDescent="0.25">
      <c r="A110" s="578">
        <v>54111</v>
      </c>
      <c r="B110" s="535" t="s">
        <v>299</v>
      </c>
      <c r="C110" s="719"/>
      <c r="D110" s="719"/>
      <c r="E110" s="719"/>
      <c r="F110" s="719"/>
      <c r="G110" s="719"/>
      <c r="H110" s="719"/>
      <c r="I110" s="719"/>
      <c r="J110" s="719"/>
      <c r="K110" s="719"/>
      <c r="L110" s="719"/>
      <c r="M110" s="719"/>
      <c r="N110" s="1040">
        <f t="shared" si="85"/>
        <v>0</v>
      </c>
      <c r="P110" s="578">
        <v>54111</v>
      </c>
      <c r="Q110" s="535" t="s">
        <v>299</v>
      </c>
      <c r="R110" s="719"/>
      <c r="S110" s="719"/>
      <c r="T110" s="719"/>
      <c r="U110" s="719"/>
      <c r="V110" s="719"/>
      <c r="W110" s="719"/>
      <c r="X110" s="719"/>
      <c r="Y110" s="732"/>
      <c r="Z110" s="719"/>
      <c r="AA110" s="719"/>
      <c r="AB110" s="719"/>
      <c r="AC110" s="728"/>
      <c r="AD110" s="719"/>
      <c r="AE110" s="732">
        <v>4000</v>
      </c>
      <c r="AF110" s="732">
        <v>530</v>
      </c>
      <c r="AG110" s="719"/>
      <c r="AH110" s="719"/>
      <c r="AI110" s="719"/>
      <c r="AJ110" s="534">
        <f t="shared" si="87"/>
        <v>4530</v>
      </c>
      <c r="AK110" s="538"/>
      <c r="AL110" s="578">
        <v>54111</v>
      </c>
      <c r="AM110" s="535" t="s">
        <v>299</v>
      </c>
      <c r="AN110" s="735"/>
      <c r="AO110" s="735"/>
      <c r="AP110" s="735"/>
      <c r="AQ110" s="809">
        <f t="shared" si="86"/>
        <v>0</v>
      </c>
      <c r="AS110" s="578">
        <v>54111</v>
      </c>
      <c r="AT110" s="535" t="s">
        <v>299</v>
      </c>
      <c r="AU110" s="724"/>
      <c r="AV110" s="724"/>
      <c r="AW110" s="724"/>
      <c r="AX110" s="724"/>
      <c r="AY110" s="724">
        <v>1186</v>
      </c>
      <c r="AZ110" s="724"/>
      <c r="BA110" s="729"/>
      <c r="BB110" s="634">
        <f t="shared" si="88"/>
        <v>1186</v>
      </c>
      <c r="BD110" s="1088">
        <f t="shared" si="61"/>
        <v>5716</v>
      </c>
    </row>
    <row r="111" spans="1:63" s="502" customFormat="1" ht="12" thickBot="1" x14ac:dyDescent="0.25">
      <c r="A111" s="578">
        <v>54112</v>
      </c>
      <c r="B111" s="535" t="s">
        <v>300</v>
      </c>
      <c r="C111" s="719"/>
      <c r="D111" s="719"/>
      <c r="E111" s="719"/>
      <c r="F111" s="719"/>
      <c r="G111" s="719"/>
      <c r="H111" s="719"/>
      <c r="I111" s="719"/>
      <c r="J111" s="719"/>
      <c r="K111" s="719"/>
      <c r="L111" s="719"/>
      <c r="M111" s="719"/>
      <c r="N111" s="1040">
        <f t="shared" si="85"/>
        <v>0</v>
      </c>
      <c r="P111" s="578">
        <v>54112</v>
      </c>
      <c r="Q111" s="535" t="s">
        <v>300</v>
      </c>
      <c r="R111" s="719"/>
      <c r="S111" s="719"/>
      <c r="T111" s="719"/>
      <c r="U111" s="719"/>
      <c r="V111" s="719"/>
      <c r="W111" s="719"/>
      <c r="X111" s="719"/>
      <c r="Y111" s="732"/>
      <c r="Z111" s="719"/>
      <c r="AA111" s="719"/>
      <c r="AB111" s="719"/>
      <c r="AC111" s="728"/>
      <c r="AD111" s="719"/>
      <c r="AE111" s="732">
        <v>4000</v>
      </c>
      <c r="AF111" s="732">
        <v>4440</v>
      </c>
      <c r="AG111" s="719"/>
      <c r="AH111" s="719"/>
      <c r="AI111" s="719"/>
      <c r="AJ111" s="534">
        <f t="shared" si="87"/>
        <v>8440</v>
      </c>
      <c r="AK111" s="538"/>
      <c r="AL111" s="578">
        <v>54112</v>
      </c>
      <c r="AM111" s="535" t="s">
        <v>300</v>
      </c>
      <c r="AN111" s="735"/>
      <c r="AO111" s="735"/>
      <c r="AP111" s="735"/>
      <c r="AQ111" s="809">
        <f t="shared" si="86"/>
        <v>0</v>
      </c>
      <c r="AS111" s="578">
        <v>54112</v>
      </c>
      <c r="AT111" s="535" t="s">
        <v>300</v>
      </c>
      <c r="AU111" s="724"/>
      <c r="AV111" s="724"/>
      <c r="AW111" s="724">
        <v>1080</v>
      </c>
      <c r="AX111" s="724"/>
      <c r="AY111" s="724">
        <v>4650.03</v>
      </c>
      <c r="AZ111" s="724"/>
      <c r="BA111" s="729"/>
      <c r="BB111" s="634">
        <f t="shared" si="88"/>
        <v>5730.03</v>
      </c>
      <c r="BD111" s="1088">
        <f t="shared" si="61"/>
        <v>14170.029999999999</v>
      </c>
    </row>
    <row r="112" spans="1:63" s="502" customFormat="1" ht="12" thickBot="1" x14ac:dyDescent="0.25">
      <c r="A112" s="578">
        <v>54113</v>
      </c>
      <c r="B112" s="116" t="s">
        <v>923</v>
      </c>
      <c r="C112" s="719"/>
      <c r="D112" s="719"/>
      <c r="E112" s="719"/>
      <c r="F112" s="719"/>
      <c r="G112" s="719"/>
      <c r="H112" s="719"/>
      <c r="I112" s="719"/>
      <c r="J112" s="719"/>
      <c r="K112" s="719"/>
      <c r="L112" s="719"/>
      <c r="M112" s="719"/>
      <c r="N112" s="1040">
        <f t="shared" si="85"/>
        <v>0</v>
      </c>
      <c r="P112" s="578">
        <v>54113</v>
      </c>
      <c r="Q112" s="535" t="s">
        <v>923</v>
      </c>
      <c r="R112" s="719"/>
      <c r="S112" s="719"/>
      <c r="T112" s="719"/>
      <c r="U112" s="719"/>
      <c r="V112" s="719"/>
      <c r="W112" s="719"/>
      <c r="X112" s="719"/>
      <c r="Y112" s="732"/>
      <c r="Z112" s="719"/>
      <c r="AA112" s="719"/>
      <c r="AB112" s="719"/>
      <c r="AC112" s="728"/>
      <c r="AD112" s="719"/>
      <c r="AE112" s="732"/>
      <c r="AF112" s="732"/>
      <c r="AG112" s="719"/>
      <c r="AH112" s="719"/>
      <c r="AI112" s="719"/>
      <c r="AJ112" s="534">
        <f t="shared" si="87"/>
        <v>0</v>
      </c>
      <c r="AK112" s="538"/>
      <c r="AL112" s="578">
        <v>54113</v>
      </c>
      <c r="AM112" s="535" t="s">
        <v>923</v>
      </c>
      <c r="AN112" s="735"/>
      <c r="AO112" s="735"/>
      <c r="AP112" s="735"/>
      <c r="AQ112" s="809">
        <f t="shared" si="86"/>
        <v>0</v>
      </c>
      <c r="AS112" s="578">
        <v>54113</v>
      </c>
      <c r="AT112" s="535" t="s">
        <v>923</v>
      </c>
      <c r="AU112" s="724"/>
      <c r="AV112" s="724"/>
      <c r="AW112" s="724"/>
      <c r="AX112" s="724"/>
      <c r="AY112" s="724"/>
      <c r="AZ112" s="724"/>
      <c r="BA112" s="729"/>
      <c r="BB112" s="634">
        <f t="shared" si="88"/>
        <v>0</v>
      </c>
      <c r="BD112" s="1088">
        <f t="shared" si="61"/>
        <v>0</v>
      </c>
    </row>
    <row r="113" spans="1:56" s="502" customFormat="1" ht="12" thickBot="1" x14ac:dyDescent="0.25">
      <c r="A113" s="578">
        <v>54114</v>
      </c>
      <c r="B113" s="535" t="s">
        <v>301</v>
      </c>
      <c r="C113" s="719"/>
      <c r="D113" s="719"/>
      <c r="E113" s="719"/>
      <c r="F113" s="719">
        <v>405</v>
      </c>
      <c r="G113" s="719"/>
      <c r="H113" s="719"/>
      <c r="I113" s="719"/>
      <c r="J113" s="719"/>
      <c r="K113" s="719"/>
      <c r="L113" s="719"/>
      <c r="M113" s="719"/>
      <c r="N113" s="1040">
        <f t="shared" si="85"/>
        <v>405</v>
      </c>
      <c r="P113" s="578">
        <v>54114</v>
      </c>
      <c r="Q113" s="535" t="s">
        <v>301</v>
      </c>
      <c r="R113" s="719"/>
      <c r="S113" s="719"/>
      <c r="T113" s="719"/>
      <c r="U113" s="719"/>
      <c r="V113" s="719"/>
      <c r="W113" s="719"/>
      <c r="X113" s="719"/>
      <c r="Y113" s="732"/>
      <c r="Z113" s="719"/>
      <c r="AA113" s="719"/>
      <c r="AB113" s="719"/>
      <c r="AC113" s="728"/>
      <c r="AD113" s="719"/>
      <c r="AE113" s="732">
        <v>500</v>
      </c>
      <c r="AF113" s="732"/>
      <c r="AG113" s="719"/>
      <c r="AH113" s="719"/>
      <c r="AI113" s="719"/>
      <c r="AJ113" s="534">
        <f t="shared" si="87"/>
        <v>500</v>
      </c>
      <c r="AK113" s="538"/>
      <c r="AL113" s="578">
        <v>54114</v>
      </c>
      <c r="AM113" s="535" t="s">
        <v>301</v>
      </c>
      <c r="AN113" s="735"/>
      <c r="AO113" s="735">
        <v>3000</v>
      </c>
      <c r="AP113" s="735"/>
      <c r="AQ113" s="809">
        <f t="shared" si="86"/>
        <v>3000</v>
      </c>
      <c r="AS113" s="578">
        <v>54114</v>
      </c>
      <c r="AT113" s="535" t="s">
        <v>301</v>
      </c>
      <c r="AU113" s="724"/>
      <c r="AV113" s="724"/>
      <c r="AW113" s="724"/>
      <c r="AX113" s="724"/>
      <c r="AY113" s="724"/>
      <c r="AZ113" s="724"/>
      <c r="BA113" s="729"/>
      <c r="BB113" s="634">
        <f t="shared" si="88"/>
        <v>0</v>
      </c>
      <c r="BD113" s="1088">
        <f t="shared" si="61"/>
        <v>3905</v>
      </c>
    </row>
    <row r="114" spans="1:56" s="502" customFormat="1" ht="12" thickBot="1" x14ac:dyDescent="0.25">
      <c r="A114" s="578">
        <v>54115</v>
      </c>
      <c r="B114" s="535" t="s">
        <v>302</v>
      </c>
      <c r="C114" s="719"/>
      <c r="D114" s="719"/>
      <c r="E114" s="719"/>
      <c r="F114" s="719"/>
      <c r="G114" s="719"/>
      <c r="H114" s="719">
        <v>400</v>
      </c>
      <c r="I114" s="719"/>
      <c r="J114" s="719">
        <v>4252.8999999999996</v>
      </c>
      <c r="K114" s="719"/>
      <c r="L114" s="719"/>
      <c r="M114" s="719">
        <v>3048</v>
      </c>
      <c r="N114" s="1040">
        <f t="shared" si="85"/>
        <v>7700.9</v>
      </c>
      <c r="P114" s="578">
        <v>54115</v>
      </c>
      <c r="Q114" s="535" t="s">
        <v>302</v>
      </c>
      <c r="R114" s="719"/>
      <c r="S114" s="719"/>
      <c r="T114" s="719"/>
      <c r="U114" s="719"/>
      <c r="V114" s="719">
        <v>500</v>
      </c>
      <c r="W114" s="719"/>
      <c r="X114" s="719"/>
      <c r="Y114" s="732"/>
      <c r="Z114" s="719"/>
      <c r="AA114" s="719"/>
      <c r="AB114" s="719"/>
      <c r="AC114" s="728"/>
      <c r="AD114" s="742"/>
      <c r="AE114" s="732">
        <v>1000</v>
      </c>
      <c r="AF114" s="732"/>
      <c r="AG114" s="719"/>
      <c r="AH114" s="719"/>
      <c r="AI114" s="719"/>
      <c r="AJ114" s="534">
        <f t="shared" si="87"/>
        <v>1500</v>
      </c>
      <c r="AK114" s="538"/>
      <c r="AL114" s="578">
        <v>54115</v>
      </c>
      <c r="AM114" s="535" t="s">
        <v>302</v>
      </c>
      <c r="AN114" s="735"/>
      <c r="AO114" s="735"/>
      <c r="AP114" s="735">
        <v>2799.9</v>
      </c>
      <c r="AQ114" s="809">
        <f t="shared" si="86"/>
        <v>2799.9</v>
      </c>
      <c r="AS114" s="578">
        <v>54115</v>
      </c>
      <c r="AT114" s="535" t="s">
        <v>302</v>
      </c>
      <c r="AU114" s="724"/>
      <c r="AV114" s="724"/>
      <c r="AW114" s="724"/>
      <c r="AX114" s="724"/>
      <c r="AY114" s="724"/>
      <c r="AZ114" s="724"/>
      <c r="BA114" s="729"/>
      <c r="BB114" s="634">
        <f t="shared" si="88"/>
        <v>0</v>
      </c>
      <c r="BD114" s="1088">
        <f t="shared" si="61"/>
        <v>12000.8</v>
      </c>
    </row>
    <row r="115" spans="1:56" s="502" customFormat="1" ht="12" thickBot="1" x14ac:dyDescent="0.25">
      <c r="A115" s="578">
        <v>54116</v>
      </c>
      <c r="B115" s="535" t="s">
        <v>303</v>
      </c>
      <c r="C115" s="719"/>
      <c r="D115" s="719"/>
      <c r="E115" s="719"/>
      <c r="F115" s="719"/>
      <c r="G115" s="719"/>
      <c r="H115" s="719"/>
      <c r="I115" s="719"/>
      <c r="J115" s="719"/>
      <c r="K115" s="719"/>
      <c r="L115" s="719"/>
      <c r="M115" s="719"/>
      <c r="N115" s="1040">
        <f t="shared" si="85"/>
        <v>0</v>
      </c>
      <c r="P115" s="578">
        <v>54116</v>
      </c>
      <c r="Q115" s="535" t="s">
        <v>303</v>
      </c>
      <c r="R115" s="719"/>
      <c r="S115" s="719"/>
      <c r="T115" s="719"/>
      <c r="U115" s="719"/>
      <c r="V115" s="719"/>
      <c r="W115" s="719"/>
      <c r="X115" s="719"/>
      <c r="Y115" s="732"/>
      <c r="Z115" s="719"/>
      <c r="AA115" s="719"/>
      <c r="AB115" s="719"/>
      <c r="AC115" s="728"/>
      <c r="AD115" s="719"/>
      <c r="AE115" s="732">
        <v>1000</v>
      </c>
      <c r="AF115" s="732"/>
      <c r="AG115" s="719"/>
      <c r="AH115" s="719"/>
      <c r="AI115" s="719"/>
      <c r="AJ115" s="534">
        <f t="shared" si="87"/>
        <v>1000</v>
      </c>
      <c r="AK115" s="538"/>
      <c r="AL115" s="578">
        <v>54116</v>
      </c>
      <c r="AM115" s="535" t="s">
        <v>303</v>
      </c>
      <c r="AN115" s="735"/>
      <c r="AO115" s="735"/>
      <c r="AP115" s="735"/>
      <c r="AQ115" s="809">
        <f t="shared" si="86"/>
        <v>0</v>
      </c>
      <c r="AS115" s="578">
        <v>54116</v>
      </c>
      <c r="AT115" s="535" t="s">
        <v>303</v>
      </c>
      <c r="AU115" s="724"/>
      <c r="AV115" s="724"/>
      <c r="AW115" s="724"/>
      <c r="AX115" s="724"/>
      <c r="AY115" s="724"/>
      <c r="AZ115" s="724"/>
      <c r="BA115" s="729"/>
      <c r="BB115" s="634">
        <f t="shared" si="88"/>
        <v>0</v>
      </c>
      <c r="BD115" s="1088">
        <f t="shared" si="61"/>
        <v>1000</v>
      </c>
    </row>
    <row r="116" spans="1:56" s="502" customFormat="1" ht="12" thickBot="1" x14ac:dyDescent="0.25">
      <c r="A116" s="578">
        <v>54117</v>
      </c>
      <c r="B116" s="535" t="s">
        <v>304</v>
      </c>
      <c r="C116" s="719"/>
      <c r="D116" s="719"/>
      <c r="E116" s="719"/>
      <c r="F116" s="719"/>
      <c r="G116" s="719"/>
      <c r="H116" s="719"/>
      <c r="I116" s="719"/>
      <c r="J116" s="719"/>
      <c r="K116" s="719"/>
      <c r="L116" s="719"/>
      <c r="M116" s="719"/>
      <c r="N116" s="1040">
        <f t="shared" si="85"/>
        <v>0</v>
      </c>
      <c r="P116" s="578">
        <v>54117</v>
      </c>
      <c r="Q116" s="535" t="s">
        <v>304</v>
      </c>
      <c r="R116" s="719"/>
      <c r="S116" s="719"/>
      <c r="T116" s="719"/>
      <c r="U116" s="719"/>
      <c r="V116" s="719"/>
      <c r="W116" s="719"/>
      <c r="X116" s="719"/>
      <c r="Y116" s="732"/>
      <c r="Z116" s="719"/>
      <c r="AA116" s="719"/>
      <c r="AB116" s="719"/>
      <c r="AC116" s="728"/>
      <c r="AD116" s="719"/>
      <c r="AE116" s="732"/>
      <c r="AF116" s="732"/>
      <c r="AG116" s="719"/>
      <c r="AH116" s="719"/>
      <c r="AI116" s="719"/>
      <c r="AJ116" s="534">
        <f t="shared" si="87"/>
        <v>0</v>
      </c>
      <c r="AK116" s="538"/>
      <c r="AL116" s="578">
        <v>54117</v>
      </c>
      <c r="AM116" s="535" t="s">
        <v>304</v>
      </c>
      <c r="AN116" s="735"/>
      <c r="AO116" s="735"/>
      <c r="AP116" s="735"/>
      <c r="AQ116" s="809">
        <f t="shared" si="86"/>
        <v>0</v>
      </c>
      <c r="AS116" s="578">
        <v>54117</v>
      </c>
      <c r="AT116" s="535" t="s">
        <v>304</v>
      </c>
      <c r="AU116" s="724"/>
      <c r="AV116" s="724"/>
      <c r="AW116" s="724"/>
      <c r="AX116" s="724"/>
      <c r="AY116" s="724"/>
      <c r="AZ116" s="724">
        <v>5800</v>
      </c>
      <c r="BA116" s="729"/>
      <c r="BB116" s="634">
        <f t="shared" si="88"/>
        <v>5800</v>
      </c>
      <c r="BD116" s="1088">
        <f t="shared" si="61"/>
        <v>5800</v>
      </c>
    </row>
    <row r="117" spans="1:56" s="502" customFormat="1" ht="12" thickBot="1" x14ac:dyDescent="0.25">
      <c r="A117" s="578">
        <v>54118</v>
      </c>
      <c r="B117" s="535" t="s">
        <v>461</v>
      </c>
      <c r="C117" s="719"/>
      <c r="D117" s="719"/>
      <c r="E117" s="719"/>
      <c r="F117" s="719"/>
      <c r="G117" s="719"/>
      <c r="H117" s="719"/>
      <c r="I117" s="719"/>
      <c r="J117" s="719"/>
      <c r="K117" s="719"/>
      <c r="L117" s="719"/>
      <c r="M117" s="719">
        <v>4145</v>
      </c>
      <c r="N117" s="1040">
        <f t="shared" si="85"/>
        <v>4145</v>
      </c>
      <c r="P117" s="578">
        <v>54118</v>
      </c>
      <c r="Q117" s="535" t="s">
        <v>305</v>
      </c>
      <c r="R117" s="719"/>
      <c r="S117" s="719"/>
      <c r="T117" s="719"/>
      <c r="U117" s="719"/>
      <c r="V117" s="719"/>
      <c r="W117" s="719"/>
      <c r="X117" s="719"/>
      <c r="Y117" s="732"/>
      <c r="Z117" s="719"/>
      <c r="AA117" s="719"/>
      <c r="AB117" s="719"/>
      <c r="AC117" s="728"/>
      <c r="AD117" s="719"/>
      <c r="AE117" s="732">
        <v>1000</v>
      </c>
      <c r="AF117" s="732"/>
      <c r="AG117" s="719"/>
      <c r="AH117" s="719"/>
      <c r="AI117" s="719"/>
      <c r="AJ117" s="534">
        <f t="shared" si="87"/>
        <v>1000</v>
      </c>
      <c r="AK117" s="538"/>
      <c r="AL117" s="578">
        <v>54118</v>
      </c>
      <c r="AM117" s="535" t="s">
        <v>305</v>
      </c>
      <c r="AN117" s="735"/>
      <c r="AO117" s="735"/>
      <c r="AP117" s="735"/>
      <c r="AQ117" s="809">
        <f t="shared" si="86"/>
        <v>0</v>
      </c>
      <c r="AS117" s="578">
        <v>54118</v>
      </c>
      <c r="AT117" s="535" t="s">
        <v>305</v>
      </c>
      <c r="AU117" s="724"/>
      <c r="AV117" s="724"/>
      <c r="AW117" s="724">
        <v>884</v>
      </c>
      <c r="AX117" s="724"/>
      <c r="AY117" s="724"/>
      <c r="AZ117" s="724"/>
      <c r="BA117" s="729"/>
      <c r="BB117" s="634">
        <f t="shared" si="88"/>
        <v>884</v>
      </c>
      <c r="BD117" s="1088">
        <f t="shared" si="61"/>
        <v>6029</v>
      </c>
    </row>
    <row r="118" spans="1:56" s="502" customFormat="1" ht="12" thickBot="1" x14ac:dyDescent="0.25">
      <c r="A118" s="578">
        <v>54119</v>
      </c>
      <c r="B118" s="535" t="s">
        <v>306</v>
      </c>
      <c r="C118" s="719"/>
      <c r="D118" s="719"/>
      <c r="E118" s="719"/>
      <c r="F118" s="719"/>
      <c r="G118" s="719"/>
      <c r="H118" s="719"/>
      <c r="I118" s="719"/>
      <c r="J118" s="719"/>
      <c r="K118" s="719"/>
      <c r="L118" s="719"/>
      <c r="M118" s="719"/>
      <c r="N118" s="1040">
        <f t="shared" si="85"/>
        <v>0</v>
      </c>
      <c r="P118" s="578">
        <v>54119</v>
      </c>
      <c r="Q118" s="535" t="s">
        <v>306</v>
      </c>
      <c r="R118" s="719"/>
      <c r="S118" s="719"/>
      <c r="T118" s="719"/>
      <c r="U118" s="719"/>
      <c r="V118" s="719"/>
      <c r="W118" s="719"/>
      <c r="X118" s="719"/>
      <c r="Y118" s="732"/>
      <c r="Z118" s="719" t="s">
        <v>677</v>
      </c>
      <c r="AA118" s="719"/>
      <c r="AB118" s="719"/>
      <c r="AC118" s="719"/>
      <c r="AD118" s="719"/>
      <c r="AE118" s="732"/>
      <c r="AF118" s="732"/>
      <c r="AG118" s="719"/>
      <c r="AH118" s="719"/>
      <c r="AI118" s="719"/>
      <c r="AJ118" s="534">
        <f t="shared" si="87"/>
        <v>0</v>
      </c>
      <c r="AK118" s="538"/>
      <c r="AL118" s="578">
        <v>54119</v>
      </c>
      <c r="AM118" s="535" t="s">
        <v>306</v>
      </c>
      <c r="AN118" s="735"/>
      <c r="AO118" s="735"/>
      <c r="AP118" s="735"/>
      <c r="AQ118" s="809">
        <f t="shared" si="86"/>
        <v>0</v>
      </c>
      <c r="AS118" s="578">
        <v>54119</v>
      </c>
      <c r="AT118" s="535" t="s">
        <v>306</v>
      </c>
      <c r="AU118" s="724"/>
      <c r="AV118" s="724"/>
      <c r="AW118" s="724">
        <v>18200.47</v>
      </c>
      <c r="AX118" s="724"/>
      <c r="AY118" s="724"/>
      <c r="AZ118" s="724"/>
      <c r="BA118" s="729"/>
      <c r="BB118" s="634">
        <f>SUM(AU118:BA118)</f>
        <v>18200.47</v>
      </c>
      <c r="BD118" s="1088">
        <f t="shared" si="61"/>
        <v>18200.47</v>
      </c>
    </row>
    <row r="119" spans="1:56" s="502" customFormat="1" ht="12" thickBot="1" x14ac:dyDescent="0.25">
      <c r="A119" s="578">
        <v>54121</v>
      </c>
      <c r="B119" s="535" t="s">
        <v>307</v>
      </c>
      <c r="C119" s="719"/>
      <c r="D119" s="719"/>
      <c r="E119" s="719"/>
      <c r="F119" s="719"/>
      <c r="G119" s="719"/>
      <c r="H119" s="719"/>
      <c r="I119" s="719"/>
      <c r="J119" s="719"/>
      <c r="K119" s="719"/>
      <c r="L119" s="719"/>
      <c r="M119" s="719"/>
      <c r="N119" s="1040">
        <f t="shared" si="85"/>
        <v>0</v>
      </c>
      <c r="P119" s="578">
        <v>54121</v>
      </c>
      <c r="Q119" s="535" t="s">
        <v>307</v>
      </c>
      <c r="R119" s="719"/>
      <c r="S119" s="719"/>
      <c r="T119" s="719"/>
      <c r="U119" s="719"/>
      <c r="V119" s="719">
        <v>31200</v>
      </c>
      <c r="W119" s="719"/>
      <c r="X119" s="719"/>
      <c r="Y119" s="732"/>
      <c r="Z119" s="719"/>
      <c r="AA119" s="719"/>
      <c r="AB119" s="719"/>
      <c r="AC119" s="719"/>
      <c r="AD119" s="719"/>
      <c r="AE119" s="732"/>
      <c r="AF119" s="732"/>
      <c r="AG119" s="719"/>
      <c r="AH119" s="719"/>
      <c r="AI119" s="719"/>
      <c r="AJ119" s="534">
        <f t="shared" si="87"/>
        <v>31200</v>
      </c>
      <c r="AK119" s="538"/>
      <c r="AL119" s="578">
        <v>54121</v>
      </c>
      <c r="AM119" s="535" t="s">
        <v>307</v>
      </c>
      <c r="AN119" s="735"/>
      <c r="AO119" s="735"/>
      <c r="AP119" s="735"/>
      <c r="AQ119" s="809">
        <f t="shared" si="86"/>
        <v>0</v>
      </c>
      <c r="AS119" s="578">
        <v>54121</v>
      </c>
      <c r="AT119" s="535" t="s">
        <v>307</v>
      </c>
      <c r="AU119" s="724"/>
      <c r="AV119" s="724"/>
      <c r="AW119" s="724"/>
      <c r="AX119" s="724"/>
      <c r="AY119" s="724"/>
      <c r="AZ119" s="724"/>
      <c r="BA119" s="729"/>
      <c r="BB119" s="634">
        <f t="shared" si="88"/>
        <v>0</v>
      </c>
      <c r="BD119" s="1088">
        <f t="shared" si="61"/>
        <v>31200</v>
      </c>
    </row>
    <row r="120" spans="1:56" s="502" customFormat="1" ht="12" thickBot="1" x14ac:dyDescent="0.25">
      <c r="A120" s="578">
        <v>54199</v>
      </c>
      <c r="B120" s="535" t="s">
        <v>386</v>
      </c>
      <c r="C120" s="719">
        <v>800</v>
      </c>
      <c r="D120" s="719">
        <v>1160</v>
      </c>
      <c r="E120" s="719"/>
      <c r="F120" s="719">
        <v>30</v>
      </c>
      <c r="G120" s="719"/>
      <c r="H120" s="719"/>
      <c r="I120" s="719"/>
      <c r="J120" s="719"/>
      <c r="K120" s="719"/>
      <c r="L120" s="719">
        <v>40</v>
      </c>
      <c r="M120" s="719">
        <v>150</v>
      </c>
      <c r="N120" s="1040">
        <f t="shared" si="85"/>
        <v>2180</v>
      </c>
      <c r="P120" s="578">
        <v>54199</v>
      </c>
      <c r="Q120" s="535" t="s">
        <v>386</v>
      </c>
      <c r="R120" s="719"/>
      <c r="S120" s="719"/>
      <c r="T120" s="719"/>
      <c r="U120" s="719">
        <v>600</v>
      </c>
      <c r="V120" s="719"/>
      <c r="W120" s="719"/>
      <c r="X120" s="719"/>
      <c r="Y120" s="732"/>
      <c r="Z120" s="719">
        <v>10000</v>
      </c>
      <c r="AA120" s="719"/>
      <c r="AB120" s="719"/>
      <c r="AC120" s="719"/>
      <c r="AD120" s="719">
        <v>1100</v>
      </c>
      <c r="AE120" s="732"/>
      <c r="AF120" s="732"/>
      <c r="AG120" s="719"/>
      <c r="AH120" s="719"/>
      <c r="AI120" s="719"/>
      <c r="AJ120" s="534">
        <f t="shared" si="87"/>
        <v>11700</v>
      </c>
      <c r="AK120" s="538"/>
      <c r="AL120" s="578">
        <v>54199</v>
      </c>
      <c r="AM120" s="535" t="s">
        <v>386</v>
      </c>
      <c r="AN120" s="735"/>
      <c r="AO120" s="735">
        <v>5000</v>
      </c>
      <c r="AP120" s="735"/>
      <c r="AQ120" s="809">
        <f t="shared" si="86"/>
        <v>5000</v>
      </c>
      <c r="AS120" s="578">
        <v>54199</v>
      </c>
      <c r="AT120" s="535" t="s">
        <v>386</v>
      </c>
      <c r="AU120" s="724"/>
      <c r="AV120" s="724"/>
      <c r="AW120" s="724"/>
      <c r="AX120" s="724"/>
      <c r="AY120" s="724"/>
      <c r="AZ120" s="724"/>
      <c r="BA120" s="729"/>
      <c r="BB120" s="634">
        <f t="shared" si="88"/>
        <v>0</v>
      </c>
      <c r="BD120" s="1088">
        <f t="shared" si="61"/>
        <v>18880</v>
      </c>
    </row>
    <row r="121" spans="1:56" s="856" customFormat="1" ht="12" thickBot="1" x14ac:dyDescent="0.25">
      <c r="A121" s="577">
        <v>542</v>
      </c>
      <c r="B121" s="533" t="s">
        <v>109</v>
      </c>
      <c r="C121" s="719">
        <f>SUM(C122:C125)</f>
        <v>0</v>
      </c>
      <c r="D121" s="719">
        <f t="shared" ref="D121:G121" si="89">SUM(D122:D125)</f>
        <v>0</v>
      </c>
      <c r="E121" s="719">
        <f t="shared" si="89"/>
        <v>0</v>
      </c>
      <c r="F121" s="719">
        <f t="shared" si="89"/>
        <v>0</v>
      </c>
      <c r="G121" s="719">
        <f t="shared" si="89"/>
        <v>0</v>
      </c>
      <c r="H121" s="719"/>
      <c r="I121" s="719">
        <f t="shared" ref="I121:L121" si="90">SUM(I122:I125)</f>
        <v>0</v>
      </c>
      <c r="J121" s="719">
        <f t="shared" si="90"/>
        <v>0</v>
      </c>
      <c r="K121" s="719">
        <f t="shared" si="90"/>
        <v>0</v>
      </c>
      <c r="L121" s="719">
        <f t="shared" si="90"/>
        <v>0</v>
      </c>
      <c r="M121" s="719"/>
      <c r="N121" s="1040">
        <f t="shared" si="85"/>
        <v>0</v>
      </c>
      <c r="P121" s="577">
        <v>542</v>
      </c>
      <c r="Q121" s="533" t="s">
        <v>109</v>
      </c>
      <c r="R121" s="723">
        <f>SUM(R122:R125)</f>
        <v>0</v>
      </c>
      <c r="S121" s="723">
        <f t="shared" ref="S121:AI121" si="91">SUM(S122:S125)</f>
        <v>0</v>
      </c>
      <c r="T121" s="723">
        <f t="shared" si="91"/>
        <v>0</v>
      </c>
      <c r="U121" s="723">
        <f t="shared" si="91"/>
        <v>0</v>
      </c>
      <c r="V121" s="723">
        <f t="shared" si="91"/>
        <v>0</v>
      </c>
      <c r="W121" s="723">
        <f t="shared" si="91"/>
        <v>0</v>
      </c>
      <c r="X121" s="723">
        <f t="shared" si="91"/>
        <v>0</v>
      </c>
      <c r="Y121" s="723">
        <f t="shared" si="91"/>
        <v>0</v>
      </c>
      <c r="Z121" s="723">
        <f t="shared" si="91"/>
        <v>0</v>
      </c>
      <c r="AA121" s="723">
        <f t="shared" si="91"/>
        <v>0</v>
      </c>
      <c r="AB121" s="723">
        <f t="shared" si="91"/>
        <v>0</v>
      </c>
      <c r="AC121" s="723">
        <f t="shared" si="91"/>
        <v>0</v>
      </c>
      <c r="AD121" s="723">
        <f t="shared" si="91"/>
        <v>0</v>
      </c>
      <c r="AE121" s="723">
        <f t="shared" si="91"/>
        <v>3200</v>
      </c>
      <c r="AF121" s="723">
        <f t="shared" si="91"/>
        <v>0</v>
      </c>
      <c r="AG121" s="723">
        <f t="shared" si="91"/>
        <v>0</v>
      </c>
      <c r="AH121" s="723">
        <f t="shared" si="91"/>
        <v>0</v>
      </c>
      <c r="AI121" s="723">
        <f t="shared" si="91"/>
        <v>0</v>
      </c>
      <c r="AJ121" s="534">
        <f t="shared" si="87"/>
        <v>3200</v>
      </c>
      <c r="AK121" s="539"/>
      <c r="AL121" s="577">
        <v>542</v>
      </c>
      <c r="AM121" s="533" t="s">
        <v>109</v>
      </c>
      <c r="AN121" s="737">
        <f>SUM(AN122:AN125)</f>
        <v>0</v>
      </c>
      <c r="AO121" s="737">
        <f>SUM(AO122:AO125)</f>
        <v>0</v>
      </c>
      <c r="AP121" s="737">
        <f>SUM(AP122:AP125)</f>
        <v>0</v>
      </c>
      <c r="AQ121" s="809">
        <f t="shared" si="86"/>
        <v>0</v>
      </c>
      <c r="AS121" s="577">
        <v>542</v>
      </c>
      <c r="AT121" s="533" t="s">
        <v>109</v>
      </c>
      <c r="AU121" s="726">
        <f>SUM(AU122:AU125)</f>
        <v>0</v>
      </c>
      <c r="AV121" s="726">
        <f t="shared" ref="AV121:BA121" si="92">SUM(AV122:AV125)</f>
        <v>0</v>
      </c>
      <c r="AW121" s="726">
        <f t="shared" si="92"/>
        <v>60900</v>
      </c>
      <c r="AX121" s="726">
        <f t="shared" si="92"/>
        <v>0</v>
      </c>
      <c r="AY121" s="726">
        <f t="shared" si="92"/>
        <v>23500</v>
      </c>
      <c r="AZ121" s="726">
        <f t="shared" si="92"/>
        <v>0</v>
      </c>
      <c r="BA121" s="726">
        <f t="shared" si="92"/>
        <v>0</v>
      </c>
      <c r="BB121" s="634">
        <f t="shared" si="88"/>
        <v>84400</v>
      </c>
      <c r="BD121" s="1088">
        <f t="shared" si="61"/>
        <v>87600</v>
      </c>
    </row>
    <row r="122" spans="1:56" s="502" customFormat="1" ht="12" thickBot="1" x14ac:dyDescent="0.25">
      <c r="A122" s="578">
        <v>54201</v>
      </c>
      <c r="B122" s="535" t="s">
        <v>311</v>
      </c>
      <c r="C122" s="719"/>
      <c r="D122" s="719"/>
      <c r="E122" s="719"/>
      <c r="F122" s="719"/>
      <c r="G122" s="719"/>
      <c r="H122" s="719"/>
      <c r="I122" s="719"/>
      <c r="J122" s="719"/>
      <c r="K122" s="719"/>
      <c r="L122" s="719"/>
      <c r="M122" s="719"/>
      <c r="N122" s="1040">
        <f t="shared" si="85"/>
        <v>0</v>
      </c>
      <c r="P122" s="578">
        <v>54201</v>
      </c>
      <c r="Q122" s="535" t="s">
        <v>311</v>
      </c>
      <c r="R122" s="719"/>
      <c r="S122" s="719"/>
      <c r="T122" s="719"/>
      <c r="U122" s="719"/>
      <c r="V122" s="719"/>
      <c r="W122" s="719"/>
      <c r="X122" s="719"/>
      <c r="Y122" s="732"/>
      <c r="Z122" s="719"/>
      <c r="AA122" s="719"/>
      <c r="AB122" s="719"/>
      <c r="AC122" s="719"/>
      <c r="AD122" s="719"/>
      <c r="AE122" s="732"/>
      <c r="AF122" s="732"/>
      <c r="AG122" s="719"/>
      <c r="AH122" s="719"/>
      <c r="AI122" s="719"/>
      <c r="AJ122" s="534">
        <f t="shared" si="87"/>
        <v>0</v>
      </c>
      <c r="AK122" s="538"/>
      <c r="AL122" s="578">
        <v>54201</v>
      </c>
      <c r="AM122" s="535" t="s">
        <v>311</v>
      </c>
      <c r="AN122" s="735"/>
      <c r="AO122" s="735"/>
      <c r="AP122" s="735"/>
      <c r="AQ122" s="809">
        <f t="shared" si="86"/>
        <v>0</v>
      </c>
      <c r="AS122" s="578">
        <v>54201</v>
      </c>
      <c r="AT122" s="535" t="s">
        <v>311</v>
      </c>
      <c r="AU122" s="724"/>
      <c r="AV122" s="724"/>
      <c r="AW122" s="724">
        <v>60900</v>
      </c>
      <c r="AX122" s="724"/>
      <c r="AY122" s="724">
        <v>23500</v>
      </c>
      <c r="AZ122" s="724"/>
      <c r="BA122" s="729"/>
      <c r="BB122" s="634">
        <f t="shared" si="88"/>
        <v>84400</v>
      </c>
      <c r="BD122" s="1088">
        <f t="shared" si="61"/>
        <v>84400</v>
      </c>
    </row>
    <row r="123" spans="1:56" s="502" customFormat="1" ht="12" thickBot="1" x14ac:dyDescent="0.25">
      <c r="A123" s="578">
        <v>54202</v>
      </c>
      <c r="B123" s="535" t="s">
        <v>310</v>
      </c>
      <c r="C123" s="719"/>
      <c r="D123" s="719"/>
      <c r="E123" s="719"/>
      <c r="F123" s="719"/>
      <c r="G123" s="719"/>
      <c r="H123" s="719"/>
      <c r="I123" s="719"/>
      <c r="J123" s="719"/>
      <c r="K123" s="719"/>
      <c r="L123" s="719"/>
      <c r="M123" s="719"/>
      <c r="N123" s="1040">
        <f t="shared" si="85"/>
        <v>0</v>
      </c>
      <c r="P123" s="578">
        <v>54202</v>
      </c>
      <c r="Q123" s="535" t="s">
        <v>310</v>
      </c>
      <c r="R123" s="719"/>
      <c r="S123" s="719"/>
      <c r="T123" s="719"/>
      <c r="U123" s="719"/>
      <c r="V123" s="719"/>
      <c r="W123" s="719"/>
      <c r="X123" s="719"/>
      <c r="Y123" s="732"/>
      <c r="Z123" s="719"/>
      <c r="AA123" s="719"/>
      <c r="AB123" s="719"/>
      <c r="AC123" s="719"/>
      <c r="AD123" s="719"/>
      <c r="AE123" s="732"/>
      <c r="AF123" s="732"/>
      <c r="AG123" s="719"/>
      <c r="AH123" s="719"/>
      <c r="AI123" s="719"/>
      <c r="AJ123" s="534">
        <f t="shared" si="87"/>
        <v>0</v>
      </c>
      <c r="AK123" s="538"/>
      <c r="AL123" s="578">
        <v>54202</v>
      </c>
      <c r="AM123" s="535" t="s">
        <v>310</v>
      </c>
      <c r="AN123" s="735"/>
      <c r="AO123" s="735"/>
      <c r="AP123" s="735"/>
      <c r="AQ123" s="809">
        <f t="shared" si="86"/>
        <v>0</v>
      </c>
      <c r="AS123" s="578">
        <v>54202</v>
      </c>
      <c r="AT123" s="535" t="s">
        <v>310</v>
      </c>
      <c r="AU123" s="724"/>
      <c r="AV123" s="724"/>
      <c r="AW123" s="724"/>
      <c r="AX123" s="724"/>
      <c r="AY123" s="724"/>
      <c r="AZ123" s="724"/>
      <c r="BA123" s="729"/>
      <c r="BB123" s="634">
        <f t="shared" si="88"/>
        <v>0</v>
      </c>
      <c r="BD123" s="1088">
        <f t="shared" si="61"/>
        <v>0</v>
      </c>
    </row>
    <row r="124" spans="1:56" s="502" customFormat="1" ht="12" thickBot="1" x14ac:dyDescent="0.25">
      <c r="A124" s="578">
        <v>54203</v>
      </c>
      <c r="B124" s="535" t="s">
        <v>312</v>
      </c>
      <c r="C124" s="719"/>
      <c r="D124" s="719"/>
      <c r="E124" s="719"/>
      <c r="F124" s="719"/>
      <c r="G124" s="719"/>
      <c r="H124" s="719"/>
      <c r="I124" s="719"/>
      <c r="J124" s="719"/>
      <c r="K124" s="719"/>
      <c r="L124" s="719"/>
      <c r="M124" s="719"/>
      <c r="N124" s="1040">
        <f t="shared" si="85"/>
        <v>0</v>
      </c>
      <c r="P124" s="578">
        <v>54203</v>
      </c>
      <c r="Q124" s="535" t="s">
        <v>312</v>
      </c>
      <c r="R124" s="719"/>
      <c r="S124" s="719"/>
      <c r="T124" s="719"/>
      <c r="U124" s="719"/>
      <c r="V124" s="719"/>
      <c r="W124" s="719"/>
      <c r="X124" s="719"/>
      <c r="Y124" s="732"/>
      <c r="Z124" s="719"/>
      <c r="AA124" s="719"/>
      <c r="AB124" s="719"/>
      <c r="AC124" s="719"/>
      <c r="AD124" s="719"/>
      <c r="AE124" s="732">
        <v>3200</v>
      </c>
      <c r="AF124" s="732"/>
      <c r="AG124" s="719"/>
      <c r="AH124" s="719"/>
      <c r="AI124" s="719"/>
      <c r="AJ124" s="534">
        <f t="shared" si="87"/>
        <v>3200</v>
      </c>
      <c r="AK124" s="538"/>
      <c r="AL124" s="578">
        <v>54203</v>
      </c>
      <c r="AM124" s="535" t="s">
        <v>312</v>
      </c>
      <c r="AN124" s="735"/>
      <c r="AO124" s="735"/>
      <c r="AP124" s="735"/>
      <c r="AQ124" s="809">
        <f t="shared" si="86"/>
        <v>0</v>
      </c>
      <c r="AS124" s="578">
        <v>54203</v>
      </c>
      <c r="AT124" s="535" t="s">
        <v>312</v>
      </c>
      <c r="AU124" s="724"/>
      <c r="AV124" s="724"/>
      <c r="AW124" s="724"/>
      <c r="AX124" s="724"/>
      <c r="AY124" s="724"/>
      <c r="AZ124" s="724"/>
      <c r="BA124" s="729"/>
      <c r="BB124" s="634">
        <f t="shared" si="88"/>
        <v>0</v>
      </c>
      <c r="BD124" s="1088">
        <f t="shared" si="61"/>
        <v>3200</v>
      </c>
    </row>
    <row r="125" spans="1:56" s="502" customFormat="1" ht="12" thickBot="1" x14ac:dyDescent="0.25">
      <c r="A125" s="578">
        <v>54204</v>
      </c>
      <c r="B125" s="535" t="s">
        <v>313</v>
      </c>
      <c r="C125" s="719"/>
      <c r="D125" s="719"/>
      <c r="E125" s="719"/>
      <c r="F125" s="719"/>
      <c r="G125" s="719"/>
      <c r="H125" s="719"/>
      <c r="I125" s="719"/>
      <c r="J125" s="719"/>
      <c r="K125" s="719"/>
      <c r="L125" s="719"/>
      <c r="M125" s="719"/>
      <c r="N125" s="1040">
        <f t="shared" si="85"/>
        <v>0</v>
      </c>
      <c r="P125" s="578">
        <v>54204</v>
      </c>
      <c r="Q125" s="535" t="s">
        <v>313</v>
      </c>
      <c r="R125" s="719"/>
      <c r="S125" s="719"/>
      <c r="T125" s="719"/>
      <c r="U125" s="719"/>
      <c r="V125" s="719"/>
      <c r="W125" s="719"/>
      <c r="X125" s="719"/>
      <c r="Y125" s="732"/>
      <c r="Z125" s="719"/>
      <c r="AA125" s="719"/>
      <c r="AB125" s="719"/>
      <c r="AC125" s="719"/>
      <c r="AD125" s="719"/>
      <c r="AE125" s="732"/>
      <c r="AF125" s="732"/>
      <c r="AG125" s="719"/>
      <c r="AH125" s="719"/>
      <c r="AI125" s="719"/>
      <c r="AJ125" s="534">
        <f t="shared" si="87"/>
        <v>0</v>
      </c>
      <c r="AK125" s="538"/>
      <c r="AL125" s="578">
        <v>54204</v>
      </c>
      <c r="AM125" s="535" t="s">
        <v>313</v>
      </c>
      <c r="AN125" s="735"/>
      <c r="AO125" s="735"/>
      <c r="AP125" s="735"/>
      <c r="AQ125" s="809">
        <f t="shared" si="86"/>
        <v>0</v>
      </c>
      <c r="AS125" s="578">
        <v>54204</v>
      </c>
      <c r="AT125" s="535" t="s">
        <v>313</v>
      </c>
      <c r="AU125" s="724"/>
      <c r="AV125" s="724"/>
      <c r="AW125" s="724"/>
      <c r="AX125" s="724"/>
      <c r="AY125" s="724"/>
      <c r="AZ125" s="724"/>
      <c r="BA125" s="729"/>
      <c r="BB125" s="634">
        <f t="shared" si="88"/>
        <v>0</v>
      </c>
      <c r="BD125" s="1088">
        <f t="shared" si="61"/>
        <v>0</v>
      </c>
    </row>
    <row r="126" spans="1:56" s="856" customFormat="1" ht="12" thickBot="1" x14ac:dyDescent="0.25">
      <c r="A126" s="577">
        <v>543</v>
      </c>
      <c r="B126" s="533" t="s">
        <v>110</v>
      </c>
      <c r="C126" s="719">
        <f>SUM(C127:C140)</f>
        <v>250</v>
      </c>
      <c r="D126" s="719">
        <f t="shared" ref="D126:M126" si="93">SUM(D127:D140)</f>
        <v>5783.22</v>
      </c>
      <c r="E126" s="719">
        <f t="shared" si="93"/>
        <v>0</v>
      </c>
      <c r="F126" s="719">
        <f t="shared" si="93"/>
        <v>0</v>
      </c>
      <c r="G126" s="719">
        <f t="shared" si="93"/>
        <v>0</v>
      </c>
      <c r="H126" s="719">
        <f t="shared" si="93"/>
        <v>3000</v>
      </c>
      <c r="I126" s="719">
        <f t="shared" si="93"/>
        <v>500</v>
      </c>
      <c r="J126" s="719">
        <f t="shared" si="93"/>
        <v>12100</v>
      </c>
      <c r="K126" s="719">
        <f t="shared" si="93"/>
        <v>1000</v>
      </c>
      <c r="L126" s="719">
        <f t="shared" si="93"/>
        <v>400</v>
      </c>
      <c r="M126" s="719">
        <f t="shared" si="93"/>
        <v>2280</v>
      </c>
      <c r="N126" s="1040">
        <f t="shared" si="85"/>
        <v>25313.22</v>
      </c>
      <c r="P126" s="577">
        <v>543</v>
      </c>
      <c r="Q126" s="533" t="s">
        <v>110</v>
      </c>
      <c r="R126" s="723">
        <f>SUM(R127:R140)</f>
        <v>0</v>
      </c>
      <c r="S126" s="723">
        <f t="shared" ref="S126:AI126" si="94">SUM(S127:S140)</f>
        <v>10000</v>
      </c>
      <c r="T126" s="723">
        <f t="shared" si="94"/>
        <v>0</v>
      </c>
      <c r="U126" s="723">
        <f t="shared" si="94"/>
        <v>26050</v>
      </c>
      <c r="V126" s="723">
        <f t="shared" si="94"/>
        <v>600</v>
      </c>
      <c r="W126" s="723">
        <f t="shared" si="94"/>
        <v>0</v>
      </c>
      <c r="X126" s="723">
        <f t="shared" si="94"/>
        <v>1560</v>
      </c>
      <c r="Y126" s="723">
        <f t="shared" si="94"/>
        <v>1100</v>
      </c>
      <c r="Z126" s="723">
        <f t="shared" si="94"/>
        <v>77500</v>
      </c>
      <c r="AA126" s="723">
        <f t="shared" si="94"/>
        <v>900</v>
      </c>
      <c r="AB126" s="723">
        <f t="shared" si="94"/>
        <v>0</v>
      </c>
      <c r="AC126" s="723">
        <f t="shared" si="94"/>
        <v>35000</v>
      </c>
      <c r="AD126" s="723">
        <f t="shared" si="94"/>
        <v>400</v>
      </c>
      <c r="AE126" s="723">
        <f t="shared" si="94"/>
        <v>3400</v>
      </c>
      <c r="AF126" s="723">
        <f t="shared" si="94"/>
        <v>0</v>
      </c>
      <c r="AG126" s="723">
        <f t="shared" si="94"/>
        <v>0</v>
      </c>
      <c r="AH126" s="723">
        <f t="shared" si="94"/>
        <v>0</v>
      </c>
      <c r="AI126" s="723">
        <f t="shared" si="94"/>
        <v>0</v>
      </c>
      <c r="AJ126" s="534">
        <f>SUM(R126:AI126)</f>
        <v>156510</v>
      </c>
      <c r="AK126" s="539"/>
      <c r="AL126" s="577">
        <v>543</v>
      </c>
      <c r="AM126" s="533" t="s">
        <v>110</v>
      </c>
      <c r="AN126" s="737">
        <f>SUM(AN127:AN140)</f>
        <v>10000</v>
      </c>
      <c r="AO126" s="737">
        <f>SUM(AO127:AO140)</f>
        <v>0</v>
      </c>
      <c r="AP126" s="737">
        <f>SUM(AP127:AP140)</f>
        <v>1670</v>
      </c>
      <c r="AQ126" s="809">
        <f t="shared" si="86"/>
        <v>11670</v>
      </c>
      <c r="AS126" s="577">
        <v>543</v>
      </c>
      <c r="AT126" s="533" t="s">
        <v>110</v>
      </c>
      <c r="AU126" s="726">
        <f>SUM(AU127:AU140)</f>
        <v>0</v>
      </c>
      <c r="AV126" s="726">
        <f t="shared" ref="AV126:BA126" si="95">SUM(AV127:AV140)</f>
        <v>0</v>
      </c>
      <c r="AW126" s="726">
        <f t="shared" si="95"/>
        <v>0</v>
      </c>
      <c r="AX126" s="726">
        <f t="shared" si="95"/>
        <v>0</v>
      </c>
      <c r="AY126" s="726">
        <f t="shared" si="95"/>
        <v>0</v>
      </c>
      <c r="AZ126" s="726">
        <f t="shared" si="95"/>
        <v>0</v>
      </c>
      <c r="BA126" s="726">
        <f t="shared" si="95"/>
        <v>15000</v>
      </c>
      <c r="BB126" s="634">
        <f t="shared" si="88"/>
        <v>15000</v>
      </c>
      <c r="BD126" s="1088">
        <f t="shared" si="61"/>
        <v>208493.22</v>
      </c>
    </row>
    <row r="127" spans="1:56" s="502" customFormat="1" ht="12" thickBot="1" x14ac:dyDescent="0.25">
      <c r="A127" s="578">
        <v>54301</v>
      </c>
      <c r="B127" s="535" t="s">
        <v>314</v>
      </c>
      <c r="C127" s="719">
        <v>250</v>
      </c>
      <c r="D127" s="719">
        <v>600</v>
      </c>
      <c r="E127" s="719"/>
      <c r="F127" s="719"/>
      <c r="G127" s="719"/>
      <c r="H127" s="719"/>
      <c r="I127" s="719">
        <v>500</v>
      </c>
      <c r="J127" s="719">
        <v>600</v>
      </c>
      <c r="K127" s="719"/>
      <c r="L127" s="719"/>
      <c r="M127" s="719">
        <v>2280</v>
      </c>
      <c r="N127" s="1040">
        <f t="shared" si="85"/>
        <v>4230</v>
      </c>
      <c r="P127" s="578">
        <v>54301</v>
      </c>
      <c r="Q127" s="535" t="s">
        <v>314</v>
      </c>
      <c r="R127" s="719"/>
      <c r="S127" s="719"/>
      <c r="T127" s="719"/>
      <c r="U127" s="719"/>
      <c r="V127" s="719">
        <v>600</v>
      </c>
      <c r="W127" s="719"/>
      <c r="X127" s="719">
        <v>400</v>
      </c>
      <c r="Y127" s="732"/>
      <c r="Z127" s="719">
        <v>2500</v>
      </c>
      <c r="AA127" s="719"/>
      <c r="AB127" s="719"/>
      <c r="AC127" s="719">
        <v>35000</v>
      </c>
      <c r="AD127" s="719"/>
      <c r="AE127" s="732"/>
      <c r="AF127" s="732"/>
      <c r="AG127" s="719"/>
      <c r="AH127" s="719"/>
      <c r="AI127" s="719"/>
      <c r="AJ127" s="534">
        <f t="shared" si="87"/>
        <v>38500</v>
      </c>
      <c r="AK127" s="538"/>
      <c r="AL127" s="578">
        <v>54301</v>
      </c>
      <c r="AM127" s="535" t="s">
        <v>314</v>
      </c>
      <c r="AN127" s="735">
        <v>5000</v>
      </c>
      <c r="AO127" s="735"/>
      <c r="AP127" s="735">
        <v>550</v>
      </c>
      <c r="AQ127" s="809">
        <f t="shared" si="86"/>
        <v>5550</v>
      </c>
      <c r="AS127" s="578">
        <v>54301</v>
      </c>
      <c r="AT127" s="535" t="s">
        <v>314</v>
      </c>
      <c r="AU127" s="724"/>
      <c r="AV127" s="724"/>
      <c r="AW127" s="724"/>
      <c r="AX127" s="724"/>
      <c r="AY127" s="724"/>
      <c r="AZ127" s="724"/>
      <c r="BA127" s="729">
        <v>15000</v>
      </c>
      <c r="BB127" s="634">
        <f t="shared" si="88"/>
        <v>15000</v>
      </c>
      <c r="BD127" s="1088">
        <f t="shared" si="61"/>
        <v>63280</v>
      </c>
    </row>
    <row r="128" spans="1:56" s="502" customFormat="1" ht="12" thickBot="1" x14ac:dyDescent="0.25">
      <c r="A128" s="578">
        <v>54302</v>
      </c>
      <c r="B128" s="535" t="s">
        <v>315</v>
      </c>
      <c r="C128" s="719"/>
      <c r="D128" s="719"/>
      <c r="E128" s="719"/>
      <c r="F128" s="719"/>
      <c r="G128" s="719"/>
      <c r="H128" s="719"/>
      <c r="I128" s="719"/>
      <c r="J128" s="719"/>
      <c r="K128" s="719"/>
      <c r="L128" s="719"/>
      <c r="M128" s="719"/>
      <c r="N128" s="1040">
        <f t="shared" si="85"/>
        <v>0</v>
      </c>
      <c r="P128" s="578">
        <v>54302</v>
      </c>
      <c r="Q128" s="535" t="s">
        <v>315</v>
      </c>
      <c r="R128" s="719"/>
      <c r="S128" s="719"/>
      <c r="T128" s="719"/>
      <c r="U128" s="719"/>
      <c r="V128" s="719"/>
      <c r="W128" s="719"/>
      <c r="X128" s="719"/>
      <c r="Y128" s="732"/>
      <c r="Z128" s="719"/>
      <c r="AA128" s="719"/>
      <c r="AB128" s="719"/>
      <c r="AC128" s="719"/>
      <c r="AD128" s="719"/>
      <c r="AE128" s="732"/>
      <c r="AF128" s="732"/>
      <c r="AG128" s="719"/>
      <c r="AH128" s="719"/>
      <c r="AI128" s="719"/>
      <c r="AJ128" s="534">
        <f t="shared" si="87"/>
        <v>0</v>
      </c>
      <c r="AK128" s="538"/>
      <c r="AL128" s="578">
        <v>54302</v>
      </c>
      <c r="AM128" s="535" t="s">
        <v>315</v>
      </c>
      <c r="AN128" s="735"/>
      <c r="AO128" s="735"/>
      <c r="AP128" s="735"/>
      <c r="AQ128" s="809">
        <f t="shared" si="86"/>
        <v>0</v>
      </c>
      <c r="AS128" s="578">
        <v>54302</v>
      </c>
      <c r="AT128" s="535" t="s">
        <v>315</v>
      </c>
      <c r="AU128" s="724"/>
      <c r="AV128" s="724"/>
      <c r="AW128" s="724"/>
      <c r="AX128" s="724"/>
      <c r="AY128" s="724"/>
      <c r="AZ128" s="724"/>
      <c r="BA128" s="729"/>
      <c r="BB128" s="634">
        <f t="shared" si="88"/>
        <v>0</v>
      </c>
      <c r="BD128" s="1088">
        <f t="shared" si="61"/>
        <v>0</v>
      </c>
    </row>
    <row r="129" spans="1:56" s="502" customFormat="1" ht="12" thickBot="1" x14ac:dyDescent="0.25">
      <c r="A129" s="578">
        <v>54303</v>
      </c>
      <c r="B129" s="535" t="s">
        <v>316</v>
      </c>
      <c r="C129" s="719"/>
      <c r="D129" s="719"/>
      <c r="E129" s="719"/>
      <c r="F129" s="719"/>
      <c r="G129" s="719"/>
      <c r="H129" s="719"/>
      <c r="I129" s="719"/>
      <c r="J129" s="719"/>
      <c r="K129" s="719"/>
      <c r="L129" s="719"/>
      <c r="M129" s="719"/>
      <c r="N129" s="1040">
        <f t="shared" si="85"/>
        <v>0</v>
      </c>
      <c r="P129" s="578">
        <v>54303</v>
      </c>
      <c r="Q129" s="535" t="s">
        <v>316</v>
      </c>
      <c r="R129" s="719"/>
      <c r="S129" s="719"/>
      <c r="T129" s="719"/>
      <c r="U129" s="719"/>
      <c r="V129" s="719"/>
      <c r="W129" s="719"/>
      <c r="X129" s="719"/>
      <c r="Y129" s="732"/>
      <c r="Z129" s="719"/>
      <c r="AA129" s="719"/>
      <c r="AB129" s="719"/>
      <c r="AC129" s="719"/>
      <c r="AD129" s="719"/>
      <c r="AE129" s="732"/>
      <c r="AF129" s="732"/>
      <c r="AG129" s="719"/>
      <c r="AH129" s="719"/>
      <c r="AI129" s="719"/>
      <c r="AJ129" s="534">
        <f t="shared" si="87"/>
        <v>0</v>
      </c>
      <c r="AK129" s="538"/>
      <c r="AL129" s="578">
        <v>54303</v>
      </c>
      <c r="AM129" s="535" t="s">
        <v>316</v>
      </c>
      <c r="AN129" s="735">
        <v>5000</v>
      </c>
      <c r="AO129" s="735"/>
      <c r="AP129" s="735"/>
      <c r="AQ129" s="809">
        <f t="shared" si="86"/>
        <v>5000</v>
      </c>
      <c r="AS129" s="578">
        <v>54303</v>
      </c>
      <c r="AT129" s="535" t="s">
        <v>316</v>
      </c>
      <c r="AU129" s="724"/>
      <c r="AV129" s="724"/>
      <c r="AW129" s="724"/>
      <c r="AX129" s="724"/>
      <c r="AY129" s="724"/>
      <c r="AZ129" s="724"/>
      <c r="BA129" s="729"/>
      <c r="BB129" s="634">
        <f t="shared" si="88"/>
        <v>0</v>
      </c>
      <c r="BD129" s="1088">
        <f t="shared" si="61"/>
        <v>5000</v>
      </c>
    </row>
    <row r="130" spans="1:56" s="502" customFormat="1" ht="12" thickBot="1" x14ac:dyDescent="0.25">
      <c r="A130" s="578">
        <v>54304</v>
      </c>
      <c r="B130" s="535" t="s">
        <v>317</v>
      </c>
      <c r="C130" s="719"/>
      <c r="D130" s="719"/>
      <c r="E130" s="719"/>
      <c r="F130" s="719"/>
      <c r="G130" s="719"/>
      <c r="H130" s="719"/>
      <c r="I130" s="719"/>
      <c r="J130" s="719"/>
      <c r="K130" s="719"/>
      <c r="L130" s="719"/>
      <c r="M130" s="719"/>
      <c r="N130" s="1040">
        <f t="shared" si="85"/>
        <v>0</v>
      </c>
      <c r="P130" s="578">
        <v>54304</v>
      </c>
      <c r="Q130" s="535" t="s">
        <v>317</v>
      </c>
      <c r="R130" s="719"/>
      <c r="S130" s="719"/>
      <c r="T130" s="719"/>
      <c r="U130" s="719"/>
      <c r="V130" s="719"/>
      <c r="W130" s="719"/>
      <c r="X130" s="719"/>
      <c r="Y130" s="732"/>
      <c r="Z130" s="719"/>
      <c r="AA130" s="719"/>
      <c r="AB130" s="719"/>
      <c r="AC130" s="719"/>
      <c r="AD130" s="719"/>
      <c r="AE130" s="732"/>
      <c r="AF130" s="732"/>
      <c r="AG130" s="719"/>
      <c r="AH130" s="719"/>
      <c r="AI130" s="719"/>
      <c r="AJ130" s="534">
        <f t="shared" si="87"/>
        <v>0</v>
      </c>
      <c r="AK130" s="538"/>
      <c r="AL130" s="578">
        <v>54304</v>
      </c>
      <c r="AM130" s="535" t="s">
        <v>317</v>
      </c>
      <c r="AN130" s="735">
        <v>0</v>
      </c>
      <c r="AO130" s="735"/>
      <c r="AP130" s="735"/>
      <c r="AQ130" s="809">
        <f t="shared" si="86"/>
        <v>0</v>
      </c>
      <c r="AS130" s="578">
        <v>54304</v>
      </c>
      <c r="AT130" s="535" t="s">
        <v>317</v>
      </c>
      <c r="AU130" s="724"/>
      <c r="AV130" s="724"/>
      <c r="AW130" s="724"/>
      <c r="AX130" s="724"/>
      <c r="AY130" s="724"/>
      <c r="AZ130" s="724"/>
      <c r="BA130" s="729"/>
      <c r="BB130" s="634">
        <f t="shared" si="88"/>
        <v>0</v>
      </c>
      <c r="BD130" s="1088">
        <f t="shared" si="61"/>
        <v>0</v>
      </c>
    </row>
    <row r="131" spans="1:56" s="502" customFormat="1" ht="12" thickBot="1" x14ac:dyDescent="0.25">
      <c r="A131" s="578">
        <v>54305</v>
      </c>
      <c r="B131" s="535" t="s">
        <v>318</v>
      </c>
      <c r="C131" s="719"/>
      <c r="D131" s="719"/>
      <c r="E131" s="719"/>
      <c r="F131" s="719"/>
      <c r="G131" s="719"/>
      <c r="H131" s="719"/>
      <c r="I131" s="719"/>
      <c r="J131" s="719">
        <f>7500+4000</f>
        <v>11500</v>
      </c>
      <c r="K131" s="719"/>
      <c r="L131" s="719"/>
      <c r="M131" s="719"/>
      <c r="N131" s="1040">
        <f t="shared" si="85"/>
        <v>11500</v>
      </c>
      <c r="P131" s="578">
        <v>54305</v>
      </c>
      <c r="Q131" s="535" t="s">
        <v>318</v>
      </c>
      <c r="R131" s="719"/>
      <c r="S131" s="719"/>
      <c r="T131" s="719"/>
      <c r="U131" s="719"/>
      <c r="V131" s="719"/>
      <c r="W131" s="719"/>
      <c r="X131" s="719"/>
      <c r="Y131" s="732"/>
      <c r="Z131" s="719"/>
      <c r="AA131" s="719"/>
      <c r="AB131" s="719"/>
      <c r="AC131" s="719"/>
      <c r="AD131" s="719"/>
      <c r="AE131" s="732">
        <v>500</v>
      </c>
      <c r="AF131" s="732"/>
      <c r="AG131" s="719"/>
      <c r="AH131" s="719"/>
      <c r="AI131" s="719"/>
      <c r="AJ131" s="534">
        <f t="shared" si="87"/>
        <v>500</v>
      </c>
      <c r="AK131" s="538"/>
      <c r="AL131" s="578">
        <v>54305</v>
      </c>
      <c r="AM131" s="535" t="s">
        <v>318</v>
      </c>
      <c r="AN131" s="735"/>
      <c r="AO131" s="735"/>
      <c r="AP131" s="735"/>
      <c r="AQ131" s="809">
        <f t="shared" si="86"/>
        <v>0</v>
      </c>
      <c r="AS131" s="578">
        <v>54305</v>
      </c>
      <c r="AT131" s="535" t="s">
        <v>318</v>
      </c>
      <c r="AU131" s="724"/>
      <c r="AV131" s="724"/>
      <c r="AW131" s="724"/>
      <c r="AX131" s="724"/>
      <c r="AY131" s="724"/>
      <c r="AZ131" s="724"/>
      <c r="BA131" s="729"/>
      <c r="BB131" s="634">
        <f t="shared" si="88"/>
        <v>0</v>
      </c>
      <c r="BD131" s="1088">
        <f t="shared" si="61"/>
        <v>12000</v>
      </c>
    </row>
    <row r="132" spans="1:56" s="502" customFormat="1" ht="12" thickBot="1" x14ac:dyDescent="0.25">
      <c r="A132" s="578">
        <v>54306</v>
      </c>
      <c r="B132" s="535" t="s">
        <v>319</v>
      </c>
      <c r="C132" s="719"/>
      <c r="D132" s="719"/>
      <c r="E132" s="719"/>
      <c r="F132" s="719"/>
      <c r="G132" s="719"/>
      <c r="H132" s="719"/>
      <c r="I132" s="719"/>
      <c r="J132" s="719"/>
      <c r="K132" s="719"/>
      <c r="L132" s="719"/>
      <c r="M132" s="719"/>
      <c r="N132" s="1040">
        <f t="shared" si="85"/>
        <v>0</v>
      </c>
      <c r="P132" s="578">
        <v>54306</v>
      </c>
      <c r="Q132" s="535" t="s">
        <v>319</v>
      </c>
      <c r="R132" s="719"/>
      <c r="S132" s="719"/>
      <c r="T132" s="719"/>
      <c r="U132" s="719"/>
      <c r="V132" s="719"/>
      <c r="W132" s="719"/>
      <c r="X132" s="719"/>
      <c r="Y132" s="732"/>
      <c r="Z132" s="719"/>
      <c r="AA132" s="719"/>
      <c r="AB132" s="719"/>
      <c r="AC132" s="719"/>
      <c r="AD132" s="719"/>
      <c r="AE132" s="732"/>
      <c r="AF132" s="732"/>
      <c r="AG132" s="719"/>
      <c r="AH132" s="719"/>
      <c r="AI132" s="719"/>
      <c r="AJ132" s="534">
        <f t="shared" si="87"/>
        <v>0</v>
      </c>
      <c r="AK132" s="538"/>
      <c r="AL132" s="578">
        <v>54306</v>
      </c>
      <c r="AM132" s="535" t="s">
        <v>319</v>
      </c>
      <c r="AN132" s="735"/>
      <c r="AO132" s="735"/>
      <c r="AP132" s="735"/>
      <c r="AQ132" s="809">
        <f t="shared" si="86"/>
        <v>0</v>
      </c>
      <c r="AS132" s="578">
        <v>54306</v>
      </c>
      <c r="AT132" s="535" t="s">
        <v>319</v>
      </c>
      <c r="AU132" s="724"/>
      <c r="AV132" s="724"/>
      <c r="AW132" s="724"/>
      <c r="AX132" s="724"/>
      <c r="AY132" s="724"/>
      <c r="AZ132" s="724"/>
      <c r="BA132" s="729"/>
      <c r="BB132" s="634">
        <f t="shared" ref="BB132:BB165" si="96">SUM(AU132:BA132)</f>
        <v>0</v>
      </c>
      <c r="BD132" s="1088">
        <f t="shared" si="61"/>
        <v>0</v>
      </c>
    </row>
    <row r="133" spans="1:56" s="502" customFormat="1" ht="12" thickBot="1" x14ac:dyDescent="0.25">
      <c r="A133" s="578">
        <v>54307</v>
      </c>
      <c r="B133" s="535" t="s">
        <v>320</v>
      </c>
      <c r="C133" s="719"/>
      <c r="D133" s="719"/>
      <c r="E133" s="719"/>
      <c r="F133" s="719"/>
      <c r="G133" s="719"/>
      <c r="H133" s="719"/>
      <c r="I133" s="719"/>
      <c r="J133" s="719"/>
      <c r="K133" s="719">
        <v>1000</v>
      </c>
      <c r="L133" s="719"/>
      <c r="M133" s="719"/>
      <c r="N133" s="1040">
        <f t="shared" si="85"/>
        <v>1000</v>
      </c>
      <c r="P133" s="578">
        <v>54307</v>
      </c>
      <c r="Q133" s="535" t="s">
        <v>320</v>
      </c>
      <c r="R133" s="719"/>
      <c r="S133" s="719"/>
      <c r="T133" s="719"/>
      <c r="U133" s="719">
        <v>950</v>
      </c>
      <c r="V133" s="719"/>
      <c r="W133" s="719"/>
      <c r="X133" s="719"/>
      <c r="Y133" s="732"/>
      <c r="Z133" s="719"/>
      <c r="AA133" s="719"/>
      <c r="AB133" s="719"/>
      <c r="AC133" s="719"/>
      <c r="AD133" s="719"/>
      <c r="AE133" s="732">
        <v>300</v>
      </c>
      <c r="AF133" s="732"/>
      <c r="AG133" s="719"/>
      <c r="AH133" s="719"/>
      <c r="AI133" s="719"/>
      <c r="AJ133" s="534">
        <f t="shared" si="87"/>
        <v>1250</v>
      </c>
      <c r="AK133" s="538"/>
      <c r="AL133" s="578">
        <v>54307</v>
      </c>
      <c r="AM133" s="535" t="s">
        <v>320</v>
      </c>
      <c r="AN133" s="735"/>
      <c r="AO133" s="735"/>
      <c r="AP133" s="735">
        <v>1000</v>
      </c>
      <c r="AQ133" s="809">
        <f t="shared" si="86"/>
        <v>1000</v>
      </c>
      <c r="AS133" s="578">
        <v>54307</v>
      </c>
      <c r="AT133" s="535" t="s">
        <v>320</v>
      </c>
      <c r="AU133" s="724"/>
      <c r="AV133" s="724"/>
      <c r="AW133" s="724"/>
      <c r="AX133" s="724"/>
      <c r="AY133" s="724"/>
      <c r="AZ133" s="724"/>
      <c r="BA133" s="729"/>
      <c r="BB133" s="634">
        <f t="shared" si="96"/>
        <v>0</v>
      </c>
      <c r="BD133" s="1088">
        <f t="shared" si="61"/>
        <v>3250</v>
      </c>
    </row>
    <row r="134" spans="1:56" s="502" customFormat="1" ht="12" thickBot="1" x14ac:dyDescent="0.25">
      <c r="A134" s="578">
        <v>54309</v>
      </c>
      <c r="B134" s="535" t="s">
        <v>321</v>
      </c>
      <c r="C134" s="719"/>
      <c r="D134" s="719"/>
      <c r="E134" s="719"/>
      <c r="F134" s="719"/>
      <c r="G134" s="719"/>
      <c r="H134" s="719"/>
      <c r="I134" s="719"/>
      <c r="J134" s="719"/>
      <c r="K134" s="719"/>
      <c r="L134" s="719"/>
      <c r="M134" s="719"/>
      <c r="N134" s="1040">
        <f t="shared" si="85"/>
        <v>0</v>
      </c>
      <c r="P134" s="578">
        <v>54309</v>
      </c>
      <c r="Q134" s="535" t="s">
        <v>321</v>
      </c>
      <c r="R134" s="719"/>
      <c r="S134" s="719"/>
      <c r="T134" s="719"/>
      <c r="U134" s="719"/>
      <c r="V134" s="719"/>
      <c r="W134" s="719"/>
      <c r="X134" s="719"/>
      <c r="Y134" s="732">
        <v>800</v>
      </c>
      <c r="Z134" s="719"/>
      <c r="AA134" s="719"/>
      <c r="AB134" s="719"/>
      <c r="AC134" s="719"/>
      <c r="AD134" s="719"/>
      <c r="AE134" s="732">
        <v>2500</v>
      </c>
      <c r="AF134" s="732"/>
      <c r="AG134" s="719"/>
      <c r="AH134" s="719"/>
      <c r="AI134" s="719"/>
      <c r="AJ134" s="534">
        <f t="shared" si="87"/>
        <v>3300</v>
      </c>
      <c r="AK134" s="538"/>
      <c r="AL134" s="578">
        <v>54309</v>
      </c>
      <c r="AM134" s="535" t="s">
        <v>321</v>
      </c>
      <c r="AN134" s="735"/>
      <c r="AO134" s="735"/>
      <c r="AP134" s="735"/>
      <c r="AQ134" s="809">
        <f t="shared" si="86"/>
        <v>0</v>
      </c>
      <c r="AS134" s="578">
        <v>54309</v>
      </c>
      <c r="AT134" s="535" t="s">
        <v>321</v>
      </c>
      <c r="AU134" s="724"/>
      <c r="AV134" s="724"/>
      <c r="AW134" s="724"/>
      <c r="AX134" s="724"/>
      <c r="AY134" s="724"/>
      <c r="AZ134" s="724"/>
      <c r="BA134" s="729"/>
      <c r="BB134" s="634">
        <f t="shared" si="96"/>
        <v>0</v>
      </c>
      <c r="BD134" s="1088">
        <f t="shared" si="61"/>
        <v>3300</v>
      </c>
    </row>
    <row r="135" spans="1:56" s="502" customFormat="1" ht="12" thickBot="1" x14ac:dyDescent="0.25">
      <c r="A135" s="578">
        <v>54310</v>
      </c>
      <c r="B135" s="535" t="s">
        <v>322</v>
      </c>
      <c r="C135" s="719"/>
      <c r="D135" s="719"/>
      <c r="E135" s="719"/>
      <c r="F135" s="719"/>
      <c r="G135" s="719"/>
      <c r="H135" s="719"/>
      <c r="I135" s="719"/>
      <c r="J135" s="719"/>
      <c r="K135" s="719"/>
      <c r="L135" s="719"/>
      <c r="M135" s="719"/>
      <c r="N135" s="1040">
        <f t="shared" si="85"/>
        <v>0</v>
      </c>
      <c r="P135" s="578">
        <v>54310</v>
      </c>
      <c r="Q135" s="535" t="s">
        <v>322</v>
      </c>
      <c r="R135" s="719"/>
      <c r="S135" s="719"/>
      <c r="T135" s="719"/>
      <c r="U135" s="719"/>
      <c r="V135" s="719"/>
      <c r="W135" s="719"/>
      <c r="X135" s="719"/>
      <c r="Y135" s="732"/>
      <c r="Z135" s="719"/>
      <c r="AA135" s="719"/>
      <c r="AB135" s="719"/>
      <c r="AC135" s="719"/>
      <c r="AD135" s="719"/>
      <c r="AE135" s="732"/>
      <c r="AF135" s="732"/>
      <c r="AG135" s="719"/>
      <c r="AH135" s="719"/>
      <c r="AI135" s="719"/>
      <c r="AJ135" s="534">
        <f t="shared" si="87"/>
        <v>0</v>
      </c>
      <c r="AK135" s="538"/>
      <c r="AL135" s="578">
        <v>54310</v>
      </c>
      <c r="AM135" s="535" t="s">
        <v>322</v>
      </c>
      <c r="AN135" s="735"/>
      <c r="AO135" s="735"/>
      <c r="AP135" s="735"/>
      <c r="AQ135" s="809">
        <f t="shared" si="86"/>
        <v>0</v>
      </c>
      <c r="AS135" s="578">
        <v>54310</v>
      </c>
      <c r="AT135" s="535" t="s">
        <v>322</v>
      </c>
      <c r="AU135" s="724"/>
      <c r="AV135" s="724"/>
      <c r="AW135" s="724"/>
      <c r="AX135" s="724"/>
      <c r="AY135" s="724"/>
      <c r="AZ135" s="724"/>
      <c r="BA135" s="729"/>
      <c r="BB135" s="634">
        <f t="shared" si="96"/>
        <v>0</v>
      </c>
      <c r="BD135" s="1088">
        <f t="shared" si="61"/>
        <v>0</v>
      </c>
    </row>
    <row r="136" spans="1:56" s="502" customFormat="1" ht="12" thickBot="1" x14ac:dyDescent="0.25">
      <c r="A136" s="578">
        <v>54311</v>
      </c>
      <c r="B136" s="535" t="s">
        <v>323</v>
      </c>
      <c r="C136" s="719"/>
      <c r="D136" s="719"/>
      <c r="E136" s="719"/>
      <c r="F136" s="719"/>
      <c r="G136" s="719"/>
      <c r="H136" s="719"/>
      <c r="I136" s="719"/>
      <c r="J136" s="719"/>
      <c r="K136" s="719"/>
      <c r="L136" s="719"/>
      <c r="M136" s="719"/>
      <c r="N136" s="1040">
        <f t="shared" si="85"/>
        <v>0</v>
      </c>
      <c r="P136" s="578">
        <v>54311</v>
      </c>
      <c r="Q136" s="535" t="s">
        <v>323</v>
      </c>
      <c r="R136" s="719"/>
      <c r="S136" s="719"/>
      <c r="T136" s="719"/>
      <c r="U136" s="719"/>
      <c r="V136" s="719"/>
      <c r="W136" s="719"/>
      <c r="X136" s="719"/>
      <c r="Y136" s="732">
        <v>0</v>
      </c>
      <c r="Z136" s="719"/>
      <c r="AA136" s="719"/>
      <c r="AB136" s="719"/>
      <c r="AC136" s="719"/>
      <c r="AD136" s="719"/>
      <c r="AE136" s="732"/>
      <c r="AF136" s="732"/>
      <c r="AG136" s="719"/>
      <c r="AH136" s="719"/>
      <c r="AI136" s="719"/>
      <c r="AJ136" s="534">
        <f t="shared" si="87"/>
        <v>0</v>
      </c>
      <c r="AK136" s="538"/>
      <c r="AL136" s="578">
        <v>54311</v>
      </c>
      <c r="AM136" s="535" t="s">
        <v>323</v>
      </c>
      <c r="AN136" s="735"/>
      <c r="AO136" s="735"/>
      <c r="AP136" s="735"/>
      <c r="AQ136" s="809">
        <f t="shared" si="86"/>
        <v>0</v>
      </c>
      <c r="AS136" s="578">
        <v>54311</v>
      </c>
      <c r="AT136" s="535" t="s">
        <v>323</v>
      </c>
      <c r="AU136" s="724"/>
      <c r="AV136" s="724"/>
      <c r="AW136" s="724"/>
      <c r="AX136" s="724"/>
      <c r="AY136" s="724"/>
      <c r="AZ136" s="724"/>
      <c r="BA136" s="729"/>
      <c r="BB136" s="634">
        <f t="shared" si="96"/>
        <v>0</v>
      </c>
      <c r="BD136" s="1088">
        <f t="shared" ref="BD136:BD178" si="97">BB136+AQ136+AJ136+N136</f>
        <v>0</v>
      </c>
    </row>
    <row r="137" spans="1:56" s="502" customFormat="1" ht="12" thickBot="1" x14ac:dyDescent="0.25">
      <c r="A137" s="578">
        <v>54313</v>
      </c>
      <c r="B137" s="535" t="s">
        <v>324</v>
      </c>
      <c r="C137" s="719"/>
      <c r="D137" s="719"/>
      <c r="E137" s="719"/>
      <c r="F137" s="719"/>
      <c r="G137" s="719"/>
      <c r="H137" s="719"/>
      <c r="I137" s="719"/>
      <c r="J137" s="719"/>
      <c r="K137" s="719"/>
      <c r="L137" s="719">
        <v>400</v>
      </c>
      <c r="M137" s="719"/>
      <c r="N137" s="1040">
        <f t="shared" si="85"/>
        <v>400</v>
      </c>
      <c r="P137" s="578">
        <v>54313</v>
      </c>
      <c r="Q137" s="535" t="s">
        <v>324</v>
      </c>
      <c r="R137" s="719"/>
      <c r="S137" s="719"/>
      <c r="T137" s="719"/>
      <c r="U137" s="719">
        <v>600</v>
      </c>
      <c r="V137" s="719"/>
      <c r="W137" s="719"/>
      <c r="X137" s="719">
        <v>1160</v>
      </c>
      <c r="Y137" s="732">
        <v>300</v>
      </c>
      <c r="Z137" s="719"/>
      <c r="AA137" s="719">
        <v>900</v>
      </c>
      <c r="AB137" s="719"/>
      <c r="AC137" s="719"/>
      <c r="AD137" s="719">
        <v>400</v>
      </c>
      <c r="AE137" s="732">
        <v>100</v>
      </c>
      <c r="AF137" s="732"/>
      <c r="AG137" s="719"/>
      <c r="AH137" s="719"/>
      <c r="AI137" s="719"/>
      <c r="AJ137" s="534">
        <f t="shared" si="87"/>
        <v>3460</v>
      </c>
      <c r="AK137" s="538"/>
      <c r="AL137" s="578">
        <v>54313</v>
      </c>
      <c r="AM137" s="535" t="s">
        <v>324</v>
      </c>
      <c r="AN137" s="735"/>
      <c r="AO137" s="735"/>
      <c r="AP137" s="735">
        <v>120</v>
      </c>
      <c r="AQ137" s="809">
        <f t="shared" si="86"/>
        <v>120</v>
      </c>
      <c r="AS137" s="578">
        <v>54313</v>
      </c>
      <c r="AT137" s="535" t="s">
        <v>324</v>
      </c>
      <c r="AU137" s="724"/>
      <c r="AV137" s="724"/>
      <c r="AW137" s="724"/>
      <c r="AX137" s="724"/>
      <c r="AY137" s="724"/>
      <c r="AZ137" s="724"/>
      <c r="BA137" s="729"/>
      <c r="BB137" s="634">
        <f t="shared" si="96"/>
        <v>0</v>
      </c>
      <c r="BD137" s="1088">
        <f t="shared" si="97"/>
        <v>3980</v>
      </c>
    </row>
    <row r="138" spans="1:56" s="502" customFormat="1" ht="12" thickBot="1" x14ac:dyDescent="0.25">
      <c r="A138" s="578">
        <v>54314</v>
      </c>
      <c r="B138" s="535" t="s">
        <v>325</v>
      </c>
      <c r="C138" s="719"/>
      <c r="D138" s="719"/>
      <c r="E138" s="719"/>
      <c r="F138" s="719"/>
      <c r="G138" s="719"/>
      <c r="H138" s="719"/>
      <c r="I138" s="719"/>
      <c r="J138" s="719"/>
      <c r="K138" s="719"/>
      <c r="L138" s="719"/>
      <c r="M138" s="719"/>
      <c r="N138" s="1040">
        <f t="shared" si="85"/>
        <v>0</v>
      </c>
      <c r="P138" s="578">
        <v>54314</v>
      </c>
      <c r="Q138" s="535" t="s">
        <v>325</v>
      </c>
      <c r="R138" s="719"/>
      <c r="S138" s="719"/>
      <c r="T138" s="719"/>
      <c r="U138" s="719"/>
      <c r="V138" s="719"/>
      <c r="W138" s="719"/>
      <c r="X138" s="719"/>
      <c r="Y138" s="732"/>
      <c r="Z138" s="719"/>
      <c r="AA138" s="719"/>
      <c r="AB138" s="719"/>
      <c r="AC138" s="719"/>
      <c r="AD138" s="719"/>
      <c r="AE138" s="732"/>
      <c r="AF138" s="732"/>
      <c r="AG138" s="719"/>
      <c r="AH138" s="719"/>
      <c r="AI138" s="719"/>
      <c r="AJ138" s="534">
        <f t="shared" si="87"/>
        <v>0</v>
      </c>
      <c r="AK138" s="538"/>
      <c r="AL138" s="578">
        <v>54314</v>
      </c>
      <c r="AM138" s="535" t="s">
        <v>325</v>
      </c>
      <c r="AN138" s="735"/>
      <c r="AO138" s="735"/>
      <c r="AP138" s="735"/>
      <c r="AQ138" s="809">
        <f t="shared" si="86"/>
        <v>0</v>
      </c>
      <c r="AS138" s="578">
        <v>54314</v>
      </c>
      <c r="AT138" s="535" t="s">
        <v>325</v>
      </c>
      <c r="AU138" s="724"/>
      <c r="AV138" s="724"/>
      <c r="AW138" s="724"/>
      <c r="AX138" s="724"/>
      <c r="AY138" s="724"/>
      <c r="AZ138" s="724"/>
      <c r="BA138" s="729"/>
      <c r="BB138" s="634">
        <f t="shared" si="96"/>
        <v>0</v>
      </c>
      <c r="BD138" s="1088">
        <f t="shared" si="97"/>
        <v>0</v>
      </c>
    </row>
    <row r="139" spans="1:56" s="502" customFormat="1" ht="12" thickBot="1" x14ac:dyDescent="0.25">
      <c r="A139" s="578">
        <v>54316</v>
      </c>
      <c r="B139" s="535" t="s">
        <v>585</v>
      </c>
      <c r="C139" s="719"/>
      <c r="D139" s="719"/>
      <c r="E139" s="719"/>
      <c r="F139" s="719"/>
      <c r="G139" s="719"/>
      <c r="H139" s="719"/>
      <c r="I139" s="719"/>
      <c r="J139" s="719"/>
      <c r="K139" s="719"/>
      <c r="L139" s="719"/>
      <c r="M139" s="719"/>
      <c r="N139" s="1040">
        <f t="shared" si="85"/>
        <v>0</v>
      </c>
      <c r="P139" s="578">
        <v>54316</v>
      </c>
      <c r="Q139" s="535" t="s">
        <v>585</v>
      </c>
      <c r="R139" s="719"/>
      <c r="S139" s="719"/>
      <c r="T139" s="719"/>
      <c r="U139" s="719"/>
      <c r="V139" s="719"/>
      <c r="W139" s="719"/>
      <c r="X139" s="719"/>
      <c r="Y139" s="732"/>
      <c r="Z139" s="719"/>
      <c r="AA139" s="719"/>
      <c r="AB139" s="719"/>
      <c r="AC139" s="719"/>
      <c r="AD139" s="719"/>
      <c r="AE139" s="732"/>
      <c r="AF139" s="732"/>
      <c r="AG139" s="719"/>
      <c r="AH139" s="719"/>
      <c r="AI139" s="719"/>
      <c r="AJ139" s="534">
        <f t="shared" si="87"/>
        <v>0</v>
      </c>
      <c r="AK139" s="538"/>
      <c r="AL139" s="578">
        <v>54316</v>
      </c>
      <c r="AM139" s="535" t="s">
        <v>585</v>
      </c>
      <c r="AN139" s="735"/>
      <c r="AO139" s="735"/>
      <c r="AP139" s="735"/>
      <c r="AQ139" s="809">
        <f t="shared" si="86"/>
        <v>0</v>
      </c>
      <c r="AS139" s="578">
        <v>54316</v>
      </c>
      <c r="AT139" s="535" t="s">
        <v>585</v>
      </c>
      <c r="AU139" s="724"/>
      <c r="AV139" s="724"/>
      <c r="AW139" s="724"/>
      <c r="AX139" s="724"/>
      <c r="AY139" s="724"/>
      <c r="AZ139" s="724"/>
      <c r="BA139" s="729"/>
      <c r="BB139" s="634">
        <f t="shared" si="96"/>
        <v>0</v>
      </c>
      <c r="BD139" s="1088">
        <f t="shared" si="97"/>
        <v>0</v>
      </c>
    </row>
    <row r="140" spans="1:56" s="502" customFormat="1" ht="12" thickBot="1" x14ac:dyDescent="0.25">
      <c r="A140" s="578">
        <v>54399</v>
      </c>
      <c r="B140" s="535" t="s">
        <v>326</v>
      </c>
      <c r="C140" s="719"/>
      <c r="D140" s="719">
        <f>3500+1063.22-500+1120</f>
        <v>5183.22</v>
      </c>
      <c r="E140" s="719"/>
      <c r="F140" s="719"/>
      <c r="G140" s="719"/>
      <c r="H140" s="719">
        <v>3000</v>
      </c>
      <c r="I140" s="719"/>
      <c r="J140" s="719"/>
      <c r="K140" s="719"/>
      <c r="L140" s="719">
        <v>0</v>
      </c>
      <c r="M140" s="719"/>
      <c r="N140" s="1040">
        <f t="shared" si="85"/>
        <v>8183.22</v>
      </c>
      <c r="P140" s="578">
        <v>54399</v>
      </c>
      <c r="Q140" s="535" t="s">
        <v>326</v>
      </c>
      <c r="R140" s="719"/>
      <c r="S140" s="719">
        <v>10000</v>
      </c>
      <c r="T140" s="719"/>
      <c r="U140" s="719">
        <v>24500</v>
      </c>
      <c r="V140" s="719"/>
      <c r="W140" s="719"/>
      <c r="X140" s="719"/>
      <c r="Y140" s="732"/>
      <c r="Z140" s="732">
        <v>75000</v>
      </c>
      <c r="AA140" s="732"/>
      <c r="AB140" s="732"/>
      <c r="AC140" s="732"/>
      <c r="AD140" s="732"/>
      <c r="AE140" s="732"/>
      <c r="AF140" s="732"/>
      <c r="AG140" s="719"/>
      <c r="AH140" s="719"/>
      <c r="AI140" s="719"/>
      <c r="AJ140" s="534">
        <f t="shared" si="87"/>
        <v>109500</v>
      </c>
      <c r="AK140" s="538"/>
      <c r="AL140" s="578">
        <v>54399</v>
      </c>
      <c r="AM140" s="535" t="s">
        <v>326</v>
      </c>
      <c r="AN140" s="735"/>
      <c r="AO140" s="735"/>
      <c r="AP140" s="735"/>
      <c r="AQ140" s="809">
        <f t="shared" si="86"/>
        <v>0</v>
      </c>
      <c r="AS140" s="578">
        <v>54399</v>
      </c>
      <c r="AT140" s="535" t="s">
        <v>326</v>
      </c>
      <c r="AU140" s="724"/>
      <c r="AV140" s="724"/>
      <c r="AW140" s="724"/>
      <c r="AX140" s="724"/>
      <c r="AY140" s="724"/>
      <c r="AZ140" s="724"/>
      <c r="BA140" s="729"/>
      <c r="BB140" s="634">
        <f t="shared" si="96"/>
        <v>0</v>
      </c>
      <c r="BD140" s="1088">
        <f t="shared" si="97"/>
        <v>117683.22</v>
      </c>
    </row>
    <row r="141" spans="1:56" s="856" customFormat="1" ht="12" thickBot="1" x14ac:dyDescent="0.25">
      <c r="A141" s="577">
        <v>544</v>
      </c>
      <c r="B141" s="533" t="s">
        <v>111</v>
      </c>
      <c r="C141" s="719">
        <f>SUM(C142:C145)</f>
        <v>2000</v>
      </c>
      <c r="D141" s="719">
        <f t="shared" ref="D141:M141" si="98">SUM(D142:D145)</f>
        <v>1500</v>
      </c>
      <c r="E141" s="719">
        <f t="shared" si="98"/>
        <v>0</v>
      </c>
      <c r="F141" s="719">
        <f t="shared" si="98"/>
        <v>0</v>
      </c>
      <c r="G141" s="719">
        <f t="shared" si="98"/>
        <v>0</v>
      </c>
      <c r="H141" s="719">
        <f t="shared" si="98"/>
        <v>0</v>
      </c>
      <c r="I141" s="719">
        <f t="shared" si="98"/>
        <v>0</v>
      </c>
      <c r="J141" s="719">
        <f t="shared" si="98"/>
        <v>0</v>
      </c>
      <c r="K141" s="719">
        <f t="shared" si="98"/>
        <v>0</v>
      </c>
      <c r="L141" s="719">
        <f t="shared" si="98"/>
        <v>0</v>
      </c>
      <c r="M141" s="719">
        <f t="shared" si="98"/>
        <v>0</v>
      </c>
      <c r="N141" s="1040">
        <f t="shared" si="85"/>
        <v>3500</v>
      </c>
      <c r="P141" s="577">
        <v>544</v>
      </c>
      <c r="Q141" s="533" t="s">
        <v>111</v>
      </c>
      <c r="R141" s="723">
        <f>SUM(R142:R145)</f>
        <v>0</v>
      </c>
      <c r="S141" s="723">
        <v>0</v>
      </c>
      <c r="T141" s="723">
        <v>0</v>
      </c>
      <c r="U141" s="723">
        <f t="shared" ref="U141:AI141" si="99">SUM(U142:U145)</f>
        <v>0</v>
      </c>
      <c r="V141" s="723">
        <f t="shared" si="99"/>
        <v>0</v>
      </c>
      <c r="W141" s="723">
        <f t="shared" si="99"/>
        <v>0</v>
      </c>
      <c r="X141" s="723">
        <f t="shared" si="99"/>
        <v>0</v>
      </c>
      <c r="Y141" s="723">
        <f t="shared" si="99"/>
        <v>180</v>
      </c>
      <c r="Z141" s="723">
        <f t="shared" si="99"/>
        <v>0</v>
      </c>
      <c r="AA141" s="723">
        <f t="shared" si="99"/>
        <v>0</v>
      </c>
      <c r="AB141" s="723">
        <f t="shared" si="99"/>
        <v>0</v>
      </c>
      <c r="AC141" s="723">
        <f t="shared" si="99"/>
        <v>0</v>
      </c>
      <c r="AD141" s="723">
        <f t="shared" si="99"/>
        <v>0</v>
      </c>
      <c r="AE141" s="723">
        <f t="shared" si="99"/>
        <v>0</v>
      </c>
      <c r="AF141" s="723">
        <f t="shared" si="99"/>
        <v>0</v>
      </c>
      <c r="AG141" s="723">
        <f t="shared" si="99"/>
        <v>0</v>
      </c>
      <c r="AH141" s="723">
        <f t="shared" si="99"/>
        <v>0</v>
      </c>
      <c r="AI141" s="723">
        <f t="shared" si="99"/>
        <v>0</v>
      </c>
      <c r="AJ141" s="534">
        <f t="shared" si="87"/>
        <v>180</v>
      </c>
      <c r="AK141" s="539"/>
      <c r="AL141" s="577">
        <v>544</v>
      </c>
      <c r="AM141" s="533" t="s">
        <v>111</v>
      </c>
      <c r="AN141" s="737">
        <f>SUM(AN142:AN145)</f>
        <v>0</v>
      </c>
      <c r="AO141" s="737">
        <f>SUM(AO142:AO145)</f>
        <v>0</v>
      </c>
      <c r="AP141" s="737">
        <f>SUM(AP142:AP145)</f>
        <v>0</v>
      </c>
      <c r="AQ141" s="809">
        <f t="shared" si="86"/>
        <v>0</v>
      </c>
      <c r="AS141" s="577">
        <v>544</v>
      </c>
      <c r="AT141" s="533" t="s">
        <v>111</v>
      </c>
      <c r="AU141" s="726">
        <f>SUM(AU142:AU145)</f>
        <v>0</v>
      </c>
      <c r="AV141" s="726">
        <f t="shared" ref="AV141:BA141" si="100">SUM(AV142:AV145)</f>
        <v>0</v>
      </c>
      <c r="AW141" s="726">
        <f t="shared" si="100"/>
        <v>0</v>
      </c>
      <c r="AX141" s="726">
        <f t="shared" si="100"/>
        <v>0</v>
      </c>
      <c r="AY141" s="726">
        <f t="shared" si="100"/>
        <v>0</v>
      </c>
      <c r="AZ141" s="726">
        <f t="shared" si="100"/>
        <v>0</v>
      </c>
      <c r="BA141" s="726">
        <f t="shared" si="100"/>
        <v>0</v>
      </c>
      <c r="BB141" s="634">
        <f t="shared" si="96"/>
        <v>0</v>
      </c>
      <c r="BD141" s="1088">
        <f t="shared" si="97"/>
        <v>3680</v>
      </c>
    </row>
    <row r="142" spans="1:56" s="502" customFormat="1" ht="12" thickBot="1" x14ac:dyDescent="0.25">
      <c r="A142" s="578">
        <v>54401</v>
      </c>
      <c r="B142" s="535" t="s">
        <v>327</v>
      </c>
      <c r="C142" s="719">
        <v>0</v>
      </c>
      <c r="D142" s="719"/>
      <c r="E142" s="719"/>
      <c r="F142" s="719"/>
      <c r="G142" s="719"/>
      <c r="H142" s="719"/>
      <c r="I142" s="719"/>
      <c r="J142" s="719"/>
      <c r="K142" s="719"/>
      <c r="L142" s="719">
        <v>0</v>
      </c>
      <c r="M142" s="719"/>
      <c r="N142" s="1040">
        <f t="shared" si="85"/>
        <v>0</v>
      </c>
      <c r="P142" s="578">
        <v>54401</v>
      </c>
      <c r="Q142" s="535" t="s">
        <v>327</v>
      </c>
      <c r="R142" s="719"/>
      <c r="S142" s="719"/>
      <c r="T142" s="719"/>
      <c r="U142" s="719"/>
      <c r="V142" s="719"/>
      <c r="W142" s="719"/>
      <c r="X142" s="719">
        <v>0</v>
      </c>
      <c r="Y142" s="732"/>
      <c r="Z142" s="719"/>
      <c r="AA142" s="719"/>
      <c r="AB142" s="719"/>
      <c r="AC142" s="719"/>
      <c r="AD142" s="719">
        <v>0</v>
      </c>
      <c r="AE142" s="732">
        <v>0</v>
      </c>
      <c r="AF142" s="732"/>
      <c r="AG142" s="719">
        <v>0</v>
      </c>
      <c r="AH142" s="719"/>
      <c r="AI142" s="719"/>
      <c r="AJ142" s="534">
        <f t="shared" si="87"/>
        <v>0</v>
      </c>
      <c r="AK142" s="538"/>
      <c r="AL142" s="578">
        <v>54401</v>
      </c>
      <c r="AM142" s="535" t="s">
        <v>327</v>
      </c>
      <c r="AN142" s="735"/>
      <c r="AO142" s="735"/>
      <c r="AP142" s="735"/>
      <c r="AQ142" s="809">
        <f t="shared" si="86"/>
        <v>0</v>
      </c>
      <c r="AS142" s="578">
        <v>54401</v>
      </c>
      <c r="AT142" s="535" t="s">
        <v>327</v>
      </c>
      <c r="AU142" s="724"/>
      <c r="AV142" s="724"/>
      <c r="AW142" s="724">
        <v>0</v>
      </c>
      <c r="AX142" s="724">
        <v>0</v>
      </c>
      <c r="AY142" s="724">
        <v>0</v>
      </c>
      <c r="AZ142" s="724">
        <v>0</v>
      </c>
      <c r="BA142" s="724">
        <v>0</v>
      </c>
      <c r="BB142" s="634">
        <f t="shared" si="96"/>
        <v>0</v>
      </c>
      <c r="BD142" s="1088">
        <f t="shared" si="97"/>
        <v>0</v>
      </c>
    </row>
    <row r="143" spans="1:56" s="502" customFormat="1" ht="12" thickBot="1" x14ac:dyDescent="0.25">
      <c r="A143" s="578">
        <v>54402</v>
      </c>
      <c r="B143" s="535" t="s">
        <v>328</v>
      </c>
      <c r="C143" s="719"/>
      <c r="D143" s="719"/>
      <c r="E143" s="719"/>
      <c r="F143" s="719"/>
      <c r="G143" s="719"/>
      <c r="H143" s="719"/>
      <c r="I143" s="719"/>
      <c r="J143" s="719"/>
      <c r="K143" s="719"/>
      <c r="L143" s="719"/>
      <c r="M143" s="719"/>
      <c r="N143" s="1040">
        <f t="shared" si="85"/>
        <v>0</v>
      </c>
      <c r="P143" s="578">
        <v>54402</v>
      </c>
      <c r="Q143" s="535" t="s">
        <v>328</v>
      </c>
      <c r="R143" s="719"/>
      <c r="S143" s="719"/>
      <c r="T143" s="719"/>
      <c r="U143" s="719"/>
      <c r="V143" s="719"/>
      <c r="W143" s="719"/>
      <c r="X143" s="719"/>
      <c r="Y143" s="732"/>
      <c r="Z143" s="719"/>
      <c r="AA143" s="719"/>
      <c r="AB143" s="719"/>
      <c r="AC143" s="719"/>
      <c r="AD143" s="719"/>
      <c r="AE143" s="732"/>
      <c r="AF143" s="732"/>
      <c r="AG143" s="719"/>
      <c r="AH143" s="719"/>
      <c r="AI143" s="719"/>
      <c r="AJ143" s="534">
        <f t="shared" si="87"/>
        <v>0</v>
      </c>
      <c r="AK143" s="538"/>
      <c r="AL143" s="578">
        <v>54402</v>
      </c>
      <c r="AM143" s="535" t="s">
        <v>328</v>
      </c>
      <c r="AN143" s="735"/>
      <c r="AO143" s="735"/>
      <c r="AP143" s="735"/>
      <c r="AQ143" s="809">
        <f t="shared" si="86"/>
        <v>0</v>
      </c>
      <c r="AS143" s="578">
        <v>54402</v>
      </c>
      <c r="AT143" s="535" t="s">
        <v>328</v>
      </c>
      <c r="AU143" s="724"/>
      <c r="AV143" s="724"/>
      <c r="AW143" s="724"/>
      <c r="AX143" s="724"/>
      <c r="AY143" s="724"/>
      <c r="AZ143" s="724"/>
      <c r="BA143" s="729"/>
      <c r="BB143" s="634">
        <f t="shared" si="96"/>
        <v>0</v>
      </c>
      <c r="BD143" s="1088">
        <f t="shared" si="97"/>
        <v>0</v>
      </c>
    </row>
    <row r="144" spans="1:56" s="502" customFormat="1" ht="12" thickBot="1" x14ac:dyDescent="0.25">
      <c r="A144" s="578">
        <v>54403</v>
      </c>
      <c r="B144" s="535" t="s">
        <v>330</v>
      </c>
      <c r="C144" s="719"/>
      <c r="D144" s="719"/>
      <c r="E144" s="719"/>
      <c r="F144" s="719"/>
      <c r="G144" s="719"/>
      <c r="H144" s="719"/>
      <c r="I144" s="719"/>
      <c r="J144" s="719"/>
      <c r="K144" s="719"/>
      <c r="L144" s="719"/>
      <c r="M144" s="719"/>
      <c r="N144" s="1040">
        <f t="shared" si="85"/>
        <v>0</v>
      </c>
      <c r="P144" s="578">
        <v>54403</v>
      </c>
      <c r="Q144" s="535" t="s">
        <v>330</v>
      </c>
      <c r="R144" s="719"/>
      <c r="S144" s="719"/>
      <c r="T144" s="719"/>
      <c r="U144" s="719"/>
      <c r="V144" s="719"/>
      <c r="W144" s="719"/>
      <c r="X144" s="719"/>
      <c r="Y144" s="732">
        <v>180</v>
      </c>
      <c r="Z144" s="719"/>
      <c r="AA144" s="719"/>
      <c r="AB144" s="719"/>
      <c r="AC144" s="719"/>
      <c r="AD144" s="719"/>
      <c r="AE144" s="732"/>
      <c r="AF144" s="732"/>
      <c r="AG144" s="719"/>
      <c r="AH144" s="719"/>
      <c r="AI144" s="719"/>
      <c r="AJ144" s="534">
        <f t="shared" si="87"/>
        <v>180</v>
      </c>
      <c r="AK144" s="538"/>
      <c r="AL144" s="578">
        <v>54403</v>
      </c>
      <c r="AM144" s="535" t="s">
        <v>330</v>
      </c>
      <c r="AN144" s="735"/>
      <c r="AO144" s="735"/>
      <c r="AP144" s="735"/>
      <c r="AQ144" s="809">
        <f t="shared" si="86"/>
        <v>0</v>
      </c>
      <c r="AS144" s="578">
        <v>54403</v>
      </c>
      <c r="AT144" s="535" t="s">
        <v>330</v>
      </c>
      <c r="AU144" s="724"/>
      <c r="AV144" s="724"/>
      <c r="AW144" s="724"/>
      <c r="AX144" s="724"/>
      <c r="AY144" s="724"/>
      <c r="AZ144" s="724"/>
      <c r="BA144" s="729"/>
      <c r="BB144" s="634">
        <f t="shared" si="96"/>
        <v>0</v>
      </c>
      <c r="BD144" s="1088">
        <f t="shared" si="97"/>
        <v>180</v>
      </c>
    </row>
    <row r="145" spans="1:56" s="502" customFormat="1" ht="12" thickBot="1" x14ac:dyDescent="0.25">
      <c r="A145" s="578">
        <v>54404</v>
      </c>
      <c r="B145" s="535" t="s">
        <v>329</v>
      </c>
      <c r="C145" s="719">
        <v>2000</v>
      </c>
      <c r="D145" s="719">
        <v>1500</v>
      </c>
      <c r="E145" s="719"/>
      <c r="F145" s="719"/>
      <c r="G145" s="719"/>
      <c r="H145" s="719"/>
      <c r="I145" s="719"/>
      <c r="J145" s="719"/>
      <c r="K145" s="719"/>
      <c r="L145" s="719"/>
      <c r="M145" s="719"/>
      <c r="N145" s="1040">
        <f t="shared" si="85"/>
        <v>3500</v>
      </c>
      <c r="P145" s="578">
        <v>54404</v>
      </c>
      <c r="Q145" s="535" t="s">
        <v>329</v>
      </c>
      <c r="R145" s="719"/>
      <c r="S145" s="719"/>
      <c r="T145" s="719"/>
      <c r="U145" s="719"/>
      <c r="V145" s="719"/>
      <c r="W145" s="719"/>
      <c r="X145" s="719"/>
      <c r="Y145" s="732"/>
      <c r="Z145" s="719"/>
      <c r="AA145" s="719"/>
      <c r="AB145" s="719"/>
      <c r="AC145" s="719"/>
      <c r="AD145" s="719"/>
      <c r="AE145" s="732"/>
      <c r="AF145" s="732"/>
      <c r="AG145" s="719"/>
      <c r="AH145" s="719"/>
      <c r="AI145" s="719"/>
      <c r="AJ145" s="534">
        <f t="shared" si="87"/>
        <v>0</v>
      </c>
      <c r="AK145" s="538"/>
      <c r="AL145" s="578">
        <v>54404</v>
      </c>
      <c r="AM145" s="535" t="s">
        <v>329</v>
      </c>
      <c r="AN145" s="735"/>
      <c r="AO145" s="735"/>
      <c r="AP145" s="735"/>
      <c r="AQ145" s="809">
        <f t="shared" si="86"/>
        <v>0</v>
      </c>
      <c r="AS145" s="578">
        <v>54404</v>
      </c>
      <c r="AT145" s="535" t="s">
        <v>329</v>
      </c>
      <c r="AU145" s="724"/>
      <c r="AV145" s="724"/>
      <c r="AW145" s="724"/>
      <c r="AX145" s="724"/>
      <c r="AY145" s="724"/>
      <c r="AZ145" s="724"/>
      <c r="BA145" s="729"/>
      <c r="BB145" s="634">
        <f t="shared" si="96"/>
        <v>0</v>
      </c>
      <c r="BD145" s="1088">
        <f t="shared" si="97"/>
        <v>3500</v>
      </c>
    </row>
    <row r="146" spans="1:56" s="856" customFormat="1" ht="12" thickBot="1" x14ac:dyDescent="0.25">
      <c r="A146" s="577">
        <v>545</v>
      </c>
      <c r="B146" s="533" t="s">
        <v>331</v>
      </c>
      <c r="C146" s="719">
        <f>SUM(C147:C150)</f>
        <v>0</v>
      </c>
      <c r="D146" s="719">
        <f t="shared" ref="D146:M146" si="101">SUM(D147:D150)</f>
        <v>0</v>
      </c>
      <c r="E146" s="719">
        <f t="shared" si="101"/>
        <v>0</v>
      </c>
      <c r="F146" s="719">
        <f t="shared" si="101"/>
        <v>0</v>
      </c>
      <c r="G146" s="719">
        <f t="shared" si="101"/>
        <v>6200</v>
      </c>
      <c r="H146" s="719">
        <f t="shared" si="101"/>
        <v>0</v>
      </c>
      <c r="I146" s="719">
        <f t="shared" si="101"/>
        <v>0</v>
      </c>
      <c r="J146" s="719">
        <f t="shared" si="101"/>
        <v>0</v>
      </c>
      <c r="K146" s="719">
        <f t="shared" si="101"/>
        <v>0</v>
      </c>
      <c r="L146" s="719">
        <f t="shared" si="101"/>
        <v>0</v>
      </c>
      <c r="M146" s="719">
        <f t="shared" si="101"/>
        <v>0</v>
      </c>
      <c r="N146" s="1040">
        <f t="shared" si="85"/>
        <v>6200</v>
      </c>
      <c r="P146" s="577">
        <v>545</v>
      </c>
      <c r="Q146" s="533" t="s">
        <v>331</v>
      </c>
      <c r="R146" s="723">
        <f>R147+R148+R149+R150</f>
        <v>0</v>
      </c>
      <c r="S146" s="723">
        <f>S147+S148+S149+S150</f>
        <v>0</v>
      </c>
      <c r="T146" s="723">
        <v>0</v>
      </c>
      <c r="U146" s="723">
        <f t="shared" ref="U146:AI146" si="102">U147+U148+U149+U150</f>
        <v>0</v>
      </c>
      <c r="V146" s="723">
        <f t="shared" si="102"/>
        <v>0</v>
      </c>
      <c r="W146" s="723">
        <f t="shared" si="102"/>
        <v>0</v>
      </c>
      <c r="X146" s="723">
        <f t="shared" si="102"/>
        <v>0</v>
      </c>
      <c r="Y146" s="723">
        <f t="shared" si="102"/>
        <v>1000</v>
      </c>
      <c r="Z146" s="723">
        <f t="shared" si="102"/>
        <v>0</v>
      </c>
      <c r="AA146" s="723">
        <f t="shared" si="102"/>
        <v>0</v>
      </c>
      <c r="AB146" s="723">
        <f t="shared" si="102"/>
        <v>0</v>
      </c>
      <c r="AC146" s="723">
        <f t="shared" si="102"/>
        <v>0</v>
      </c>
      <c r="AD146" s="723">
        <f t="shared" si="102"/>
        <v>0</v>
      </c>
      <c r="AE146" s="723">
        <f t="shared" si="102"/>
        <v>1000</v>
      </c>
      <c r="AF146" s="723">
        <f t="shared" si="102"/>
        <v>0</v>
      </c>
      <c r="AG146" s="723">
        <f t="shared" si="102"/>
        <v>0</v>
      </c>
      <c r="AH146" s="723">
        <f t="shared" si="102"/>
        <v>0</v>
      </c>
      <c r="AI146" s="723">
        <f t="shared" si="102"/>
        <v>465</v>
      </c>
      <c r="AJ146" s="534">
        <f t="shared" si="87"/>
        <v>2465</v>
      </c>
      <c r="AK146" s="539"/>
      <c r="AL146" s="577">
        <v>545</v>
      </c>
      <c r="AM146" s="533" t="s">
        <v>331</v>
      </c>
      <c r="AN146" s="737">
        <f>AN147+AN148+AN149+AN150</f>
        <v>0</v>
      </c>
      <c r="AO146" s="737">
        <f>AO147+AO148+AO149+AO150</f>
        <v>0</v>
      </c>
      <c r="AP146" s="737">
        <f>AP147+AP148+AP149+AP150</f>
        <v>0</v>
      </c>
      <c r="AQ146" s="809">
        <f t="shared" si="86"/>
        <v>0</v>
      </c>
      <c r="AS146" s="577">
        <v>545</v>
      </c>
      <c r="AT146" s="533" t="s">
        <v>331</v>
      </c>
      <c r="AU146" s="726">
        <f>AU147+AU148+AU149+AU150</f>
        <v>0</v>
      </c>
      <c r="AV146" s="726">
        <f t="shared" ref="AV146:BA146" si="103">AV147+AV148+AV149+AV150</f>
        <v>0</v>
      </c>
      <c r="AW146" s="726">
        <f t="shared" si="103"/>
        <v>0</v>
      </c>
      <c r="AX146" s="726">
        <f t="shared" si="103"/>
        <v>0</v>
      </c>
      <c r="AY146" s="726">
        <f t="shared" si="103"/>
        <v>0</v>
      </c>
      <c r="AZ146" s="726">
        <f t="shared" si="103"/>
        <v>0</v>
      </c>
      <c r="BA146" s="726">
        <f t="shared" si="103"/>
        <v>0</v>
      </c>
      <c r="BB146" s="634">
        <f t="shared" si="96"/>
        <v>0</v>
      </c>
      <c r="BD146" s="1088">
        <f t="shared" si="97"/>
        <v>8665</v>
      </c>
    </row>
    <row r="147" spans="1:56" s="502" customFormat="1" ht="12" thickBot="1" x14ac:dyDescent="0.25">
      <c r="A147" s="578">
        <v>54503</v>
      </c>
      <c r="B147" s="535" t="s">
        <v>462</v>
      </c>
      <c r="C147" s="719"/>
      <c r="D147" s="719"/>
      <c r="E147" s="719"/>
      <c r="F147" s="719"/>
      <c r="G147" s="719">
        <f>4700+1500</f>
        <v>6200</v>
      </c>
      <c r="H147" s="719"/>
      <c r="I147" s="719"/>
      <c r="J147" s="719"/>
      <c r="K147" s="719"/>
      <c r="L147" s="719"/>
      <c r="M147" s="719"/>
      <c r="N147" s="1040">
        <f t="shared" si="85"/>
        <v>6200</v>
      </c>
      <c r="P147" s="578">
        <v>54503</v>
      </c>
      <c r="Q147" s="535" t="s">
        <v>462</v>
      </c>
      <c r="R147" s="719"/>
      <c r="S147" s="719"/>
      <c r="T147" s="719"/>
      <c r="U147" s="719"/>
      <c r="V147" s="719"/>
      <c r="W147" s="719"/>
      <c r="X147" s="719"/>
      <c r="Y147" s="732"/>
      <c r="Z147" s="719"/>
      <c r="AA147" s="719"/>
      <c r="AB147" s="719"/>
      <c r="AC147" s="719"/>
      <c r="AD147" s="719"/>
      <c r="AE147" s="732"/>
      <c r="AF147" s="732"/>
      <c r="AG147" s="719"/>
      <c r="AH147" s="719"/>
      <c r="AI147" s="719"/>
      <c r="AJ147" s="534">
        <f t="shared" si="87"/>
        <v>0</v>
      </c>
      <c r="AK147" s="538"/>
      <c r="AL147" s="578">
        <v>54503</v>
      </c>
      <c r="AM147" s="535" t="s">
        <v>462</v>
      </c>
      <c r="AN147" s="735"/>
      <c r="AO147" s="735"/>
      <c r="AP147" s="735"/>
      <c r="AQ147" s="809">
        <f t="shared" si="86"/>
        <v>0</v>
      </c>
      <c r="AS147" s="578">
        <v>54503</v>
      </c>
      <c r="AT147" s="535" t="s">
        <v>462</v>
      </c>
      <c r="AU147" s="724"/>
      <c r="AV147" s="724"/>
      <c r="AW147" s="724"/>
      <c r="AX147" s="724"/>
      <c r="AY147" s="724"/>
      <c r="AZ147" s="724"/>
      <c r="BA147" s="729"/>
      <c r="BB147" s="634">
        <f t="shared" si="96"/>
        <v>0</v>
      </c>
      <c r="BD147" s="1088">
        <f t="shared" si="97"/>
        <v>6200</v>
      </c>
    </row>
    <row r="148" spans="1:56" s="502" customFormat="1" ht="12" thickBot="1" x14ac:dyDescent="0.25">
      <c r="A148" s="578">
        <v>54505</v>
      </c>
      <c r="B148" s="535" t="s">
        <v>333</v>
      </c>
      <c r="C148" s="719"/>
      <c r="D148" s="719"/>
      <c r="E148" s="719"/>
      <c r="F148" s="719"/>
      <c r="G148" s="719"/>
      <c r="H148" s="719"/>
      <c r="I148" s="719"/>
      <c r="J148" s="719"/>
      <c r="K148" s="719"/>
      <c r="L148" s="719"/>
      <c r="M148" s="719"/>
      <c r="N148" s="1040">
        <f t="shared" si="85"/>
        <v>0</v>
      </c>
      <c r="P148" s="578">
        <v>54505</v>
      </c>
      <c r="Q148" s="535" t="s">
        <v>333</v>
      </c>
      <c r="R148" s="719"/>
      <c r="S148" s="719"/>
      <c r="T148" s="719"/>
      <c r="U148" s="719"/>
      <c r="V148" s="719"/>
      <c r="W148" s="719"/>
      <c r="X148" s="719"/>
      <c r="Y148" s="732">
        <v>1000</v>
      </c>
      <c r="Z148" s="719"/>
      <c r="AA148" s="719"/>
      <c r="AB148" s="719"/>
      <c r="AC148" s="719"/>
      <c r="AD148" s="719"/>
      <c r="AE148" s="732">
        <v>500</v>
      </c>
      <c r="AF148" s="732"/>
      <c r="AG148" s="719"/>
      <c r="AH148" s="719"/>
      <c r="AI148" s="719">
        <v>465</v>
      </c>
      <c r="AJ148" s="534">
        <f t="shared" si="87"/>
        <v>1965</v>
      </c>
      <c r="AK148" s="538"/>
      <c r="AL148" s="578">
        <v>54505</v>
      </c>
      <c r="AM148" s="535" t="s">
        <v>333</v>
      </c>
      <c r="AN148" s="735"/>
      <c r="AO148" s="735"/>
      <c r="AP148" s="735"/>
      <c r="AQ148" s="809">
        <f t="shared" si="86"/>
        <v>0</v>
      </c>
      <c r="AS148" s="578">
        <v>54505</v>
      </c>
      <c r="AT148" s="535" t="s">
        <v>333</v>
      </c>
      <c r="AU148" s="724"/>
      <c r="AV148" s="724"/>
      <c r="AW148" s="724"/>
      <c r="AX148" s="724"/>
      <c r="AY148" s="724"/>
      <c r="AZ148" s="724"/>
      <c r="BA148" s="729"/>
      <c r="BB148" s="634">
        <f t="shared" si="96"/>
        <v>0</v>
      </c>
      <c r="BD148" s="1088">
        <f t="shared" si="97"/>
        <v>1965</v>
      </c>
    </row>
    <row r="149" spans="1:56" s="502" customFormat="1" ht="12" thickBot="1" x14ac:dyDescent="0.25">
      <c r="A149" s="578">
        <v>54507</v>
      </c>
      <c r="B149" s="535" t="s">
        <v>482</v>
      </c>
      <c r="C149" s="719"/>
      <c r="D149" s="719"/>
      <c r="E149" s="719"/>
      <c r="F149" s="719"/>
      <c r="G149" s="719"/>
      <c r="H149" s="719"/>
      <c r="I149" s="719"/>
      <c r="J149" s="719"/>
      <c r="K149" s="719"/>
      <c r="L149" s="719"/>
      <c r="M149" s="719"/>
      <c r="N149" s="1040">
        <f t="shared" si="85"/>
        <v>0</v>
      </c>
      <c r="P149" s="578">
        <v>54507</v>
      </c>
      <c r="Q149" s="535" t="s">
        <v>482</v>
      </c>
      <c r="R149" s="719"/>
      <c r="S149" s="719"/>
      <c r="T149" s="719"/>
      <c r="U149" s="719"/>
      <c r="V149" s="719"/>
      <c r="W149" s="719"/>
      <c r="X149" s="719"/>
      <c r="Y149" s="732"/>
      <c r="Z149" s="719"/>
      <c r="AA149" s="719"/>
      <c r="AB149" s="719"/>
      <c r="AC149" s="719"/>
      <c r="AD149" s="719"/>
      <c r="AE149" s="732">
        <v>500</v>
      </c>
      <c r="AF149" s="732"/>
      <c r="AG149" s="719"/>
      <c r="AH149" s="719"/>
      <c r="AI149" s="719"/>
      <c r="AJ149" s="534">
        <f t="shared" si="87"/>
        <v>500</v>
      </c>
      <c r="AK149" s="538"/>
      <c r="AL149" s="578">
        <v>54507</v>
      </c>
      <c r="AM149" s="535" t="s">
        <v>482</v>
      </c>
      <c r="AN149" s="735"/>
      <c r="AO149" s="735"/>
      <c r="AP149" s="735"/>
      <c r="AQ149" s="809">
        <f t="shared" si="86"/>
        <v>0</v>
      </c>
      <c r="AS149" s="578">
        <v>54507</v>
      </c>
      <c r="AT149" s="535" t="s">
        <v>482</v>
      </c>
      <c r="AU149" s="724"/>
      <c r="AV149" s="724"/>
      <c r="AW149" s="724"/>
      <c r="AX149" s="724"/>
      <c r="AY149" s="724"/>
      <c r="AZ149" s="724"/>
      <c r="BA149" s="729"/>
      <c r="BB149" s="634">
        <f t="shared" si="96"/>
        <v>0</v>
      </c>
      <c r="BD149" s="1088">
        <f t="shared" si="97"/>
        <v>500</v>
      </c>
    </row>
    <row r="150" spans="1:56" s="502" customFormat="1" ht="12" thickBot="1" x14ac:dyDescent="0.25">
      <c r="A150" s="578">
        <v>54599</v>
      </c>
      <c r="B150" s="535" t="s">
        <v>615</v>
      </c>
      <c r="C150" s="719"/>
      <c r="D150" s="719"/>
      <c r="E150" s="719"/>
      <c r="F150" s="719"/>
      <c r="G150" s="719"/>
      <c r="H150" s="719"/>
      <c r="I150" s="719"/>
      <c r="J150" s="719"/>
      <c r="K150" s="719"/>
      <c r="L150" s="719"/>
      <c r="M150" s="719"/>
      <c r="N150" s="1040">
        <f t="shared" si="85"/>
        <v>0</v>
      </c>
      <c r="P150" s="578">
        <v>54599</v>
      </c>
      <c r="Q150" s="535" t="s">
        <v>615</v>
      </c>
      <c r="R150" s="719"/>
      <c r="S150" s="719"/>
      <c r="T150" s="719"/>
      <c r="U150" s="719"/>
      <c r="V150" s="719"/>
      <c r="W150" s="719"/>
      <c r="X150" s="719"/>
      <c r="Y150" s="732"/>
      <c r="Z150" s="719"/>
      <c r="AA150" s="719"/>
      <c r="AB150" s="719"/>
      <c r="AC150" s="719"/>
      <c r="AD150" s="719"/>
      <c r="AE150" s="732"/>
      <c r="AF150" s="732"/>
      <c r="AG150" s="719"/>
      <c r="AH150" s="719"/>
      <c r="AI150" s="719"/>
      <c r="AJ150" s="534">
        <f t="shared" si="87"/>
        <v>0</v>
      </c>
      <c r="AK150" s="538"/>
      <c r="AL150" s="578">
        <v>54599</v>
      </c>
      <c r="AM150" s="535" t="s">
        <v>335</v>
      </c>
      <c r="AN150" s="735"/>
      <c r="AO150" s="735"/>
      <c r="AP150" s="735"/>
      <c r="AQ150" s="809">
        <f t="shared" si="86"/>
        <v>0</v>
      </c>
      <c r="AS150" s="578">
        <v>54599</v>
      </c>
      <c r="AT150" s="535" t="s">
        <v>615</v>
      </c>
      <c r="AU150" s="724"/>
      <c r="AV150" s="724"/>
      <c r="AW150" s="724"/>
      <c r="AX150" s="724"/>
      <c r="AY150" s="724"/>
      <c r="AZ150" s="724"/>
      <c r="BA150" s="729"/>
      <c r="BB150" s="634">
        <f t="shared" si="96"/>
        <v>0</v>
      </c>
      <c r="BD150" s="1088">
        <f t="shared" si="97"/>
        <v>0</v>
      </c>
    </row>
    <row r="151" spans="1:56" s="856" customFormat="1" ht="12" thickBot="1" x14ac:dyDescent="0.25">
      <c r="A151" s="577">
        <v>55</v>
      </c>
      <c r="B151" s="533" t="s">
        <v>112</v>
      </c>
      <c r="C151" s="719">
        <f>+C154+C158+C152</f>
        <v>2000</v>
      </c>
      <c r="D151" s="719">
        <f>+D154+D158+D152</f>
        <v>0</v>
      </c>
      <c r="E151" s="719">
        <f t="shared" ref="E151:L151" si="104">+E154+E158+E152</f>
        <v>0</v>
      </c>
      <c r="F151" s="719">
        <f t="shared" si="104"/>
        <v>0</v>
      </c>
      <c r="G151" s="719">
        <f t="shared" si="104"/>
        <v>0</v>
      </c>
      <c r="H151" s="719">
        <f t="shared" si="104"/>
        <v>0</v>
      </c>
      <c r="I151" s="719">
        <f t="shared" si="104"/>
        <v>0</v>
      </c>
      <c r="J151" s="719">
        <f t="shared" si="104"/>
        <v>0</v>
      </c>
      <c r="K151" s="719">
        <f t="shared" si="104"/>
        <v>0</v>
      </c>
      <c r="L151" s="719">
        <f t="shared" si="104"/>
        <v>0</v>
      </c>
      <c r="M151" s="719">
        <f>+M154+M158+M152</f>
        <v>0</v>
      </c>
      <c r="N151" s="1040">
        <f t="shared" si="85"/>
        <v>2000</v>
      </c>
      <c r="P151" s="577">
        <v>55</v>
      </c>
      <c r="Q151" s="533" t="s">
        <v>112</v>
      </c>
      <c r="R151" s="723">
        <f>+R154+R158</f>
        <v>0</v>
      </c>
      <c r="S151" s="723">
        <f t="shared" ref="S151:AI151" si="105">+S154+S158</f>
        <v>0</v>
      </c>
      <c r="T151" s="723">
        <f t="shared" si="105"/>
        <v>0</v>
      </c>
      <c r="U151" s="723">
        <f t="shared" si="105"/>
        <v>0</v>
      </c>
      <c r="V151" s="723">
        <f t="shared" si="105"/>
        <v>216</v>
      </c>
      <c r="W151" s="723">
        <f t="shared" si="105"/>
        <v>0</v>
      </c>
      <c r="X151" s="723">
        <f t="shared" si="105"/>
        <v>0</v>
      </c>
      <c r="Y151" s="723">
        <f t="shared" si="105"/>
        <v>0</v>
      </c>
      <c r="Z151" s="723">
        <f t="shared" si="105"/>
        <v>0</v>
      </c>
      <c r="AA151" s="723">
        <f t="shared" si="105"/>
        <v>0</v>
      </c>
      <c r="AB151" s="723">
        <f t="shared" si="105"/>
        <v>0</v>
      </c>
      <c r="AC151" s="723">
        <f t="shared" si="105"/>
        <v>0</v>
      </c>
      <c r="AD151" s="723">
        <f t="shared" si="105"/>
        <v>10000</v>
      </c>
      <c r="AE151" s="723">
        <f t="shared" si="105"/>
        <v>0</v>
      </c>
      <c r="AF151" s="723">
        <f t="shared" si="105"/>
        <v>0</v>
      </c>
      <c r="AG151" s="723">
        <f t="shared" si="105"/>
        <v>0</v>
      </c>
      <c r="AH151" s="723">
        <f t="shared" si="105"/>
        <v>0</v>
      </c>
      <c r="AI151" s="723">
        <f t="shared" si="105"/>
        <v>0</v>
      </c>
      <c r="AJ151" s="534">
        <f t="shared" si="87"/>
        <v>10216</v>
      </c>
      <c r="AK151" s="539"/>
      <c r="AL151" s="577">
        <v>55</v>
      </c>
      <c r="AM151" s="533" t="s">
        <v>112</v>
      </c>
      <c r="AN151" s="737">
        <f>+AN154+AN158</f>
        <v>13000</v>
      </c>
      <c r="AO151" s="737">
        <f>+AO154+AO158</f>
        <v>0</v>
      </c>
      <c r="AP151" s="737">
        <f>+AP154+AP158</f>
        <v>0</v>
      </c>
      <c r="AQ151" s="809">
        <f t="shared" si="86"/>
        <v>13000</v>
      </c>
      <c r="AS151" s="577">
        <v>55</v>
      </c>
      <c r="AT151" s="533" t="s">
        <v>112</v>
      </c>
      <c r="AU151" s="726">
        <f>+AU154+AU158+AU152</f>
        <v>0</v>
      </c>
      <c r="AV151" s="726">
        <f t="shared" ref="AV151:BA151" si="106">+AV154+AV158+AV152</f>
        <v>0</v>
      </c>
      <c r="AW151" s="726">
        <f t="shared" si="106"/>
        <v>0</v>
      </c>
      <c r="AX151" s="726">
        <f t="shared" si="106"/>
        <v>12565.56</v>
      </c>
      <c r="AY151" s="726">
        <f t="shared" si="106"/>
        <v>0</v>
      </c>
      <c r="AZ151" s="726">
        <f t="shared" si="106"/>
        <v>0</v>
      </c>
      <c r="BA151" s="726">
        <f t="shared" si="106"/>
        <v>0</v>
      </c>
      <c r="BB151" s="634">
        <f t="shared" si="96"/>
        <v>12565.56</v>
      </c>
      <c r="BD151" s="1088">
        <f t="shared" si="97"/>
        <v>37781.56</v>
      </c>
    </row>
    <row r="152" spans="1:56" s="856" customFormat="1" ht="12" thickBot="1" x14ac:dyDescent="0.25">
      <c r="A152" s="577">
        <v>555</v>
      </c>
      <c r="B152" s="533" t="s">
        <v>925</v>
      </c>
      <c r="C152" s="719">
        <f>SUM(C153)</f>
        <v>0</v>
      </c>
      <c r="D152" s="719">
        <f t="shared" ref="D152:M152" si="107">SUM(D153)</f>
        <v>0</v>
      </c>
      <c r="E152" s="719">
        <f t="shared" si="107"/>
        <v>0</v>
      </c>
      <c r="F152" s="719">
        <f t="shared" si="107"/>
        <v>0</v>
      </c>
      <c r="G152" s="719">
        <f t="shared" si="107"/>
        <v>0</v>
      </c>
      <c r="H152" s="719">
        <f t="shared" si="107"/>
        <v>0</v>
      </c>
      <c r="I152" s="719">
        <f t="shared" si="107"/>
        <v>0</v>
      </c>
      <c r="J152" s="719">
        <f t="shared" si="107"/>
        <v>0</v>
      </c>
      <c r="K152" s="719">
        <f t="shared" si="107"/>
        <v>0</v>
      </c>
      <c r="L152" s="719">
        <f t="shared" si="107"/>
        <v>0</v>
      </c>
      <c r="M152" s="719">
        <f t="shared" si="107"/>
        <v>0</v>
      </c>
      <c r="N152" s="1040">
        <f t="shared" si="85"/>
        <v>0</v>
      </c>
      <c r="P152" s="577">
        <v>555</v>
      </c>
      <c r="Q152" s="533" t="s">
        <v>925</v>
      </c>
      <c r="R152" s="723"/>
      <c r="S152" s="723"/>
      <c r="T152" s="723"/>
      <c r="U152" s="723"/>
      <c r="V152" s="723"/>
      <c r="W152" s="723"/>
      <c r="X152" s="723"/>
      <c r="Y152" s="723"/>
      <c r="Z152" s="723"/>
      <c r="AA152" s="723"/>
      <c r="AB152" s="723"/>
      <c r="AC152" s="723"/>
      <c r="AD152" s="723"/>
      <c r="AE152" s="723"/>
      <c r="AF152" s="723"/>
      <c r="AG152" s="723"/>
      <c r="AH152" s="723"/>
      <c r="AI152" s="723"/>
      <c r="AJ152" s="534">
        <f t="shared" si="87"/>
        <v>0</v>
      </c>
      <c r="AK152" s="539"/>
      <c r="AL152" s="577">
        <v>555</v>
      </c>
      <c r="AM152" s="533" t="s">
        <v>925</v>
      </c>
      <c r="AN152" s="737"/>
      <c r="AO152" s="737"/>
      <c r="AP152" s="737"/>
      <c r="AQ152" s="809"/>
      <c r="AS152" s="577">
        <v>555</v>
      </c>
      <c r="AT152" s="533" t="s">
        <v>925</v>
      </c>
      <c r="AU152" s="726">
        <f>SUM(AU153)</f>
        <v>0</v>
      </c>
      <c r="AV152" s="726">
        <f t="shared" ref="AV152:BA152" si="108">SUM(AV153)</f>
        <v>0</v>
      </c>
      <c r="AW152" s="726">
        <f t="shared" si="108"/>
        <v>0</v>
      </c>
      <c r="AX152" s="726">
        <f t="shared" si="108"/>
        <v>12565.56</v>
      </c>
      <c r="AY152" s="726">
        <f t="shared" si="108"/>
        <v>0</v>
      </c>
      <c r="AZ152" s="726">
        <f t="shared" si="108"/>
        <v>0</v>
      </c>
      <c r="BA152" s="726">
        <f t="shared" si="108"/>
        <v>0</v>
      </c>
      <c r="BB152" s="634">
        <f t="shared" si="96"/>
        <v>12565.56</v>
      </c>
      <c r="BD152" s="1088">
        <f t="shared" si="97"/>
        <v>12565.56</v>
      </c>
    </row>
    <row r="153" spans="1:56" s="856" customFormat="1" ht="12" thickBot="1" x14ac:dyDescent="0.25">
      <c r="A153" s="577">
        <v>55508</v>
      </c>
      <c r="B153" s="533" t="s">
        <v>924</v>
      </c>
      <c r="C153" s="719"/>
      <c r="D153" s="719"/>
      <c r="E153" s="719"/>
      <c r="F153" s="719"/>
      <c r="G153" s="719"/>
      <c r="H153" s="719"/>
      <c r="I153" s="719"/>
      <c r="J153" s="719"/>
      <c r="K153" s="719"/>
      <c r="L153" s="719"/>
      <c r="M153" s="719"/>
      <c r="N153" s="1040">
        <f t="shared" si="85"/>
        <v>0</v>
      </c>
      <c r="P153" s="577">
        <v>55508</v>
      </c>
      <c r="Q153" s="533" t="s">
        <v>924</v>
      </c>
      <c r="R153" s="723"/>
      <c r="S153" s="723"/>
      <c r="T153" s="723"/>
      <c r="U153" s="723"/>
      <c r="V153" s="723"/>
      <c r="W153" s="723"/>
      <c r="X153" s="723"/>
      <c r="Y153" s="723"/>
      <c r="Z153" s="723"/>
      <c r="AA153" s="723"/>
      <c r="AB153" s="723"/>
      <c r="AC153" s="723"/>
      <c r="AD153" s="723"/>
      <c r="AE153" s="723"/>
      <c r="AF153" s="723"/>
      <c r="AG153" s="723"/>
      <c r="AH153" s="723"/>
      <c r="AI153" s="723"/>
      <c r="AJ153" s="534">
        <f t="shared" si="87"/>
        <v>0</v>
      </c>
      <c r="AK153" s="539"/>
      <c r="AL153" s="577">
        <v>55508</v>
      </c>
      <c r="AM153" s="533" t="s">
        <v>924</v>
      </c>
      <c r="AN153" s="737"/>
      <c r="AO153" s="737"/>
      <c r="AP153" s="737"/>
      <c r="AQ153" s="809"/>
      <c r="AS153" s="577">
        <v>55508</v>
      </c>
      <c r="AT153" s="533" t="s">
        <v>924</v>
      </c>
      <c r="AU153" s="726"/>
      <c r="AV153" s="726"/>
      <c r="AW153" s="726"/>
      <c r="AX153" s="726">
        <v>12565.56</v>
      </c>
      <c r="AY153" s="726"/>
      <c r="AZ153" s="726"/>
      <c r="BA153" s="726"/>
      <c r="BB153" s="634">
        <f t="shared" si="96"/>
        <v>12565.56</v>
      </c>
      <c r="BD153" s="1088">
        <f t="shared" si="97"/>
        <v>12565.56</v>
      </c>
    </row>
    <row r="154" spans="1:56" s="856" customFormat="1" ht="12" thickBot="1" x14ac:dyDescent="0.25">
      <c r="A154" s="577">
        <v>556</v>
      </c>
      <c r="B154" s="533" t="s">
        <v>113</v>
      </c>
      <c r="C154" s="719">
        <f>SUM(C155:C157)</f>
        <v>2000</v>
      </c>
      <c r="D154" s="719">
        <f t="shared" ref="D154:M154" si="109">SUM(D155:D157)</f>
        <v>0</v>
      </c>
      <c r="E154" s="719">
        <f t="shared" si="109"/>
        <v>0</v>
      </c>
      <c r="F154" s="719">
        <f t="shared" si="109"/>
        <v>0</v>
      </c>
      <c r="G154" s="719">
        <f t="shared" si="109"/>
        <v>0</v>
      </c>
      <c r="H154" s="719">
        <f t="shared" si="109"/>
        <v>0</v>
      </c>
      <c r="I154" s="719">
        <f t="shared" si="109"/>
        <v>0</v>
      </c>
      <c r="J154" s="719">
        <f t="shared" si="109"/>
        <v>0</v>
      </c>
      <c r="K154" s="719">
        <f t="shared" si="109"/>
        <v>0</v>
      </c>
      <c r="L154" s="719">
        <f t="shared" si="109"/>
        <v>0</v>
      </c>
      <c r="M154" s="719">
        <f t="shared" si="109"/>
        <v>0</v>
      </c>
      <c r="N154" s="1040">
        <f t="shared" si="85"/>
        <v>2000</v>
      </c>
      <c r="P154" s="577">
        <v>556</v>
      </c>
      <c r="Q154" s="533" t="s">
        <v>113</v>
      </c>
      <c r="R154" s="723">
        <f>SUM(R155:R157)</f>
        <v>0</v>
      </c>
      <c r="S154" s="723">
        <f t="shared" ref="S154:AI154" si="110">SUM(S155:S157)</f>
        <v>0</v>
      </c>
      <c r="T154" s="723">
        <f t="shared" si="110"/>
        <v>0</v>
      </c>
      <c r="U154" s="723">
        <f t="shared" si="110"/>
        <v>0</v>
      </c>
      <c r="V154" s="723">
        <f t="shared" si="110"/>
        <v>216</v>
      </c>
      <c r="W154" s="723">
        <f t="shared" si="110"/>
        <v>0</v>
      </c>
      <c r="X154" s="723">
        <f t="shared" si="110"/>
        <v>0</v>
      </c>
      <c r="Y154" s="723">
        <f t="shared" si="110"/>
        <v>0</v>
      </c>
      <c r="Z154" s="723">
        <f t="shared" si="110"/>
        <v>0</v>
      </c>
      <c r="AA154" s="723">
        <f t="shared" si="110"/>
        <v>0</v>
      </c>
      <c r="AB154" s="723">
        <f t="shared" si="110"/>
        <v>0</v>
      </c>
      <c r="AC154" s="723">
        <f t="shared" si="110"/>
        <v>0</v>
      </c>
      <c r="AD154" s="723">
        <f t="shared" si="110"/>
        <v>0</v>
      </c>
      <c r="AE154" s="723">
        <f t="shared" si="110"/>
        <v>0</v>
      </c>
      <c r="AF154" s="723">
        <f t="shared" si="110"/>
        <v>0</v>
      </c>
      <c r="AG154" s="723">
        <f t="shared" si="110"/>
        <v>0</v>
      </c>
      <c r="AH154" s="723">
        <f t="shared" si="110"/>
        <v>0</v>
      </c>
      <c r="AI154" s="723">
        <f t="shared" si="110"/>
        <v>0</v>
      </c>
      <c r="AJ154" s="534">
        <f t="shared" si="87"/>
        <v>216</v>
      </c>
      <c r="AK154" s="539"/>
      <c r="AL154" s="577">
        <v>556</v>
      </c>
      <c r="AM154" s="533" t="s">
        <v>113</v>
      </c>
      <c r="AN154" s="737">
        <f>SUM(AN155:AN157)</f>
        <v>13000</v>
      </c>
      <c r="AO154" s="737"/>
      <c r="AP154" s="735">
        <f>SUM(AP155:AP157)</f>
        <v>0</v>
      </c>
      <c r="AQ154" s="809">
        <f t="shared" ref="AQ154:AQ157" si="111">SUM(AN154:AP154)</f>
        <v>13000</v>
      </c>
      <c r="AS154" s="577">
        <v>556</v>
      </c>
      <c r="AT154" s="533" t="s">
        <v>113</v>
      </c>
      <c r="AU154" s="726">
        <f>SUM(AU155:AU157)</f>
        <v>0</v>
      </c>
      <c r="AV154" s="726">
        <f t="shared" ref="AV154:BA154" si="112">SUM(AV155:AV157)</f>
        <v>0</v>
      </c>
      <c r="AW154" s="726">
        <f t="shared" si="112"/>
        <v>0</v>
      </c>
      <c r="AX154" s="726">
        <f t="shared" si="112"/>
        <v>0</v>
      </c>
      <c r="AY154" s="726">
        <f t="shared" si="112"/>
        <v>0</v>
      </c>
      <c r="AZ154" s="726">
        <f t="shared" si="112"/>
        <v>0</v>
      </c>
      <c r="BA154" s="726">
        <f t="shared" si="112"/>
        <v>0</v>
      </c>
      <c r="BB154" s="634">
        <f t="shared" si="96"/>
        <v>0</v>
      </c>
      <c r="BD154" s="1088">
        <f t="shared" si="97"/>
        <v>15216</v>
      </c>
    </row>
    <row r="155" spans="1:56" s="502" customFormat="1" ht="12" thickBot="1" x14ac:dyDescent="0.25">
      <c r="A155" s="578">
        <v>55601</v>
      </c>
      <c r="B155" s="535" t="s">
        <v>336</v>
      </c>
      <c r="C155" s="719">
        <v>2000</v>
      </c>
      <c r="D155" s="719"/>
      <c r="E155" s="719"/>
      <c r="F155" s="719"/>
      <c r="G155" s="719"/>
      <c r="H155" s="719"/>
      <c r="I155" s="719"/>
      <c r="J155" s="719"/>
      <c r="K155" s="719"/>
      <c r="L155" s="719"/>
      <c r="M155" s="719"/>
      <c r="N155" s="1040">
        <f t="shared" si="85"/>
        <v>2000</v>
      </c>
      <c r="P155" s="578">
        <v>55601</v>
      </c>
      <c r="Q155" s="535" t="s">
        <v>336</v>
      </c>
      <c r="R155" s="719"/>
      <c r="S155" s="719"/>
      <c r="T155" s="719"/>
      <c r="U155" s="719"/>
      <c r="V155" s="719"/>
      <c r="W155" s="719"/>
      <c r="X155" s="719"/>
      <c r="Y155" s="732"/>
      <c r="Z155" s="719"/>
      <c r="AA155" s="719"/>
      <c r="AB155" s="719"/>
      <c r="AC155" s="719"/>
      <c r="AD155" s="719"/>
      <c r="AE155" s="732"/>
      <c r="AF155" s="732"/>
      <c r="AG155" s="719"/>
      <c r="AH155" s="719"/>
      <c r="AI155" s="719"/>
      <c r="AJ155" s="534">
        <f t="shared" si="87"/>
        <v>0</v>
      </c>
      <c r="AK155" s="538"/>
      <c r="AL155" s="578">
        <v>55601</v>
      </c>
      <c r="AM155" s="535" t="s">
        <v>336</v>
      </c>
      <c r="AN155" s="735"/>
      <c r="AO155" s="735"/>
      <c r="AP155" s="735"/>
      <c r="AQ155" s="809">
        <f t="shared" si="111"/>
        <v>0</v>
      </c>
      <c r="AS155" s="578">
        <v>55601</v>
      </c>
      <c r="AT155" s="535" t="s">
        <v>336</v>
      </c>
      <c r="AU155" s="724"/>
      <c r="AV155" s="724"/>
      <c r="AW155" s="724"/>
      <c r="AX155" s="724"/>
      <c r="AY155" s="724"/>
      <c r="AZ155" s="724"/>
      <c r="BA155" s="729"/>
      <c r="BB155" s="634">
        <f t="shared" si="96"/>
        <v>0</v>
      </c>
      <c r="BD155" s="1088">
        <f t="shared" si="97"/>
        <v>2000</v>
      </c>
    </row>
    <row r="156" spans="1:56" s="502" customFormat="1" ht="12" thickBot="1" x14ac:dyDescent="0.25">
      <c r="A156" s="578">
        <v>55602</v>
      </c>
      <c r="B156" s="535" t="s">
        <v>337</v>
      </c>
      <c r="C156" s="719"/>
      <c r="D156" s="719"/>
      <c r="E156" s="719"/>
      <c r="F156" s="719"/>
      <c r="G156" s="719"/>
      <c r="H156" s="719"/>
      <c r="I156" s="719"/>
      <c r="J156" s="719"/>
      <c r="K156" s="719"/>
      <c r="L156" s="719"/>
      <c r="M156" s="719"/>
      <c r="N156" s="1040">
        <f t="shared" si="85"/>
        <v>0</v>
      </c>
      <c r="P156" s="578">
        <v>55602</v>
      </c>
      <c r="Q156" s="535" t="s">
        <v>337</v>
      </c>
      <c r="R156" s="719"/>
      <c r="S156" s="719"/>
      <c r="T156" s="719"/>
      <c r="U156" s="719"/>
      <c r="V156" s="719"/>
      <c r="W156" s="719"/>
      <c r="X156" s="719"/>
      <c r="Y156" s="732"/>
      <c r="Z156" s="719"/>
      <c r="AA156" s="719"/>
      <c r="AB156" s="719"/>
      <c r="AC156" s="719"/>
      <c r="AD156" s="719"/>
      <c r="AE156" s="732"/>
      <c r="AF156" s="732"/>
      <c r="AG156" s="719"/>
      <c r="AH156" s="719"/>
      <c r="AI156" s="719"/>
      <c r="AJ156" s="534">
        <f t="shared" si="87"/>
        <v>0</v>
      </c>
      <c r="AK156" s="538"/>
      <c r="AL156" s="578">
        <v>55602</v>
      </c>
      <c r="AM156" s="535" t="s">
        <v>337</v>
      </c>
      <c r="AN156" s="735">
        <v>13000</v>
      </c>
      <c r="AO156" s="735"/>
      <c r="AP156" s="735"/>
      <c r="AQ156" s="809">
        <f t="shared" si="111"/>
        <v>13000</v>
      </c>
      <c r="AS156" s="578">
        <v>55602</v>
      </c>
      <c r="AT156" s="535" t="s">
        <v>337</v>
      </c>
      <c r="AU156" s="724"/>
      <c r="AV156" s="724"/>
      <c r="AW156" s="724"/>
      <c r="AX156" s="724"/>
      <c r="AY156" s="724"/>
      <c r="AZ156" s="724"/>
      <c r="BA156" s="729"/>
      <c r="BB156" s="634">
        <f t="shared" si="96"/>
        <v>0</v>
      </c>
      <c r="BD156" s="1088">
        <f t="shared" si="97"/>
        <v>13000</v>
      </c>
    </row>
    <row r="157" spans="1:56" s="502" customFormat="1" ht="12" thickBot="1" x14ac:dyDescent="0.25">
      <c r="A157" s="578">
        <v>55603</v>
      </c>
      <c r="B157" s="535" t="s">
        <v>338</v>
      </c>
      <c r="C157" s="719"/>
      <c r="D157" s="719"/>
      <c r="E157" s="719"/>
      <c r="F157" s="719"/>
      <c r="G157" s="719"/>
      <c r="H157" s="719"/>
      <c r="I157" s="719"/>
      <c r="J157" s="719"/>
      <c r="K157" s="719"/>
      <c r="L157" s="719"/>
      <c r="M157" s="719"/>
      <c r="N157" s="1040">
        <f t="shared" si="85"/>
        <v>0</v>
      </c>
      <c r="P157" s="578">
        <v>55603</v>
      </c>
      <c r="Q157" s="535" t="s">
        <v>338</v>
      </c>
      <c r="R157" s="719"/>
      <c r="S157" s="719"/>
      <c r="T157" s="719"/>
      <c r="U157" s="719"/>
      <c r="V157" s="719">
        <v>216</v>
      </c>
      <c r="W157" s="719"/>
      <c r="X157" s="719"/>
      <c r="Y157" s="732"/>
      <c r="Z157" s="719"/>
      <c r="AA157" s="719"/>
      <c r="AB157" s="719"/>
      <c r="AC157" s="719"/>
      <c r="AD157" s="719"/>
      <c r="AE157" s="732"/>
      <c r="AF157" s="732"/>
      <c r="AG157" s="719"/>
      <c r="AH157" s="719"/>
      <c r="AI157" s="719"/>
      <c r="AJ157" s="534">
        <f t="shared" si="87"/>
        <v>216</v>
      </c>
      <c r="AK157" s="538"/>
      <c r="AL157" s="578">
        <v>55603</v>
      </c>
      <c r="AM157" s="535" t="s">
        <v>338</v>
      </c>
      <c r="AN157" s="735"/>
      <c r="AO157" s="735"/>
      <c r="AP157" s="735"/>
      <c r="AQ157" s="809">
        <f t="shared" si="111"/>
        <v>0</v>
      </c>
      <c r="AS157" s="578">
        <v>55603</v>
      </c>
      <c r="AT157" s="535" t="s">
        <v>338</v>
      </c>
      <c r="AU157" s="724"/>
      <c r="AV157" s="724"/>
      <c r="AW157" s="724"/>
      <c r="AX157" s="724"/>
      <c r="AY157" s="724"/>
      <c r="AZ157" s="724"/>
      <c r="BA157" s="729"/>
      <c r="BB157" s="634">
        <f t="shared" si="96"/>
        <v>0</v>
      </c>
      <c r="BD157" s="1088">
        <f t="shared" si="97"/>
        <v>216</v>
      </c>
    </row>
    <row r="158" spans="1:56" s="856" customFormat="1" ht="12" thickBot="1" x14ac:dyDescent="0.25">
      <c r="A158" s="577">
        <v>557</v>
      </c>
      <c r="B158" s="533" t="s">
        <v>114</v>
      </c>
      <c r="C158" s="719">
        <f>SUM(C159:C159)</f>
        <v>0</v>
      </c>
      <c r="D158" s="719">
        <f t="shared" ref="D158:M158" si="113">SUM(D159:D159)</f>
        <v>0</v>
      </c>
      <c r="E158" s="719">
        <f t="shared" si="113"/>
        <v>0</v>
      </c>
      <c r="F158" s="719">
        <f t="shared" si="113"/>
        <v>0</v>
      </c>
      <c r="G158" s="719">
        <f t="shared" si="113"/>
        <v>0</v>
      </c>
      <c r="H158" s="719">
        <f t="shared" si="113"/>
        <v>0</v>
      </c>
      <c r="I158" s="719">
        <f t="shared" si="113"/>
        <v>0</v>
      </c>
      <c r="J158" s="719">
        <f t="shared" si="113"/>
        <v>0</v>
      </c>
      <c r="K158" s="719">
        <f t="shared" si="113"/>
        <v>0</v>
      </c>
      <c r="L158" s="719">
        <f t="shared" si="113"/>
        <v>0</v>
      </c>
      <c r="M158" s="719">
        <f t="shared" si="113"/>
        <v>0</v>
      </c>
      <c r="N158" s="1040">
        <f t="shared" si="85"/>
        <v>0</v>
      </c>
      <c r="P158" s="577">
        <v>557</v>
      </c>
      <c r="Q158" s="533" t="s">
        <v>114</v>
      </c>
      <c r="R158" s="719">
        <f t="shared" ref="R158:W158" si="114">SUM(R159:R159)</f>
        <v>0</v>
      </c>
      <c r="S158" s="719">
        <f t="shared" si="114"/>
        <v>0</v>
      </c>
      <c r="T158" s="719">
        <f t="shared" si="114"/>
        <v>0</v>
      </c>
      <c r="U158" s="719">
        <f t="shared" si="114"/>
        <v>0</v>
      </c>
      <c r="V158" s="719">
        <f t="shared" si="114"/>
        <v>0</v>
      </c>
      <c r="W158" s="719">
        <f t="shared" si="114"/>
        <v>0</v>
      </c>
      <c r="X158" s="719">
        <f>SUM(X159:X159)</f>
        <v>0</v>
      </c>
      <c r="Y158" s="719">
        <f t="shared" ref="Y158:AI158" si="115">SUM(Y159:Y159)</f>
        <v>0</v>
      </c>
      <c r="Z158" s="719">
        <f t="shared" si="115"/>
        <v>0</v>
      </c>
      <c r="AA158" s="719">
        <f t="shared" si="115"/>
        <v>0</v>
      </c>
      <c r="AB158" s="719">
        <f t="shared" si="115"/>
        <v>0</v>
      </c>
      <c r="AC158" s="719">
        <f t="shared" si="115"/>
        <v>0</v>
      </c>
      <c r="AD158" s="719">
        <f t="shared" si="115"/>
        <v>10000</v>
      </c>
      <c r="AE158" s="719">
        <f t="shared" si="115"/>
        <v>0</v>
      </c>
      <c r="AF158" s="719">
        <f t="shared" si="115"/>
        <v>0</v>
      </c>
      <c r="AG158" s="719">
        <f t="shared" si="115"/>
        <v>0</v>
      </c>
      <c r="AH158" s="719">
        <f t="shared" si="115"/>
        <v>0</v>
      </c>
      <c r="AI158" s="719">
        <f t="shared" si="115"/>
        <v>0</v>
      </c>
      <c r="AJ158" s="534">
        <f t="shared" si="87"/>
        <v>10000</v>
      </c>
      <c r="AK158" s="539"/>
      <c r="AL158" s="577">
        <v>557</v>
      </c>
      <c r="AM158" s="533" t="s">
        <v>114</v>
      </c>
      <c r="AN158" s="735">
        <f>SUM(AN159:AN159)</f>
        <v>0</v>
      </c>
      <c r="AO158" s="735">
        <f>SUM(AO159:AO159)</f>
        <v>0</v>
      </c>
      <c r="AP158" s="735">
        <f>SUM(AP159:AP159)</f>
        <v>0</v>
      </c>
      <c r="AQ158" s="809">
        <f>SUM(AQ159:AQ159)</f>
        <v>0</v>
      </c>
      <c r="AS158" s="577">
        <v>557</v>
      </c>
      <c r="AT158" s="533" t="s">
        <v>114</v>
      </c>
      <c r="AU158" s="724">
        <f t="shared" ref="AU158:BA158" si="116">SUM(AU159:AU159)</f>
        <v>0</v>
      </c>
      <c r="AV158" s="724">
        <f t="shared" si="116"/>
        <v>0</v>
      </c>
      <c r="AW158" s="724">
        <f t="shared" si="116"/>
        <v>0</v>
      </c>
      <c r="AX158" s="724">
        <f t="shared" si="116"/>
        <v>0</v>
      </c>
      <c r="AY158" s="724">
        <f t="shared" si="116"/>
        <v>0</v>
      </c>
      <c r="AZ158" s="724">
        <f t="shared" si="116"/>
        <v>0</v>
      </c>
      <c r="BA158" s="724">
        <f t="shared" si="116"/>
        <v>0</v>
      </c>
      <c r="BB158" s="634">
        <f t="shared" si="96"/>
        <v>0</v>
      </c>
      <c r="BD158" s="1088">
        <f t="shared" si="97"/>
        <v>10000</v>
      </c>
    </row>
    <row r="159" spans="1:56" s="502" customFormat="1" ht="12" thickBot="1" x14ac:dyDescent="0.25">
      <c r="A159" s="578">
        <v>55799</v>
      </c>
      <c r="B159" s="535" t="s">
        <v>339</v>
      </c>
      <c r="C159" s="719"/>
      <c r="D159" s="719"/>
      <c r="E159" s="719"/>
      <c r="F159" s="719"/>
      <c r="G159" s="719"/>
      <c r="H159" s="719"/>
      <c r="I159" s="719"/>
      <c r="J159" s="719"/>
      <c r="K159" s="719"/>
      <c r="L159" s="719"/>
      <c r="M159" s="719"/>
      <c r="N159" s="1040">
        <f t="shared" si="85"/>
        <v>0</v>
      </c>
      <c r="P159" s="578">
        <v>55799</v>
      </c>
      <c r="Q159" s="535" t="s">
        <v>339</v>
      </c>
      <c r="R159" s="719"/>
      <c r="S159" s="719"/>
      <c r="T159" s="719"/>
      <c r="U159" s="719"/>
      <c r="V159" s="719"/>
      <c r="W159" s="719"/>
      <c r="X159" s="719"/>
      <c r="Y159" s="732"/>
      <c r="Z159" s="719"/>
      <c r="AA159" s="719"/>
      <c r="AB159" s="719"/>
      <c r="AC159" s="719"/>
      <c r="AD159" s="719">
        <v>10000</v>
      </c>
      <c r="AE159" s="732"/>
      <c r="AF159" s="732"/>
      <c r="AG159" s="719"/>
      <c r="AH159" s="719"/>
      <c r="AI159" s="719"/>
      <c r="AJ159" s="534">
        <f t="shared" si="87"/>
        <v>10000</v>
      </c>
      <c r="AK159" s="538"/>
      <c r="AL159" s="578">
        <v>55799</v>
      </c>
      <c r="AM159" s="535" t="s">
        <v>339</v>
      </c>
      <c r="AN159" s="735"/>
      <c r="AO159" s="735"/>
      <c r="AP159" s="735"/>
      <c r="AQ159" s="809">
        <f t="shared" ref="AQ159" si="117">SUM(AN159:AP159)</f>
        <v>0</v>
      </c>
      <c r="AS159" s="578">
        <v>55799</v>
      </c>
      <c r="AT159" s="535" t="s">
        <v>339</v>
      </c>
      <c r="AU159" s="724"/>
      <c r="AV159" s="724"/>
      <c r="AW159" s="724"/>
      <c r="AX159" s="724"/>
      <c r="AY159" s="724"/>
      <c r="AZ159" s="724"/>
      <c r="BA159" s="729"/>
      <c r="BB159" s="634">
        <f t="shared" si="96"/>
        <v>0</v>
      </c>
      <c r="BD159" s="1088">
        <f t="shared" si="97"/>
        <v>10000</v>
      </c>
    </row>
    <row r="160" spans="1:56" s="502" customFormat="1" ht="12" thickBot="1" x14ac:dyDescent="0.25">
      <c r="A160" s="577">
        <v>56</v>
      </c>
      <c r="B160" s="533" t="s">
        <v>115</v>
      </c>
      <c r="C160" s="719">
        <f>C161+C163</f>
        <v>10400</v>
      </c>
      <c r="D160" s="719">
        <f>D161+D163</f>
        <v>0</v>
      </c>
      <c r="E160" s="719">
        <f t="shared" ref="E160:M160" si="118">E161+E163</f>
        <v>0</v>
      </c>
      <c r="F160" s="719">
        <f t="shared" si="118"/>
        <v>0</v>
      </c>
      <c r="G160" s="719">
        <f t="shared" si="118"/>
        <v>0</v>
      </c>
      <c r="H160" s="719">
        <f t="shared" si="118"/>
        <v>0</v>
      </c>
      <c r="I160" s="719">
        <f t="shared" si="118"/>
        <v>0</v>
      </c>
      <c r="J160" s="719">
        <f t="shared" si="118"/>
        <v>0</v>
      </c>
      <c r="K160" s="719">
        <f t="shared" si="118"/>
        <v>0</v>
      </c>
      <c r="L160" s="719">
        <f t="shared" si="118"/>
        <v>0</v>
      </c>
      <c r="M160" s="719">
        <f t="shared" si="118"/>
        <v>0</v>
      </c>
      <c r="N160" s="1040">
        <f t="shared" si="85"/>
        <v>10400</v>
      </c>
      <c r="P160" s="577">
        <v>56</v>
      </c>
      <c r="Q160" s="533" t="s">
        <v>115</v>
      </c>
      <c r="R160" s="719">
        <f t="shared" ref="R160:Y160" si="119">R161+R163</f>
        <v>0</v>
      </c>
      <c r="S160" s="719">
        <f t="shared" si="119"/>
        <v>0</v>
      </c>
      <c r="T160" s="719">
        <f t="shared" si="119"/>
        <v>0</v>
      </c>
      <c r="U160" s="719">
        <f t="shared" si="119"/>
        <v>0</v>
      </c>
      <c r="V160" s="719">
        <f t="shared" si="119"/>
        <v>0</v>
      </c>
      <c r="W160" s="719">
        <f t="shared" si="119"/>
        <v>0</v>
      </c>
      <c r="X160" s="719">
        <f t="shared" si="119"/>
        <v>0</v>
      </c>
      <c r="Y160" s="719">
        <f t="shared" si="119"/>
        <v>0</v>
      </c>
      <c r="Z160" s="719">
        <f>Z161+Z163</f>
        <v>2500</v>
      </c>
      <c r="AA160" s="719">
        <f t="shared" ref="AA160:AC160" si="120">AA161+AA163</f>
        <v>0</v>
      </c>
      <c r="AB160" s="719">
        <f t="shared" si="120"/>
        <v>0</v>
      </c>
      <c r="AC160" s="719">
        <f t="shared" si="120"/>
        <v>0</v>
      </c>
      <c r="AD160" s="719"/>
      <c r="AE160" s="719">
        <f t="shared" ref="AE160:AH160" si="121">AE161+AE163</f>
        <v>0</v>
      </c>
      <c r="AF160" s="719">
        <f t="shared" si="121"/>
        <v>0</v>
      </c>
      <c r="AG160" s="719">
        <f t="shared" si="121"/>
        <v>0</v>
      </c>
      <c r="AH160" s="719">
        <f t="shared" si="121"/>
        <v>0</v>
      </c>
      <c r="AI160" s="719"/>
      <c r="AJ160" s="534">
        <f t="shared" si="87"/>
        <v>2500</v>
      </c>
      <c r="AK160" s="538"/>
      <c r="AL160" s="577">
        <v>56</v>
      </c>
      <c r="AM160" s="533" t="s">
        <v>115</v>
      </c>
      <c r="AN160" s="737">
        <f>AN161+AN163</f>
        <v>0</v>
      </c>
      <c r="AO160" s="737">
        <f>AO161+AO163</f>
        <v>0</v>
      </c>
      <c r="AP160" s="737">
        <f>AP161+AP163</f>
        <v>0</v>
      </c>
      <c r="AQ160" s="809">
        <f>AQ161+AQ163</f>
        <v>0</v>
      </c>
      <c r="AS160" s="577">
        <v>56</v>
      </c>
      <c r="AT160" s="533" t="s">
        <v>115</v>
      </c>
      <c r="AU160" s="726">
        <f>AU161+AU163</f>
        <v>0</v>
      </c>
      <c r="AV160" s="726">
        <f t="shared" ref="AV160:BA160" si="122">AV161+AV163</f>
        <v>0</v>
      </c>
      <c r="AW160" s="726">
        <f t="shared" si="122"/>
        <v>0</v>
      </c>
      <c r="AX160" s="726">
        <f t="shared" si="122"/>
        <v>0</v>
      </c>
      <c r="AY160" s="726">
        <f t="shared" si="122"/>
        <v>0</v>
      </c>
      <c r="AZ160" s="726">
        <f t="shared" si="122"/>
        <v>0</v>
      </c>
      <c r="BA160" s="726">
        <f t="shared" si="122"/>
        <v>0</v>
      </c>
      <c r="BB160" s="634">
        <f t="shared" si="96"/>
        <v>0</v>
      </c>
      <c r="BD160" s="1088">
        <f t="shared" si="97"/>
        <v>12900</v>
      </c>
    </row>
    <row r="161" spans="1:57" s="856" customFormat="1" ht="12" thickBot="1" x14ac:dyDescent="0.25">
      <c r="A161" s="577">
        <v>562</v>
      </c>
      <c r="B161" s="533" t="s">
        <v>344</v>
      </c>
      <c r="C161" s="719">
        <f>SUM(C162)</f>
        <v>0</v>
      </c>
      <c r="D161" s="719">
        <f t="shared" ref="D161:M161" si="123">SUM(D162)</f>
        <v>0</v>
      </c>
      <c r="E161" s="719">
        <f t="shared" si="123"/>
        <v>0</v>
      </c>
      <c r="F161" s="719">
        <f t="shared" si="123"/>
        <v>0</v>
      </c>
      <c r="G161" s="719">
        <f t="shared" si="123"/>
        <v>0</v>
      </c>
      <c r="H161" s="719">
        <f t="shared" si="123"/>
        <v>0</v>
      </c>
      <c r="I161" s="719">
        <f t="shared" si="123"/>
        <v>0</v>
      </c>
      <c r="J161" s="719">
        <f t="shared" si="123"/>
        <v>0</v>
      </c>
      <c r="K161" s="719">
        <f t="shared" si="123"/>
        <v>0</v>
      </c>
      <c r="L161" s="719">
        <f t="shared" si="123"/>
        <v>0</v>
      </c>
      <c r="M161" s="719">
        <f t="shared" si="123"/>
        <v>0</v>
      </c>
      <c r="N161" s="1040">
        <f t="shared" si="85"/>
        <v>0</v>
      </c>
      <c r="P161" s="577">
        <v>562</v>
      </c>
      <c r="Q161" s="533" t="s">
        <v>344</v>
      </c>
      <c r="R161" s="723">
        <f>SUM(R162)</f>
        <v>0</v>
      </c>
      <c r="S161" s="719">
        <f t="shared" ref="S161:AH161" si="124">SUM(S162)</f>
        <v>0</v>
      </c>
      <c r="T161" s="719">
        <f t="shared" si="124"/>
        <v>0</v>
      </c>
      <c r="U161" s="719">
        <f t="shared" si="124"/>
        <v>0</v>
      </c>
      <c r="V161" s="719">
        <f t="shared" si="124"/>
        <v>0</v>
      </c>
      <c r="W161" s="719">
        <f t="shared" si="124"/>
        <v>0</v>
      </c>
      <c r="X161" s="719">
        <f t="shared" si="124"/>
        <v>0</v>
      </c>
      <c r="Y161" s="732">
        <f t="shared" si="124"/>
        <v>0</v>
      </c>
      <c r="Z161" s="719">
        <f t="shared" si="124"/>
        <v>0</v>
      </c>
      <c r="AA161" s="719">
        <f t="shared" si="124"/>
        <v>0</v>
      </c>
      <c r="AB161" s="719">
        <f t="shared" si="124"/>
        <v>0</v>
      </c>
      <c r="AC161" s="719"/>
      <c r="AD161" s="719"/>
      <c r="AE161" s="732">
        <f t="shared" si="124"/>
        <v>0</v>
      </c>
      <c r="AF161" s="732">
        <f t="shared" si="124"/>
        <v>0</v>
      </c>
      <c r="AG161" s="719">
        <f t="shared" si="124"/>
        <v>0</v>
      </c>
      <c r="AH161" s="719">
        <f t="shared" si="124"/>
        <v>0</v>
      </c>
      <c r="AI161" s="719"/>
      <c r="AJ161" s="534">
        <f t="shared" si="87"/>
        <v>0</v>
      </c>
      <c r="AK161" s="539"/>
      <c r="AL161" s="577">
        <v>562</v>
      </c>
      <c r="AM161" s="533" t="s">
        <v>344</v>
      </c>
      <c r="AN161" s="737">
        <f>SUM(AN162)</f>
        <v>0</v>
      </c>
      <c r="AO161" s="737">
        <f>SUM(AO162)</f>
        <v>0</v>
      </c>
      <c r="AP161" s="737">
        <f>SUM(AP162)</f>
        <v>0</v>
      </c>
      <c r="AQ161" s="809">
        <f>SUM(AQ162)</f>
        <v>0</v>
      </c>
      <c r="AS161" s="577">
        <v>562</v>
      </c>
      <c r="AT161" s="533" t="s">
        <v>344</v>
      </c>
      <c r="AU161" s="726">
        <f t="shared" ref="AU161:BA161" si="125">SUM(AU162)</f>
        <v>0</v>
      </c>
      <c r="AV161" s="726">
        <f t="shared" si="125"/>
        <v>0</v>
      </c>
      <c r="AW161" s="726">
        <f t="shared" si="125"/>
        <v>0</v>
      </c>
      <c r="AX161" s="726">
        <f t="shared" si="125"/>
        <v>0</v>
      </c>
      <c r="AY161" s="726">
        <f t="shared" si="125"/>
        <v>0</v>
      </c>
      <c r="AZ161" s="726">
        <f t="shared" si="125"/>
        <v>0</v>
      </c>
      <c r="BA161" s="726">
        <f t="shared" si="125"/>
        <v>0</v>
      </c>
      <c r="BB161" s="634">
        <f t="shared" si="96"/>
        <v>0</v>
      </c>
      <c r="BD161" s="1088">
        <f t="shared" si="97"/>
        <v>0</v>
      </c>
    </row>
    <row r="162" spans="1:57" s="502" customFormat="1" ht="12" thickBot="1" x14ac:dyDescent="0.25">
      <c r="A162" s="578">
        <v>56201</v>
      </c>
      <c r="B162" s="535" t="s">
        <v>340</v>
      </c>
      <c r="C162" s="719"/>
      <c r="D162" s="719"/>
      <c r="E162" s="719"/>
      <c r="F162" s="719"/>
      <c r="G162" s="719"/>
      <c r="H162" s="719"/>
      <c r="I162" s="719"/>
      <c r="J162" s="719"/>
      <c r="K162" s="719"/>
      <c r="L162" s="719"/>
      <c r="M162" s="719"/>
      <c r="N162" s="1040">
        <f t="shared" ref="N162:N177" si="126">SUM(C162:M162)</f>
        <v>0</v>
      </c>
      <c r="P162" s="578">
        <v>56201</v>
      </c>
      <c r="Q162" s="535" t="s">
        <v>340</v>
      </c>
      <c r="R162" s="719"/>
      <c r="S162" s="719"/>
      <c r="T162" s="719"/>
      <c r="U162" s="719"/>
      <c r="V162" s="719"/>
      <c r="W162" s="719"/>
      <c r="X162" s="719"/>
      <c r="Y162" s="732"/>
      <c r="Z162" s="719"/>
      <c r="AA162" s="719"/>
      <c r="AB162" s="719"/>
      <c r="AC162" s="719"/>
      <c r="AD162" s="719"/>
      <c r="AE162" s="732"/>
      <c r="AF162" s="732"/>
      <c r="AG162" s="719"/>
      <c r="AH162" s="719"/>
      <c r="AI162" s="719"/>
      <c r="AJ162" s="534">
        <f t="shared" si="87"/>
        <v>0</v>
      </c>
      <c r="AK162" s="538"/>
      <c r="AL162" s="578">
        <v>56201</v>
      </c>
      <c r="AM162" s="535" t="s">
        <v>340</v>
      </c>
      <c r="AN162" s="735"/>
      <c r="AO162" s="735"/>
      <c r="AP162" s="735"/>
      <c r="AQ162" s="809">
        <f t="shared" ref="AQ162" si="127">SUM(AN162:AP162)</f>
        <v>0</v>
      </c>
      <c r="AS162" s="578">
        <v>56201</v>
      </c>
      <c r="AT162" s="535" t="s">
        <v>340</v>
      </c>
      <c r="AU162" s="724"/>
      <c r="AV162" s="724"/>
      <c r="AW162" s="724"/>
      <c r="AX162" s="724"/>
      <c r="AY162" s="724"/>
      <c r="AZ162" s="724"/>
      <c r="BA162" s="729"/>
      <c r="BB162" s="634">
        <f t="shared" si="96"/>
        <v>0</v>
      </c>
      <c r="BD162" s="1088">
        <f t="shared" si="97"/>
        <v>0</v>
      </c>
    </row>
    <row r="163" spans="1:57" s="856" customFormat="1" ht="12" thickBot="1" x14ac:dyDescent="0.25">
      <c r="A163" s="577">
        <v>563</v>
      </c>
      <c r="B163" s="533" t="s">
        <v>345</v>
      </c>
      <c r="C163" s="719">
        <f>C164+C165+C166</f>
        <v>10400</v>
      </c>
      <c r="D163" s="719">
        <f>D164+D165+D166</f>
        <v>0</v>
      </c>
      <c r="E163" s="719">
        <f t="shared" ref="E163:I163" si="128">E164+E165+E166</f>
        <v>0</v>
      </c>
      <c r="F163" s="719">
        <f t="shared" si="128"/>
        <v>0</v>
      </c>
      <c r="G163" s="719">
        <f t="shared" si="128"/>
        <v>0</v>
      </c>
      <c r="H163" s="719">
        <f t="shared" si="128"/>
        <v>0</v>
      </c>
      <c r="I163" s="719">
        <f t="shared" si="128"/>
        <v>0</v>
      </c>
      <c r="J163" s="719"/>
      <c r="K163" s="719">
        <f t="shared" ref="K163:M163" si="129">K164+K165+K166</f>
        <v>0</v>
      </c>
      <c r="L163" s="719">
        <f t="shared" si="129"/>
        <v>0</v>
      </c>
      <c r="M163" s="719">
        <f t="shared" si="129"/>
        <v>0</v>
      </c>
      <c r="N163" s="1040">
        <f t="shared" si="126"/>
        <v>10400</v>
      </c>
      <c r="P163" s="577">
        <v>563</v>
      </c>
      <c r="Q163" s="533" t="s">
        <v>345</v>
      </c>
      <c r="R163" s="723">
        <f>R164+R165+R166</f>
        <v>0</v>
      </c>
      <c r="S163" s="723">
        <f t="shared" ref="S163:Y163" si="130">S164+S165+S166</f>
        <v>0</v>
      </c>
      <c r="T163" s="723">
        <f t="shared" si="130"/>
        <v>0</v>
      </c>
      <c r="U163" s="723">
        <f t="shared" si="130"/>
        <v>0</v>
      </c>
      <c r="V163" s="723">
        <f t="shared" si="130"/>
        <v>0</v>
      </c>
      <c r="W163" s="723">
        <f t="shared" si="130"/>
        <v>0</v>
      </c>
      <c r="X163" s="723">
        <f t="shared" si="130"/>
        <v>0</v>
      </c>
      <c r="Y163" s="723">
        <f t="shared" si="130"/>
        <v>0</v>
      </c>
      <c r="Z163" s="723">
        <f>Z164+Z165+Z166</f>
        <v>2500</v>
      </c>
      <c r="AA163" s="723">
        <f t="shared" ref="AA163:AH163" si="131">AA164+AA165+AA166</f>
        <v>0</v>
      </c>
      <c r="AB163" s="723">
        <f t="shared" si="131"/>
        <v>0</v>
      </c>
      <c r="AC163" s="723">
        <f t="shared" si="131"/>
        <v>0</v>
      </c>
      <c r="AD163" s="723">
        <f t="shared" si="131"/>
        <v>0</v>
      </c>
      <c r="AE163" s="723">
        <f t="shared" si="131"/>
        <v>0</v>
      </c>
      <c r="AF163" s="723">
        <f t="shared" si="131"/>
        <v>0</v>
      </c>
      <c r="AG163" s="723">
        <f t="shared" si="131"/>
        <v>0</v>
      </c>
      <c r="AH163" s="723">
        <f t="shared" si="131"/>
        <v>0</v>
      </c>
      <c r="AI163" s="723"/>
      <c r="AJ163" s="534">
        <f t="shared" si="87"/>
        <v>2500</v>
      </c>
      <c r="AK163" s="539"/>
      <c r="AL163" s="577">
        <v>563</v>
      </c>
      <c r="AM163" s="533" t="s">
        <v>345</v>
      </c>
      <c r="AN163" s="737">
        <f>AN164+AN165+AN166</f>
        <v>0</v>
      </c>
      <c r="AO163" s="737">
        <f>AO164+AO165+AO166</f>
        <v>0</v>
      </c>
      <c r="AP163" s="737">
        <f>AP164+AP165+AP166</f>
        <v>0</v>
      </c>
      <c r="AQ163" s="809">
        <f>AQ164+AQ165+AQ166</f>
        <v>0</v>
      </c>
      <c r="AS163" s="577">
        <v>563</v>
      </c>
      <c r="AT163" s="533" t="s">
        <v>345</v>
      </c>
      <c r="AU163" s="726">
        <f t="shared" ref="AU163:BA163" si="132">AU164+AU165+AU166</f>
        <v>0</v>
      </c>
      <c r="AV163" s="726">
        <f t="shared" si="132"/>
        <v>0</v>
      </c>
      <c r="AW163" s="726">
        <f t="shared" si="132"/>
        <v>0</v>
      </c>
      <c r="AX163" s="726">
        <f t="shared" si="132"/>
        <v>0</v>
      </c>
      <c r="AY163" s="726">
        <f t="shared" si="132"/>
        <v>0</v>
      </c>
      <c r="AZ163" s="726">
        <f t="shared" si="132"/>
        <v>0</v>
      </c>
      <c r="BA163" s="726">
        <f t="shared" si="132"/>
        <v>0</v>
      </c>
      <c r="BB163" s="634">
        <f t="shared" si="96"/>
        <v>0</v>
      </c>
      <c r="BD163" s="1088">
        <f t="shared" si="97"/>
        <v>12900</v>
      </c>
    </row>
    <row r="164" spans="1:57" s="502" customFormat="1" ht="12" thickBot="1" x14ac:dyDescent="0.25">
      <c r="A164" s="578">
        <v>56303</v>
      </c>
      <c r="B164" s="535" t="s">
        <v>341</v>
      </c>
      <c r="C164" s="719">
        <f>8400+2000</f>
        <v>10400</v>
      </c>
      <c r="D164" s="719"/>
      <c r="E164" s="719"/>
      <c r="F164" s="719"/>
      <c r="G164" s="719"/>
      <c r="H164" s="719"/>
      <c r="I164" s="719"/>
      <c r="J164" s="719"/>
      <c r="K164" s="719"/>
      <c r="L164" s="719"/>
      <c r="M164" s="719"/>
      <c r="N164" s="1040">
        <f t="shared" si="126"/>
        <v>10400</v>
      </c>
      <c r="P164" s="578">
        <v>56303</v>
      </c>
      <c r="Q164" s="535" t="s">
        <v>341</v>
      </c>
      <c r="R164" s="719"/>
      <c r="S164" s="719"/>
      <c r="T164" s="719"/>
      <c r="U164" s="719"/>
      <c r="V164" s="719"/>
      <c r="W164" s="719"/>
      <c r="X164" s="719"/>
      <c r="Y164" s="732"/>
      <c r="Z164" s="719"/>
      <c r="AA164" s="719"/>
      <c r="AB164" s="719"/>
      <c r="AC164" s="719"/>
      <c r="AD164" s="719"/>
      <c r="AE164" s="732"/>
      <c r="AF164" s="732"/>
      <c r="AG164" s="719"/>
      <c r="AH164" s="719"/>
      <c r="AI164" s="719"/>
      <c r="AJ164" s="534">
        <f t="shared" ref="AJ164:AJ177" si="133">SUM(R164:AI164)</f>
        <v>0</v>
      </c>
      <c r="AK164" s="538"/>
      <c r="AL164" s="578">
        <v>56303</v>
      </c>
      <c r="AM164" s="535" t="s">
        <v>341</v>
      </c>
      <c r="AN164" s="735"/>
      <c r="AO164" s="735"/>
      <c r="AP164" s="735"/>
      <c r="AQ164" s="809">
        <f t="shared" ref="AQ164:AQ166" si="134">SUM(AN164:AP164)</f>
        <v>0</v>
      </c>
      <c r="AS164" s="578">
        <v>56303</v>
      </c>
      <c r="AT164" s="535" t="s">
        <v>341</v>
      </c>
      <c r="AU164" s="724"/>
      <c r="AV164" s="724"/>
      <c r="AW164" s="724"/>
      <c r="AX164" s="724"/>
      <c r="AY164" s="724"/>
      <c r="AZ164" s="724"/>
      <c r="BA164" s="729"/>
      <c r="BB164" s="634">
        <f t="shared" si="96"/>
        <v>0</v>
      </c>
      <c r="BD164" s="1088">
        <f t="shared" si="97"/>
        <v>10400</v>
      </c>
    </row>
    <row r="165" spans="1:57" s="502" customFormat="1" ht="12" thickBot="1" x14ac:dyDescent="0.25">
      <c r="A165" s="578">
        <v>56304</v>
      </c>
      <c r="B165" s="535" t="s">
        <v>342</v>
      </c>
      <c r="C165" s="719"/>
      <c r="D165" s="719"/>
      <c r="E165" s="719"/>
      <c r="F165" s="719"/>
      <c r="G165" s="719"/>
      <c r="H165" s="719"/>
      <c r="I165" s="719"/>
      <c r="J165" s="719"/>
      <c r="K165" s="719"/>
      <c r="L165" s="719"/>
      <c r="M165" s="719"/>
      <c r="N165" s="1040">
        <f t="shared" si="126"/>
        <v>0</v>
      </c>
      <c r="P165" s="578">
        <v>56304</v>
      </c>
      <c r="Q165" s="535" t="s">
        <v>342</v>
      </c>
      <c r="R165" s="719"/>
      <c r="S165" s="719"/>
      <c r="T165" s="719"/>
      <c r="U165" s="719"/>
      <c r="V165" s="719"/>
      <c r="W165" s="719"/>
      <c r="X165" s="719"/>
      <c r="Y165" s="732"/>
      <c r="Z165" s="719">
        <v>2500</v>
      </c>
      <c r="AA165" s="719"/>
      <c r="AB165" s="719"/>
      <c r="AC165" s="719"/>
      <c r="AD165" s="719"/>
      <c r="AE165" s="732"/>
      <c r="AF165" s="732"/>
      <c r="AG165" s="719"/>
      <c r="AH165" s="719"/>
      <c r="AI165" s="719"/>
      <c r="AJ165" s="534">
        <f t="shared" si="133"/>
        <v>2500</v>
      </c>
      <c r="AK165" s="538"/>
      <c r="AL165" s="578">
        <v>56304</v>
      </c>
      <c r="AM165" s="535" t="s">
        <v>342</v>
      </c>
      <c r="AN165" s="735"/>
      <c r="AO165" s="735"/>
      <c r="AP165" s="735"/>
      <c r="AQ165" s="809">
        <f t="shared" si="134"/>
        <v>0</v>
      </c>
      <c r="AS165" s="578">
        <v>56304</v>
      </c>
      <c r="AT165" s="535" t="s">
        <v>342</v>
      </c>
      <c r="AU165" s="724"/>
      <c r="AV165" s="724"/>
      <c r="AW165" s="724"/>
      <c r="AX165" s="724"/>
      <c r="AY165" s="724"/>
      <c r="AZ165" s="724"/>
      <c r="BA165" s="729"/>
      <c r="BB165" s="634">
        <f t="shared" si="96"/>
        <v>0</v>
      </c>
      <c r="BD165" s="1088">
        <f t="shared" si="97"/>
        <v>2500</v>
      </c>
    </row>
    <row r="166" spans="1:57" s="502" customFormat="1" ht="12" thickBot="1" x14ac:dyDescent="0.25">
      <c r="A166" s="579">
        <v>56305</v>
      </c>
      <c r="B166" s="540" t="s">
        <v>343</v>
      </c>
      <c r="C166" s="721"/>
      <c r="D166" s="721"/>
      <c r="E166" s="721"/>
      <c r="F166" s="721"/>
      <c r="G166" s="721"/>
      <c r="H166" s="721"/>
      <c r="I166" s="721"/>
      <c r="J166" s="721"/>
      <c r="K166" s="721"/>
      <c r="L166" s="721"/>
      <c r="M166" s="721"/>
      <c r="N166" s="1040">
        <f t="shared" si="126"/>
        <v>0</v>
      </c>
      <c r="P166" s="579">
        <v>56305</v>
      </c>
      <c r="Q166" s="540" t="s">
        <v>343</v>
      </c>
      <c r="R166" s="721"/>
      <c r="S166" s="721"/>
      <c r="T166" s="721"/>
      <c r="U166" s="721"/>
      <c r="V166" s="721"/>
      <c r="W166" s="721"/>
      <c r="X166" s="721"/>
      <c r="Y166" s="734"/>
      <c r="Z166" s="721"/>
      <c r="AA166" s="721"/>
      <c r="AB166" s="721"/>
      <c r="AC166" s="721"/>
      <c r="AD166" s="721"/>
      <c r="AE166" s="734"/>
      <c r="AF166" s="734"/>
      <c r="AG166" s="721"/>
      <c r="AH166" s="721"/>
      <c r="AI166" s="721"/>
      <c r="AJ166" s="534">
        <f t="shared" si="133"/>
        <v>0</v>
      </c>
      <c r="AK166" s="538"/>
      <c r="AL166" s="579">
        <v>56305</v>
      </c>
      <c r="AM166" s="540" t="s">
        <v>343</v>
      </c>
      <c r="AN166" s="738"/>
      <c r="AO166" s="738"/>
      <c r="AP166" s="738"/>
      <c r="AQ166" s="809">
        <f t="shared" si="134"/>
        <v>0</v>
      </c>
      <c r="AS166" s="579">
        <v>56305</v>
      </c>
      <c r="AT166" s="540" t="s">
        <v>343</v>
      </c>
      <c r="AU166" s="727"/>
      <c r="AV166" s="727"/>
      <c r="AW166" s="727"/>
      <c r="AX166" s="727"/>
      <c r="AY166" s="727"/>
      <c r="AZ166" s="727"/>
      <c r="BA166" s="731"/>
      <c r="BB166" s="634">
        <f t="shared" ref="BB166:BB173" si="135">SUM(AU166:BA166)</f>
        <v>0</v>
      </c>
      <c r="BD166" s="1088">
        <f t="shared" si="97"/>
        <v>0</v>
      </c>
    </row>
    <row r="167" spans="1:57" s="125" customFormat="1" ht="12" thickBot="1" x14ac:dyDescent="0.25">
      <c r="A167" s="577">
        <v>611</v>
      </c>
      <c r="B167" s="121" t="s">
        <v>403</v>
      </c>
      <c r="C167" s="723">
        <f t="shared" ref="C167:L167" si="136">SUM(C168:C172)</f>
        <v>0</v>
      </c>
      <c r="D167" s="719">
        <f t="shared" si="136"/>
        <v>3000</v>
      </c>
      <c r="E167" s="719">
        <f t="shared" si="136"/>
        <v>0</v>
      </c>
      <c r="F167" s="719">
        <f t="shared" si="136"/>
        <v>800</v>
      </c>
      <c r="G167" s="719">
        <f t="shared" si="136"/>
        <v>0</v>
      </c>
      <c r="H167" s="719">
        <f t="shared" si="136"/>
        <v>0</v>
      </c>
      <c r="I167" s="719">
        <f t="shared" si="136"/>
        <v>0</v>
      </c>
      <c r="J167" s="719">
        <f t="shared" si="136"/>
        <v>0</v>
      </c>
      <c r="K167" s="719">
        <f t="shared" si="136"/>
        <v>0</v>
      </c>
      <c r="L167" s="719">
        <f t="shared" si="136"/>
        <v>200</v>
      </c>
      <c r="M167" s="719">
        <f>SUM(M168:M172)</f>
        <v>30625</v>
      </c>
      <c r="N167" s="1040">
        <f t="shared" si="126"/>
        <v>34625</v>
      </c>
      <c r="P167" s="267">
        <v>611</v>
      </c>
      <c r="Q167" s="121" t="s">
        <v>403</v>
      </c>
      <c r="R167" s="719">
        <f t="shared" ref="R167:Y167" si="137">SUM(R168:R172)</f>
        <v>1000</v>
      </c>
      <c r="S167" s="719">
        <f t="shared" si="137"/>
        <v>0</v>
      </c>
      <c r="T167" s="719">
        <f t="shared" si="137"/>
        <v>0</v>
      </c>
      <c r="U167" s="719">
        <f t="shared" si="137"/>
        <v>3500</v>
      </c>
      <c r="V167" s="719">
        <f t="shared" si="137"/>
        <v>150</v>
      </c>
      <c r="W167" s="719">
        <f t="shared" si="137"/>
        <v>2100</v>
      </c>
      <c r="X167" s="719">
        <f t="shared" si="137"/>
        <v>1000</v>
      </c>
      <c r="Y167" s="719">
        <f t="shared" si="137"/>
        <v>1050</v>
      </c>
      <c r="Z167" s="719">
        <f>SUM(Z168:Z172)</f>
        <v>2150</v>
      </c>
      <c r="AA167" s="719">
        <f>SUM(AA168:AA172)</f>
        <v>0</v>
      </c>
      <c r="AB167" s="719">
        <f t="shared" ref="AB167:AD167" si="138">SUM(AB168:AB172)</f>
        <v>0</v>
      </c>
      <c r="AC167" s="719">
        <f t="shared" si="138"/>
        <v>5000</v>
      </c>
      <c r="AD167" s="719">
        <f t="shared" si="138"/>
        <v>0</v>
      </c>
      <c r="AE167" s="719">
        <f>SUM(AE168:AE172)</f>
        <v>2000</v>
      </c>
      <c r="AF167" s="719">
        <f t="shared" ref="AF167" si="139">SUM(AF168:AF172)</f>
        <v>0</v>
      </c>
      <c r="AG167" s="719"/>
      <c r="AH167" s="719">
        <f t="shared" ref="AH167" si="140">SUM(AH168:AH172)</f>
        <v>0</v>
      </c>
      <c r="AI167" s="719"/>
      <c r="AJ167" s="534">
        <f t="shared" si="133"/>
        <v>17950</v>
      </c>
      <c r="AK167" s="270"/>
      <c r="AL167" s="267">
        <v>611</v>
      </c>
      <c r="AM167" s="121" t="s">
        <v>403</v>
      </c>
      <c r="AN167" s="737">
        <f>SUM(AN168:AN172)</f>
        <v>0</v>
      </c>
      <c r="AO167" s="737">
        <f>SUM(AO168:AO172)</f>
        <v>0</v>
      </c>
      <c r="AP167" s="737">
        <f>SUM(AP168:AP172)</f>
        <v>6985</v>
      </c>
      <c r="AQ167" s="809">
        <f>SUM(AQ168:AQ172)</f>
        <v>6985</v>
      </c>
      <c r="AS167" s="267">
        <v>611</v>
      </c>
      <c r="AT167" s="121" t="s">
        <v>403</v>
      </c>
      <c r="AU167" s="726">
        <f t="shared" ref="AU167:BA167" si="141">SUM(AU168:AU172)</f>
        <v>0</v>
      </c>
      <c r="AV167" s="726">
        <f t="shared" si="141"/>
        <v>0</v>
      </c>
      <c r="AW167" s="726">
        <f t="shared" si="141"/>
        <v>0</v>
      </c>
      <c r="AX167" s="726">
        <f t="shared" si="141"/>
        <v>1932</v>
      </c>
      <c r="AY167" s="726">
        <f t="shared" si="141"/>
        <v>490.34</v>
      </c>
      <c r="AZ167" s="726">
        <f t="shared" si="141"/>
        <v>0</v>
      </c>
      <c r="BA167" s="726">
        <f t="shared" si="141"/>
        <v>0</v>
      </c>
      <c r="BB167" s="634">
        <f t="shared" si="135"/>
        <v>2422.34</v>
      </c>
      <c r="BD167" s="1088">
        <f t="shared" si="97"/>
        <v>61982.34</v>
      </c>
      <c r="BE167" s="573"/>
    </row>
    <row r="168" spans="1:57" s="52" customFormat="1" ht="12" thickBot="1" x14ac:dyDescent="0.25">
      <c r="A168" s="578">
        <v>61101</v>
      </c>
      <c r="B168" s="116" t="s">
        <v>605</v>
      </c>
      <c r="C168" s="719"/>
      <c r="D168" s="719">
        <f>1000+1500</f>
        <v>2500</v>
      </c>
      <c r="E168" s="719"/>
      <c r="F168" s="719"/>
      <c r="G168" s="719"/>
      <c r="H168" s="719"/>
      <c r="I168" s="719"/>
      <c r="J168" s="719"/>
      <c r="K168" s="719"/>
      <c r="L168" s="719"/>
      <c r="M168" s="719"/>
      <c r="N168" s="1040">
        <f t="shared" si="126"/>
        <v>2500</v>
      </c>
      <c r="P168" s="115">
        <v>61101</v>
      </c>
      <c r="Q168" s="116" t="s">
        <v>605</v>
      </c>
      <c r="R168" s="719"/>
      <c r="S168" s="719"/>
      <c r="T168" s="719"/>
      <c r="U168" s="719">
        <v>200</v>
      </c>
      <c r="V168" s="719">
        <v>150</v>
      </c>
      <c r="W168" s="719">
        <v>300</v>
      </c>
      <c r="X168" s="719"/>
      <c r="Y168" s="732">
        <v>250</v>
      </c>
      <c r="Z168" s="719"/>
      <c r="AA168" s="719"/>
      <c r="AB168" s="719"/>
      <c r="AC168" s="719"/>
      <c r="AD168" s="719"/>
      <c r="AE168" s="732">
        <v>2000</v>
      </c>
      <c r="AF168" s="732"/>
      <c r="AG168" s="719"/>
      <c r="AH168" s="719"/>
      <c r="AI168" s="719"/>
      <c r="AJ168" s="534">
        <f t="shared" si="133"/>
        <v>2900</v>
      </c>
      <c r="AK168" s="203"/>
      <c r="AL168" s="115">
        <v>61101</v>
      </c>
      <c r="AM168" s="116" t="s">
        <v>605</v>
      </c>
      <c r="AN168" s="735"/>
      <c r="AO168" s="735"/>
      <c r="AP168" s="735">
        <v>1000</v>
      </c>
      <c r="AQ168" s="809">
        <f>SUM(AN168:AP168)</f>
        <v>1000</v>
      </c>
      <c r="AS168" s="115">
        <v>61101</v>
      </c>
      <c r="AT168" s="116" t="s">
        <v>605</v>
      </c>
      <c r="AU168" s="724"/>
      <c r="AV168" s="724"/>
      <c r="AW168" s="724"/>
      <c r="AX168" s="724"/>
      <c r="AY168" s="724">
        <v>490.34</v>
      </c>
      <c r="AZ168" s="724"/>
      <c r="BA168" s="729"/>
      <c r="BB168" s="634">
        <f t="shared" si="135"/>
        <v>490.34</v>
      </c>
      <c r="BD168" s="1088">
        <f t="shared" si="97"/>
        <v>6890.34</v>
      </c>
      <c r="BE168" s="478"/>
    </row>
    <row r="169" spans="1:57" s="52" customFormat="1" ht="12" thickBot="1" x14ac:dyDescent="0.25">
      <c r="A169" s="578">
        <v>61102</v>
      </c>
      <c r="B169" s="116" t="s">
        <v>606</v>
      </c>
      <c r="C169" s="719"/>
      <c r="D169" s="719"/>
      <c r="E169" s="719"/>
      <c r="F169" s="719"/>
      <c r="G169" s="719"/>
      <c r="H169" s="719"/>
      <c r="I169" s="719"/>
      <c r="J169" s="719"/>
      <c r="K169" s="719"/>
      <c r="L169" s="719"/>
      <c r="M169" s="719"/>
      <c r="N169" s="1040">
        <f t="shared" si="126"/>
        <v>0</v>
      </c>
      <c r="P169" s="115">
        <v>61102</v>
      </c>
      <c r="Q169" s="116" t="s">
        <v>606</v>
      </c>
      <c r="R169" s="719"/>
      <c r="S169" s="719"/>
      <c r="T169" s="719"/>
      <c r="U169" s="719"/>
      <c r="V169" s="719"/>
      <c r="W169" s="719"/>
      <c r="X169" s="719"/>
      <c r="Y169" s="732"/>
      <c r="Z169" s="719"/>
      <c r="AA169" s="719"/>
      <c r="AB169" s="719"/>
      <c r="AC169" s="719"/>
      <c r="AD169" s="719"/>
      <c r="AE169" s="732"/>
      <c r="AF169" s="732"/>
      <c r="AG169" s="719"/>
      <c r="AH169" s="719"/>
      <c r="AI169" s="719"/>
      <c r="AJ169" s="534">
        <f t="shared" si="133"/>
        <v>0</v>
      </c>
      <c r="AK169" s="203"/>
      <c r="AL169" s="115">
        <v>61102</v>
      </c>
      <c r="AM169" s="116" t="s">
        <v>606</v>
      </c>
      <c r="AN169" s="735"/>
      <c r="AO169" s="735"/>
      <c r="AP169" s="735"/>
      <c r="AQ169" s="809">
        <f>SUM(AN169:AP169)</f>
        <v>0</v>
      </c>
      <c r="AS169" s="115">
        <v>61102</v>
      </c>
      <c r="AT169" s="116" t="s">
        <v>606</v>
      </c>
      <c r="AU169" s="724"/>
      <c r="AV169" s="724"/>
      <c r="AW169" s="724"/>
      <c r="AX169" s="724"/>
      <c r="AY169" s="724"/>
      <c r="AZ169" s="724"/>
      <c r="BA169" s="729"/>
      <c r="BB169" s="634">
        <f t="shared" si="135"/>
        <v>0</v>
      </c>
      <c r="BD169" s="1088">
        <f t="shared" si="97"/>
        <v>0</v>
      </c>
      <c r="BE169" s="478"/>
    </row>
    <row r="170" spans="1:57" s="52" customFormat="1" ht="12" thickBot="1" x14ac:dyDescent="0.25">
      <c r="A170" s="579">
        <v>61105</v>
      </c>
      <c r="B170" s="148" t="s">
        <v>786</v>
      </c>
      <c r="C170" s="721"/>
      <c r="D170" s="721"/>
      <c r="E170" s="721"/>
      <c r="F170" s="721"/>
      <c r="G170" s="721"/>
      <c r="H170" s="721"/>
      <c r="I170" s="721"/>
      <c r="J170" s="721"/>
      <c r="K170" s="721"/>
      <c r="L170" s="721"/>
      <c r="M170" s="721"/>
      <c r="N170" s="1040">
        <f t="shared" si="126"/>
        <v>0</v>
      </c>
      <c r="P170" s="147">
        <v>61105</v>
      </c>
      <c r="Q170" s="148" t="s">
        <v>786</v>
      </c>
      <c r="R170" s="721"/>
      <c r="S170" s="721"/>
      <c r="T170" s="721"/>
      <c r="U170" s="721"/>
      <c r="V170" s="721"/>
      <c r="W170" s="721"/>
      <c r="X170" s="721"/>
      <c r="Y170" s="734"/>
      <c r="Z170" s="721"/>
      <c r="AA170" s="721"/>
      <c r="AB170" s="721"/>
      <c r="AC170" s="721"/>
      <c r="AD170" s="721"/>
      <c r="AE170" s="734"/>
      <c r="AF170" s="734"/>
      <c r="AG170" s="721"/>
      <c r="AH170" s="721"/>
      <c r="AI170" s="721"/>
      <c r="AJ170" s="534">
        <f t="shared" si="133"/>
        <v>0</v>
      </c>
      <c r="AK170" s="203"/>
      <c r="AL170" s="147">
        <v>61105</v>
      </c>
      <c r="AM170" s="148" t="s">
        <v>785</v>
      </c>
      <c r="AN170" s="738"/>
      <c r="AO170" s="738"/>
      <c r="AP170" s="738"/>
      <c r="AQ170" s="809"/>
      <c r="AS170" s="147">
        <v>61105</v>
      </c>
      <c r="AT170" s="148" t="s">
        <v>786</v>
      </c>
      <c r="AU170" s="727"/>
      <c r="AV170" s="727"/>
      <c r="AW170" s="727"/>
      <c r="AX170" s="727"/>
      <c r="AY170" s="727"/>
      <c r="AZ170" s="727"/>
      <c r="BA170" s="731"/>
      <c r="BB170" s="634">
        <f t="shared" si="135"/>
        <v>0</v>
      </c>
      <c r="BD170" s="1088">
        <f t="shared" si="97"/>
        <v>0</v>
      </c>
      <c r="BE170" s="478"/>
    </row>
    <row r="171" spans="1:57" s="52" customFormat="1" ht="12" thickBot="1" x14ac:dyDescent="0.25">
      <c r="A171" s="579">
        <v>61104</v>
      </c>
      <c r="B171" s="148" t="s">
        <v>607</v>
      </c>
      <c r="C171" s="721"/>
      <c r="D171" s="721"/>
      <c r="E171" s="721"/>
      <c r="F171" s="721">
        <v>800</v>
      </c>
      <c r="G171" s="721"/>
      <c r="H171" s="721"/>
      <c r="I171" s="721"/>
      <c r="J171" s="721"/>
      <c r="K171" s="721"/>
      <c r="L171" s="721">
        <v>200</v>
      </c>
      <c r="M171" s="721">
        <v>30000</v>
      </c>
      <c r="N171" s="1040">
        <f t="shared" si="126"/>
        <v>31000</v>
      </c>
      <c r="P171" s="147">
        <v>61104</v>
      </c>
      <c r="Q171" s="148" t="s">
        <v>607</v>
      </c>
      <c r="R171" s="721">
        <v>1000</v>
      </c>
      <c r="S171" s="721"/>
      <c r="T171" s="721"/>
      <c r="U171" s="721">
        <v>3300</v>
      </c>
      <c r="V171" s="721"/>
      <c r="W171" s="721">
        <v>1800</v>
      </c>
      <c r="X171" s="721">
        <v>1000</v>
      </c>
      <c r="Y171" s="734">
        <v>800</v>
      </c>
      <c r="Z171" s="721">
        <v>1350</v>
      </c>
      <c r="AA171" s="721"/>
      <c r="AB171" s="721"/>
      <c r="AC171" s="721"/>
      <c r="AD171" s="721"/>
      <c r="AE171" s="734"/>
      <c r="AF171" s="734"/>
      <c r="AG171" s="721"/>
      <c r="AH171" s="721"/>
      <c r="AI171" s="721"/>
      <c r="AJ171" s="534">
        <f t="shared" si="133"/>
        <v>9250</v>
      </c>
      <c r="AK171" s="203"/>
      <c r="AL171" s="147">
        <v>61104</v>
      </c>
      <c r="AM171" s="148" t="s">
        <v>607</v>
      </c>
      <c r="AN171" s="738"/>
      <c r="AO171" s="738"/>
      <c r="AP171" s="738">
        <v>4000</v>
      </c>
      <c r="AQ171" s="809">
        <f>SUM(AN171:AP171)</f>
        <v>4000</v>
      </c>
      <c r="AS171" s="147">
        <v>61104</v>
      </c>
      <c r="AT171" s="148" t="s">
        <v>607</v>
      </c>
      <c r="AU171" s="727"/>
      <c r="AV171" s="727"/>
      <c r="AW171" s="727"/>
      <c r="AX171" s="727">
        <v>1932</v>
      </c>
      <c r="AY171" s="727"/>
      <c r="AZ171" s="727"/>
      <c r="BA171" s="731"/>
      <c r="BB171" s="634">
        <f t="shared" si="135"/>
        <v>1932</v>
      </c>
      <c r="BD171" s="1088">
        <f t="shared" si="97"/>
        <v>46182</v>
      </c>
      <c r="BE171" s="502"/>
    </row>
    <row r="172" spans="1:57" s="52" customFormat="1" ht="12" thickBot="1" x14ac:dyDescent="0.25">
      <c r="A172" s="739">
        <v>61199</v>
      </c>
      <c r="B172" s="116" t="s">
        <v>608</v>
      </c>
      <c r="C172" s="719"/>
      <c r="D172" s="719">
        <v>500</v>
      </c>
      <c r="E172" s="719"/>
      <c r="F172" s="719"/>
      <c r="G172" s="719"/>
      <c r="H172" s="719"/>
      <c r="I172" s="719"/>
      <c r="J172" s="719"/>
      <c r="K172" s="719"/>
      <c r="L172" s="721"/>
      <c r="M172" s="721">
        <v>625</v>
      </c>
      <c r="N172" s="1040">
        <f t="shared" si="126"/>
        <v>1125</v>
      </c>
      <c r="P172" s="117">
        <v>61199</v>
      </c>
      <c r="Q172" s="116" t="s">
        <v>608</v>
      </c>
      <c r="R172" s="719"/>
      <c r="S172" s="719"/>
      <c r="T172" s="719"/>
      <c r="U172" s="719"/>
      <c r="V172" s="719"/>
      <c r="W172" s="719"/>
      <c r="X172" s="719"/>
      <c r="Y172" s="719"/>
      <c r="Z172" s="719">
        <v>800</v>
      </c>
      <c r="AA172" s="719"/>
      <c r="AB172" s="719"/>
      <c r="AC172" s="719">
        <v>5000</v>
      </c>
      <c r="AD172" s="719"/>
      <c r="AE172" s="719"/>
      <c r="AF172" s="719"/>
      <c r="AG172" s="719"/>
      <c r="AH172" s="719"/>
      <c r="AI172" s="719"/>
      <c r="AJ172" s="534">
        <f t="shared" si="133"/>
        <v>5800</v>
      </c>
      <c r="AK172" s="203"/>
      <c r="AL172" s="117">
        <v>61199</v>
      </c>
      <c r="AM172" s="116" t="s">
        <v>608</v>
      </c>
      <c r="AN172" s="735"/>
      <c r="AO172" s="735"/>
      <c r="AP172" s="735">
        <v>1985</v>
      </c>
      <c r="AQ172" s="809">
        <f t="shared" ref="AQ172:AQ173" si="142">SUM(AN172:AP172)</f>
        <v>1985</v>
      </c>
      <c r="AS172" s="117">
        <v>61199</v>
      </c>
      <c r="AT172" s="116" t="s">
        <v>608</v>
      </c>
      <c r="AU172" s="724"/>
      <c r="AV172" s="724"/>
      <c r="AW172" s="724"/>
      <c r="AX172" s="724"/>
      <c r="AY172" s="724"/>
      <c r="AZ172" s="724"/>
      <c r="BA172" s="724"/>
      <c r="BB172" s="634">
        <f t="shared" si="135"/>
        <v>0</v>
      </c>
      <c r="BD172" s="1088">
        <f t="shared" si="97"/>
        <v>8910</v>
      </c>
      <c r="BE172" s="502"/>
    </row>
    <row r="173" spans="1:57" s="52" customFormat="1" ht="12" thickBot="1" x14ac:dyDescent="0.25">
      <c r="A173" s="739">
        <v>61403</v>
      </c>
      <c r="B173" s="116" t="s">
        <v>778</v>
      </c>
      <c r="C173" s="719"/>
      <c r="D173" s="719"/>
      <c r="E173" s="719"/>
      <c r="F173" s="719"/>
      <c r="G173" s="719"/>
      <c r="H173" s="719"/>
      <c r="I173" s="719"/>
      <c r="J173" s="719"/>
      <c r="K173" s="719"/>
      <c r="L173" s="721"/>
      <c r="M173" s="721">
        <v>25000</v>
      </c>
      <c r="N173" s="1040">
        <f t="shared" si="126"/>
        <v>25000</v>
      </c>
      <c r="P173" s="117">
        <v>61403</v>
      </c>
      <c r="Q173" s="116" t="s">
        <v>778</v>
      </c>
      <c r="R173" s="719"/>
      <c r="S173" s="719"/>
      <c r="T173" s="719"/>
      <c r="U173" s="719"/>
      <c r="V173" s="719"/>
      <c r="W173" s="719"/>
      <c r="X173" s="719"/>
      <c r="Y173" s="719"/>
      <c r="Z173" s="719"/>
      <c r="AA173" s="719"/>
      <c r="AB173" s="719"/>
      <c r="AC173" s="719"/>
      <c r="AD173" s="719"/>
      <c r="AE173" s="719"/>
      <c r="AF173" s="719"/>
      <c r="AG173" s="719"/>
      <c r="AH173" s="719"/>
      <c r="AI173" s="719"/>
      <c r="AJ173" s="534">
        <f t="shared" si="133"/>
        <v>0</v>
      </c>
      <c r="AK173" s="203"/>
      <c r="AL173" s="117">
        <v>61403</v>
      </c>
      <c r="AM173" s="116" t="s">
        <v>764</v>
      </c>
      <c r="AN173" s="735"/>
      <c r="AO173" s="735"/>
      <c r="AP173" s="735"/>
      <c r="AQ173" s="809">
        <f t="shared" si="142"/>
        <v>0</v>
      </c>
      <c r="AS173" s="117">
        <v>61403</v>
      </c>
      <c r="AT173" s="116" t="s">
        <v>778</v>
      </c>
      <c r="AU173" s="724"/>
      <c r="AV173" s="724"/>
      <c r="AW173" s="724"/>
      <c r="AX173" s="724"/>
      <c r="AY173" s="724"/>
      <c r="AZ173" s="724"/>
      <c r="BA173" s="724"/>
      <c r="BB173" s="634">
        <f t="shared" si="135"/>
        <v>0</v>
      </c>
      <c r="BD173" s="1088">
        <f t="shared" si="97"/>
        <v>25000</v>
      </c>
      <c r="BE173" s="502"/>
    </row>
    <row r="174" spans="1:57" s="52" customFormat="1" ht="30" customHeight="1" thickBot="1" x14ac:dyDescent="0.25">
      <c r="A174" s="967">
        <v>721</v>
      </c>
      <c r="B174" s="968" t="s">
        <v>801</v>
      </c>
      <c r="C174" s="723">
        <f>SUM(C175)</f>
        <v>6196</v>
      </c>
      <c r="D174" s="723"/>
      <c r="E174" s="723"/>
      <c r="F174" s="723"/>
      <c r="G174" s="723"/>
      <c r="H174" s="723"/>
      <c r="I174" s="723"/>
      <c r="J174" s="723"/>
      <c r="K174" s="723"/>
      <c r="L174" s="721"/>
      <c r="M174" s="721"/>
      <c r="N174" s="1040">
        <f t="shared" si="126"/>
        <v>6196</v>
      </c>
      <c r="P174" s="117">
        <v>721</v>
      </c>
      <c r="Q174" s="974" t="s">
        <v>801</v>
      </c>
      <c r="R174" s="719"/>
      <c r="S174" s="719"/>
      <c r="T174" s="719"/>
      <c r="U174" s="719"/>
      <c r="V174" s="719"/>
      <c r="W174" s="719"/>
      <c r="X174" s="719"/>
      <c r="Y174" s="719"/>
      <c r="Z174" s="719"/>
      <c r="AA174" s="719"/>
      <c r="AB174" s="719"/>
      <c r="AC174" s="719"/>
      <c r="AD174" s="719"/>
      <c r="AE174" s="719"/>
      <c r="AF174" s="719"/>
      <c r="AG174" s="719"/>
      <c r="AH174" s="719"/>
      <c r="AI174" s="719"/>
      <c r="AJ174" s="534">
        <f t="shared" si="133"/>
        <v>0</v>
      </c>
      <c r="AK174" s="203"/>
      <c r="AL174" s="117">
        <v>721</v>
      </c>
      <c r="AM174" s="959"/>
      <c r="AN174" s="735"/>
      <c r="AO174" s="735"/>
      <c r="AP174" s="735"/>
      <c r="AQ174" s="809"/>
      <c r="AS174" s="972">
        <v>721</v>
      </c>
      <c r="AT174" s="959" t="s">
        <v>801</v>
      </c>
      <c r="AU174" s="724"/>
      <c r="AV174" s="724"/>
      <c r="AW174" s="724"/>
      <c r="AX174" s="724"/>
      <c r="AY174" s="724"/>
      <c r="AZ174" s="724"/>
      <c r="BA174" s="724"/>
      <c r="BB174" s="634"/>
      <c r="BD174" s="1088">
        <f t="shared" si="97"/>
        <v>6196</v>
      </c>
      <c r="BE174" s="502"/>
    </row>
    <row r="175" spans="1:57" s="52" customFormat="1" ht="12" thickBot="1" x14ac:dyDescent="0.25">
      <c r="A175" s="739">
        <v>72101</v>
      </c>
      <c r="B175" s="969" t="s">
        <v>801</v>
      </c>
      <c r="C175" s="719">
        <v>6196</v>
      </c>
      <c r="D175" s="719"/>
      <c r="E175" s="719"/>
      <c r="F175" s="719"/>
      <c r="G175" s="719"/>
      <c r="H175" s="719"/>
      <c r="I175" s="719"/>
      <c r="J175" s="719"/>
      <c r="K175" s="719"/>
      <c r="L175" s="719"/>
      <c r="M175" s="719"/>
      <c r="N175" s="1040">
        <f t="shared" si="126"/>
        <v>6196</v>
      </c>
      <c r="P175" s="117">
        <v>72101</v>
      </c>
      <c r="Q175" s="974" t="s">
        <v>801</v>
      </c>
      <c r="R175" s="719"/>
      <c r="S175" s="719"/>
      <c r="T175" s="719"/>
      <c r="U175" s="719"/>
      <c r="V175" s="719"/>
      <c r="W175" s="719"/>
      <c r="X175" s="719"/>
      <c r="Y175" s="719"/>
      <c r="Z175" s="719"/>
      <c r="AA175" s="719"/>
      <c r="AB175" s="719"/>
      <c r="AC175" s="719"/>
      <c r="AD175" s="719"/>
      <c r="AE175" s="719"/>
      <c r="AF175" s="719"/>
      <c r="AG175" s="719"/>
      <c r="AH175" s="719"/>
      <c r="AI175" s="719"/>
      <c r="AJ175" s="534">
        <f t="shared" si="133"/>
        <v>0</v>
      </c>
      <c r="AK175" s="203"/>
      <c r="AL175" s="117">
        <v>72101</v>
      </c>
      <c r="AM175" s="959"/>
      <c r="AN175" s="735"/>
      <c r="AO175" s="735"/>
      <c r="AP175" s="735"/>
      <c r="AQ175" s="809"/>
      <c r="AS175" s="972">
        <v>72101</v>
      </c>
      <c r="AT175" s="959" t="s">
        <v>801</v>
      </c>
      <c r="AU175" s="724"/>
      <c r="AV175" s="724"/>
      <c r="AW175" s="724"/>
      <c r="AX175" s="724"/>
      <c r="AY175" s="724"/>
      <c r="AZ175" s="724"/>
      <c r="BA175" s="724"/>
      <c r="BB175" s="634"/>
      <c r="BD175" s="1088">
        <f t="shared" si="97"/>
        <v>6196</v>
      </c>
      <c r="BE175" s="502"/>
    </row>
    <row r="176" spans="1:57" s="125" customFormat="1" ht="23.25" thickBot="1" x14ac:dyDescent="0.25">
      <c r="A176" s="967">
        <v>722</v>
      </c>
      <c r="B176" s="968" t="s">
        <v>810</v>
      </c>
      <c r="C176" s="723">
        <f>SUM(C177)</f>
        <v>0</v>
      </c>
      <c r="D176" s="723"/>
      <c r="E176" s="723"/>
      <c r="F176" s="723"/>
      <c r="G176" s="723"/>
      <c r="H176" s="723"/>
      <c r="I176" s="723"/>
      <c r="J176" s="723"/>
      <c r="K176" s="723"/>
      <c r="L176" s="723"/>
      <c r="M176" s="723"/>
      <c r="N176" s="1040">
        <f t="shared" si="126"/>
        <v>0</v>
      </c>
      <c r="P176" s="443">
        <v>722</v>
      </c>
      <c r="Q176" s="975" t="s">
        <v>810</v>
      </c>
      <c r="R176" s="723"/>
      <c r="S176" s="723"/>
      <c r="T176" s="723"/>
      <c r="U176" s="723"/>
      <c r="V176" s="723"/>
      <c r="W176" s="723"/>
      <c r="X176" s="723"/>
      <c r="Y176" s="723"/>
      <c r="Z176" s="723"/>
      <c r="AA176" s="723"/>
      <c r="AB176" s="723"/>
      <c r="AC176" s="723"/>
      <c r="AD176" s="723"/>
      <c r="AE176" s="723"/>
      <c r="AF176" s="921"/>
      <c r="AG176" s="723"/>
      <c r="AH176" s="723"/>
      <c r="AI176" s="723"/>
      <c r="AJ176" s="534">
        <f t="shared" si="133"/>
        <v>0</v>
      </c>
      <c r="AK176" s="270"/>
      <c r="AL176" s="443">
        <v>722</v>
      </c>
      <c r="AM176" s="960"/>
      <c r="AN176" s="737"/>
      <c r="AO176" s="737"/>
      <c r="AP176" s="737"/>
      <c r="AQ176" s="809"/>
      <c r="AS176" s="973">
        <v>722</v>
      </c>
      <c r="AT176" s="960" t="s">
        <v>810</v>
      </c>
      <c r="AU176" s="726"/>
      <c r="AV176" s="726"/>
      <c r="AW176" s="726"/>
      <c r="AX176" s="726"/>
      <c r="AY176" s="726"/>
      <c r="AZ176" s="726"/>
      <c r="BA176" s="726"/>
      <c r="BB176" s="634"/>
      <c r="BD176" s="1088">
        <f t="shared" si="97"/>
        <v>0</v>
      </c>
      <c r="BE176" s="856"/>
    </row>
    <row r="177" spans="1:58" s="52" customFormat="1" ht="23.25" thickBot="1" x14ac:dyDescent="0.25">
      <c r="A177" s="739">
        <v>72201</v>
      </c>
      <c r="B177" s="969" t="s">
        <v>810</v>
      </c>
      <c r="C177" s="719"/>
      <c r="D177" s="719"/>
      <c r="E177" s="719"/>
      <c r="F177" s="719"/>
      <c r="G177" s="719"/>
      <c r="H177" s="719"/>
      <c r="I177" s="719"/>
      <c r="J177" s="719"/>
      <c r="K177" s="719"/>
      <c r="L177" s="719"/>
      <c r="M177" s="719"/>
      <c r="N177" s="1040">
        <f t="shared" si="126"/>
        <v>0</v>
      </c>
      <c r="P177" s="284">
        <v>72201</v>
      </c>
      <c r="Q177" s="962" t="s">
        <v>810</v>
      </c>
      <c r="R177" s="906"/>
      <c r="S177" s="906"/>
      <c r="T177" s="906"/>
      <c r="U177" s="906"/>
      <c r="V177" s="906"/>
      <c r="W177" s="906"/>
      <c r="X177" s="906"/>
      <c r="Y177" s="907"/>
      <c r="Z177" s="906"/>
      <c r="AA177" s="906"/>
      <c r="AB177" s="906"/>
      <c r="AC177" s="906"/>
      <c r="AD177" s="906"/>
      <c r="AE177" s="907"/>
      <c r="AF177" s="719"/>
      <c r="AG177" s="906"/>
      <c r="AH177" s="906"/>
      <c r="AI177" s="906"/>
      <c r="AJ177" s="534">
        <f t="shared" si="133"/>
        <v>0</v>
      </c>
      <c r="AK177" s="203"/>
      <c r="AL177" s="284">
        <v>72201</v>
      </c>
      <c r="AM177" s="956"/>
      <c r="AN177" s="908"/>
      <c r="AO177" s="908"/>
      <c r="AP177" s="908"/>
      <c r="AQ177" s="809"/>
      <c r="AS177" s="972">
        <v>72201</v>
      </c>
      <c r="AT177" s="959" t="s">
        <v>810</v>
      </c>
      <c r="AU177" s="724"/>
      <c r="AV177" s="724"/>
      <c r="AW177" s="724"/>
      <c r="AX177" s="724"/>
      <c r="AY177" s="724"/>
      <c r="AZ177" s="724"/>
      <c r="BA177" s="724"/>
      <c r="BB177" s="634"/>
      <c r="BD177" s="1088">
        <f t="shared" si="97"/>
        <v>0</v>
      </c>
      <c r="BE177" s="502"/>
    </row>
    <row r="178" spans="1:58" s="52" customFormat="1" ht="12" thickBot="1" x14ac:dyDescent="0.25">
      <c r="A178" s="935"/>
      <c r="B178" s="936" t="s">
        <v>674</v>
      </c>
      <c r="C178" s="638">
        <f t="shared" ref="C178:N178" si="143">+C160+C151+C98+C167+C173+C174+C176</f>
        <v>21646</v>
      </c>
      <c r="D178" s="638">
        <f t="shared" si="143"/>
        <v>16193.220000000001</v>
      </c>
      <c r="E178" s="638">
        <f t="shared" si="143"/>
        <v>1000</v>
      </c>
      <c r="F178" s="638">
        <f t="shared" si="143"/>
        <v>1535</v>
      </c>
      <c r="G178" s="638">
        <f t="shared" si="143"/>
        <v>6200</v>
      </c>
      <c r="H178" s="638">
        <f t="shared" si="143"/>
        <v>4300</v>
      </c>
      <c r="I178" s="638">
        <f t="shared" si="143"/>
        <v>500</v>
      </c>
      <c r="J178" s="638">
        <f t="shared" si="143"/>
        <v>16522.900000000001</v>
      </c>
      <c r="K178" s="638">
        <f t="shared" si="143"/>
        <v>1000</v>
      </c>
      <c r="L178" s="638">
        <f t="shared" si="143"/>
        <v>640</v>
      </c>
      <c r="M178" s="638">
        <f t="shared" si="143"/>
        <v>65563</v>
      </c>
      <c r="N178" s="638">
        <f t="shared" si="143"/>
        <v>135100.12</v>
      </c>
      <c r="P178" s="271"/>
      <c r="Q178" s="272" t="s">
        <v>675</v>
      </c>
      <c r="R178" s="575">
        <f>+R160+R151+R98+R167+R173</f>
        <v>1000</v>
      </c>
      <c r="S178" s="575">
        <f t="shared" ref="S178" si="144">+S160+S151+S98+S167+S173</f>
        <v>10000</v>
      </c>
      <c r="T178" s="575">
        <f>+T160+T151+T98+T167+T173</f>
        <v>1000</v>
      </c>
      <c r="U178" s="575">
        <f t="shared" ref="U178" si="145">+U160+U151+U98+U167+U173</f>
        <v>30150</v>
      </c>
      <c r="V178" s="575">
        <f>+V160+V151+V98+V167+V173</f>
        <v>32666</v>
      </c>
      <c r="W178" s="575">
        <f t="shared" ref="W178:AE178" si="146">+W160+W151+W98+W167+W173</f>
        <v>2100</v>
      </c>
      <c r="X178" s="575">
        <f t="shared" si="146"/>
        <v>2560</v>
      </c>
      <c r="Y178" s="575">
        <f t="shared" si="146"/>
        <v>25730</v>
      </c>
      <c r="Z178" s="575">
        <f>+Z160+Z151+Z98+Z167+Z173</f>
        <v>123650</v>
      </c>
      <c r="AA178" s="575">
        <f t="shared" si="146"/>
        <v>900</v>
      </c>
      <c r="AB178" s="575">
        <f t="shared" si="146"/>
        <v>0</v>
      </c>
      <c r="AC178" s="575">
        <f t="shared" si="146"/>
        <v>59200</v>
      </c>
      <c r="AD178" s="575">
        <f t="shared" si="146"/>
        <v>12600</v>
      </c>
      <c r="AE178" s="575">
        <f t="shared" si="146"/>
        <v>37150</v>
      </c>
      <c r="AF178" s="638">
        <f>+AF160+AF151+AF98+AF167+AF173</f>
        <v>22860</v>
      </c>
      <c r="AG178" s="575">
        <f t="shared" ref="AG178:AI178" si="147">+AG160+AG151+AG98+AG167+AG173</f>
        <v>0</v>
      </c>
      <c r="AH178" s="575">
        <f t="shared" si="147"/>
        <v>0</v>
      </c>
      <c r="AI178" s="575">
        <f t="shared" si="147"/>
        <v>965</v>
      </c>
      <c r="AJ178" s="575">
        <f>+AJ160+AJ151+AJ98+AJ167+AJ173</f>
        <v>362531</v>
      </c>
      <c r="AK178" s="270"/>
      <c r="AL178" s="271"/>
      <c r="AM178" s="272" t="s">
        <v>130</v>
      </c>
      <c r="AN178" s="575">
        <f>+AN160+AN151+AN98+AN167+AN173</f>
        <v>23000</v>
      </c>
      <c r="AO178" s="575">
        <f>+AO160+AO151+AO98+AO167+AO173</f>
        <v>14500</v>
      </c>
      <c r="AP178" s="575">
        <f>+AP160+AP151+AP98+AP167+AP173</f>
        <v>11454.9</v>
      </c>
      <c r="AQ178" s="575">
        <f>+AQ160+AQ151+AQ98+AQ167+AQ173</f>
        <v>48954.9</v>
      </c>
      <c r="AS178" s="935"/>
      <c r="AT178" s="936" t="s">
        <v>674</v>
      </c>
      <c r="AU178" s="638">
        <f t="shared" ref="AU178:BB178" si="148">+AU160+AU151+AU98+AU167+AU173</f>
        <v>3362.5</v>
      </c>
      <c r="AV178" s="638">
        <f t="shared" si="148"/>
        <v>0</v>
      </c>
      <c r="AW178" s="1078">
        <f t="shared" si="148"/>
        <v>84576.47</v>
      </c>
      <c r="AX178" s="638">
        <f t="shared" si="148"/>
        <v>14497.56</v>
      </c>
      <c r="AY178" s="638">
        <f t="shared" si="148"/>
        <v>49490.02</v>
      </c>
      <c r="AZ178" s="638">
        <f t="shared" si="148"/>
        <v>5800</v>
      </c>
      <c r="BA178" s="638">
        <f t="shared" si="148"/>
        <v>15340</v>
      </c>
      <c r="BB178" s="638">
        <f t="shared" si="148"/>
        <v>173066.55</v>
      </c>
      <c r="BD178" s="1088">
        <f t="shared" si="97"/>
        <v>719652.57</v>
      </c>
    </row>
    <row r="179" spans="1:58" s="52" customFormat="1" ht="13.5" thickTop="1" x14ac:dyDescent="0.2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51"/>
      <c r="S179" s="51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H179" s="30"/>
      <c r="AI179" s="30"/>
      <c r="AJ179" s="635">
        <f>SUM(R178:AI178)</f>
        <v>362531</v>
      </c>
      <c r="AK179" s="30"/>
      <c r="AL179" s="30"/>
      <c r="AM179" s="30"/>
      <c r="AN179" s="30"/>
      <c r="AO179" s="30"/>
      <c r="AP179" s="30"/>
      <c r="AQ179" s="635">
        <f>SUM(AN178:AP178)</f>
        <v>48954.9</v>
      </c>
      <c r="AS179" s="30"/>
      <c r="AT179" s="30"/>
      <c r="AU179" s="30"/>
      <c r="AV179" s="30"/>
      <c r="AW179" s="182"/>
      <c r="AX179" s="30"/>
      <c r="AY179" s="30"/>
      <c r="AZ179" s="30"/>
      <c r="BA179" s="30"/>
      <c r="BB179" s="635">
        <f>SUM(AU178:BA178)</f>
        <v>173066.55</v>
      </c>
      <c r="BD179" s="268"/>
    </row>
    <row r="180" spans="1:58" x14ac:dyDescent="0.2">
      <c r="N180" s="635">
        <f>SUM(C178:M178)</f>
        <v>135100.12</v>
      </c>
      <c r="R180" s="1114"/>
      <c r="S180" s="1114"/>
      <c r="BB180" s="635"/>
      <c r="BE180" s="46"/>
    </row>
    <row r="181" spans="1:58" x14ac:dyDescent="0.2">
      <c r="R181" s="1191"/>
      <c r="S181" s="1191"/>
      <c r="AJ181" s="861">
        <f>AJ179-AJ178</f>
        <v>0</v>
      </c>
      <c r="BD181" s="601"/>
    </row>
    <row r="183" spans="1:58" x14ac:dyDescent="0.2">
      <c r="A183" s="1114" t="s">
        <v>268</v>
      </c>
      <c r="B183" s="1114"/>
      <c r="C183" s="1114"/>
      <c r="D183" s="1114"/>
      <c r="E183" s="1114"/>
      <c r="F183" s="1114"/>
      <c r="G183" s="1114"/>
      <c r="H183" s="1114"/>
      <c r="I183" s="1114"/>
      <c r="J183" s="1114"/>
      <c r="K183" s="1114"/>
      <c r="L183" s="1114"/>
      <c r="M183" s="1114"/>
      <c r="N183" s="1114"/>
      <c r="O183" s="51"/>
      <c r="P183" s="1114" t="s">
        <v>268</v>
      </c>
      <c r="Q183" s="1114"/>
      <c r="R183" s="1114"/>
      <c r="S183" s="1114"/>
      <c r="T183" s="1114"/>
      <c r="U183" s="1114"/>
      <c r="V183" s="1114"/>
      <c r="W183" s="1114"/>
      <c r="X183" s="1114"/>
      <c r="Y183" s="1114"/>
      <c r="Z183" s="1114"/>
      <c r="AA183" s="1114"/>
      <c r="AB183" s="1114"/>
      <c r="AC183" s="1114"/>
      <c r="AD183" s="1114"/>
      <c r="AE183" s="1114"/>
      <c r="AF183" s="1114"/>
      <c r="AG183" s="1114"/>
      <c r="AH183" s="1114"/>
      <c r="AI183" s="1114"/>
      <c r="AJ183" s="1114"/>
      <c r="AK183" s="51"/>
      <c r="AL183" s="1114" t="s">
        <v>268</v>
      </c>
      <c r="AM183" s="1114"/>
      <c r="AN183" s="1114"/>
      <c r="AO183" s="1114"/>
      <c r="AP183" s="1114"/>
      <c r="AQ183" s="1114"/>
      <c r="AS183" s="1114" t="s">
        <v>268</v>
      </c>
      <c r="AT183" s="1114"/>
      <c r="AU183" s="1114"/>
      <c r="AV183" s="1114"/>
      <c r="AW183" s="1114"/>
      <c r="AX183" s="1114"/>
      <c r="AY183" s="1114"/>
    </row>
    <row r="184" spans="1:58" x14ac:dyDescent="0.2">
      <c r="A184" s="1114" t="s">
        <v>779</v>
      </c>
      <c r="B184" s="1114"/>
      <c r="C184" s="1114"/>
      <c r="D184" s="1114"/>
      <c r="E184" s="1114"/>
      <c r="F184" s="1114"/>
      <c r="G184" s="1114"/>
      <c r="H184" s="1114"/>
      <c r="I184" s="1114"/>
      <c r="J184" s="1114"/>
      <c r="K184" s="1114"/>
      <c r="L184" s="1114"/>
      <c r="M184" s="1114"/>
      <c r="N184" s="1114"/>
      <c r="O184" s="51"/>
      <c r="P184" s="1114" t="s">
        <v>833</v>
      </c>
      <c r="Q184" s="1114"/>
      <c r="R184" s="1114"/>
      <c r="S184" s="1114"/>
      <c r="T184" s="1114"/>
      <c r="U184" s="1114"/>
      <c r="V184" s="1114"/>
      <c r="W184" s="1114"/>
      <c r="X184" s="1114"/>
      <c r="Y184" s="1114"/>
      <c r="Z184" s="1114"/>
      <c r="AA184" s="1114"/>
      <c r="AB184" s="1114"/>
      <c r="AC184" s="1114"/>
      <c r="AD184" s="1114"/>
      <c r="AE184" s="1114"/>
      <c r="AF184" s="1114"/>
      <c r="AG184" s="1114"/>
      <c r="AH184" s="1114"/>
      <c r="AI184" s="1114"/>
      <c r="AJ184" s="1114"/>
      <c r="AK184" s="51"/>
      <c r="AL184" s="1114" t="s">
        <v>831</v>
      </c>
      <c r="AM184" s="1114"/>
      <c r="AN184" s="1114"/>
      <c r="AO184" s="1114"/>
      <c r="AP184" s="1114"/>
      <c r="AQ184" s="1114"/>
      <c r="AS184" s="1114" t="s">
        <v>831</v>
      </c>
      <c r="AT184" s="1114"/>
      <c r="AU184" s="1114"/>
      <c r="AV184" s="1114"/>
      <c r="AW184" s="1114"/>
      <c r="AX184" s="1114"/>
      <c r="AY184" s="1114"/>
    </row>
    <row r="185" spans="1:58" x14ac:dyDescent="0.2">
      <c r="A185" s="1191" t="s">
        <v>72</v>
      </c>
      <c r="B185" s="1191"/>
      <c r="C185" s="1191"/>
      <c r="D185" s="1191"/>
      <c r="E185" s="1191"/>
      <c r="F185" s="1191"/>
      <c r="G185" s="1191"/>
      <c r="H185" s="1191"/>
      <c r="I185" s="1191"/>
      <c r="J185" s="1191"/>
      <c r="K185" s="1191"/>
      <c r="L185" s="1191"/>
      <c r="M185" s="1191"/>
      <c r="N185" s="1191"/>
      <c r="P185" s="1191" t="s">
        <v>72</v>
      </c>
      <c r="Q185" s="1191"/>
      <c r="R185" s="1191"/>
      <c r="S185" s="1191"/>
      <c r="T185" s="1191"/>
      <c r="U185" s="1191"/>
      <c r="V185" s="1191"/>
      <c r="W185" s="1191"/>
      <c r="X185" s="1191"/>
      <c r="Y185" s="1191"/>
      <c r="Z185" s="1191"/>
      <c r="AA185" s="1191"/>
      <c r="AB185" s="1191"/>
      <c r="AC185" s="1191"/>
      <c r="AD185" s="1191"/>
      <c r="AE185" s="1191"/>
      <c r="AF185" s="1191"/>
      <c r="AG185" s="1191"/>
      <c r="AH185" s="1191"/>
      <c r="AI185" s="1191"/>
      <c r="AJ185" s="1191"/>
      <c r="AL185" s="1191" t="s">
        <v>72</v>
      </c>
      <c r="AM185" s="1191"/>
      <c r="AN185" s="1191"/>
      <c r="AO185" s="1191"/>
      <c r="AP185" s="1191"/>
      <c r="AQ185" s="1191"/>
      <c r="AS185" s="1191" t="s">
        <v>72</v>
      </c>
      <c r="AT185" s="1191"/>
      <c r="AU185" s="1191"/>
      <c r="AV185" s="1191"/>
      <c r="AW185" s="1191"/>
      <c r="AX185" s="1191"/>
      <c r="AY185" s="1191"/>
    </row>
    <row r="186" spans="1:58" x14ac:dyDescent="0.2">
      <c r="A186" s="51" t="s">
        <v>458</v>
      </c>
      <c r="P186" s="51" t="s">
        <v>458</v>
      </c>
      <c r="AL186" s="51" t="s">
        <v>290</v>
      </c>
      <c r="AS186" s="51" t="s">
        <v>290</v>
      </c>
    </row>
    <row r="187" spans="1:58" ht="13.5" thickBot="1" x14ac:dyDescent="0.25">
      <c r="A187" s="51" t="s">
        <v>459</v>
      </c>
      <c r="B187" s="252"/>
      <c r="P187" s="51" t="s">
        <v>453</v>
      </c>
      <c r="Q187" s="252"/>
      <c r="AL187" s="51" t="s">
        <v>455</v>
      </c>
      <c r="AM187" s="252"/>
      <c r="AS187" s="51" t="s">
        <v>457</v>
      </c>
      <c r="AT187" s="252"/>
    </row>
    <row r="188" spans="1:58" ht="46.5" thickTop="1" thickBot="1" x14ac:dyDescent="0.25">
      <c r="A188" s="258" t="s">
        <v>88</v>
      </c>
      <c r="B188" s="259" t="s">
        <v>89</v>
      </c>
      <c r="C188" s="404" t="s">
        <v>282</v>
      </c>
      <c r="D188" s="405" t="s">
        <v>283</v>
      </c>
      <c r="E188" s="405" t="s">
        <v>244</v>
      </c>
      <c r="F188" s="405" t="s">
        <v>346</v>
      </c>
      <c r="G188" s="405" t="s">
        <v>248</v>
      </c>
      <c r="H188" s="405" t="s">
        <v>699</v>
      </c>
      <c r="I188" s="405" t="s">
        <v>250</v>
      </c>
      <c r="J188" s="405" t="s">
        <v>438</v>
      </c>
      <c r="K188" s="405" t="s">
        <v>637</v>
      </c>
      <c r="L188" s="405" t="s">
        <v>661</v>
      </c>
      <c r="M188" s="405" t="s">
        <v>526</v>
      </c>
      <c r="N188" s="399" t="s">
        <v>836</v>
      </c>
      <c r="P188" s="258" t="s">
        <v>88</v>
      </c>
      <c r="Q188" s="259" t="s">
        <v>89</v>
      </c>
      <c r="R188" s="260" t="s">
        <v>575</v>
      </c>
      <c r="S188" s="261" t="s">
        <v>576</v>
      </c>
      <c r="T188" s="261" t="s">
        <v>528</v>
      </c>
      <c r="U188" s="261" t="s">
        <v>529</v>
      </c>
      <c r="V188" s="261" t="s">
        <v>207</v>
      </c>
      <c r="W188" s="261" t="s">
        <v>182</v>
      </c>
      <c r="X188" s="261" t="s">
        <v>577</v>
      </c>
      <c r="Y188" s="398" t="s">
        <v>578</v>
      </c>
      <c r="Z188" s="261" t="s">
        <v>553</v>
      </c>
      <c r="AA188" s="261" t="s">
        <v>618</v>
      </c>
      <c r="AB188" s="261" t="s">
        <v>514</v>
      </c>
      <c r="AC188" s="261" t="s">
        <v>532</v>
      </c>
      <c r="AD188" s="198" t="s">
        <v>623</v>
      </c>
      <c r="AE188" s="398" t="s">
        <v>533</v>
      </c>
      <c r="AF188" s="398" t="s">
        <v>729</v>
      </c>
      <c r="AG188" s="261" t="s">
        <v>441</v>
      </c>
      <c r="AH188" s="629" t="s">
        <v>850</v>
      </c>
      <c r="AI188" s="629"/>
      <c r="AJ188" s="403" t="s">
        <v>836</v>
      </c>
      <c r="AK188" s="257"/>
      <c r="AL188" s="258" t="s">
        <v>88</v>
      </c>
      <c r="AM188" s="259" t="s">
        <v>89</v>
      </c>
      <c r="AN188" s="260" t="s">
        <v>183</v>
      </c>
      <c r="AO188" s="260" t="s">
        <v>706</v>
      </c>
      <c r="AP188" s="261" t="s">
        <v>460</v>
      </c>
      <c r="AQ188" s="403" t="s">
        <v>836</v>
      </c>
      <c r="AS188" s="258" t="s">
        <v>88</v>
      </c>
      <c r="AT188" s="259" t="s">
        <v>89</v>
      </c>
      <c r="AU188" s="260" t="s">
        <v>280</v>
      </c>
      <c r="AV188" s="260" t="s">
        <v>709</v>
      </c>
      <c r="AW188" s="261" t="s">
        <v>534</v>
      </c>
      <c r="AX188" s="261" t="s">
        <v>535</v>
      </c>
      <c r="AY188" s="262" t="s">
        <v>536</v>
      </c>
      <c r="AZ188" s="262" t="s">
        <v>443</v>
      </c>
      <c r="BA188" s="262" t="s">
        <v>651</v>
      </c>
      <c r="BB188" s="274" t="s">
        <v>836</v>
      </c>
    </row>
    <row r="189" spans="1:58" s="80" customFormat="1" ht="15" customHeight="1" x14ac:dyDescent="0.2">
      <c r="A189" s="264">
        <v>54</v>
      </c>
      <c r="B189" s="265" t="s">
        <v>107</v>
      </c>
      <c r="C189" s="400">
        <f>C190+C212+C217+C231+C236</f>
        <v>198545.05</v>
      </c>
      <c r="D189" s="314">
        <f t="shared" ref="D189:M189" si="149">D190+D212+D217+D231+D236</f>
        <v>0</v>
      </c>
      <c r="E189" s="314">
        <f t="shared" si="149"/>
        <v>0</v>
      </c>
      <c r="F189" s="314">
        <f t="shared" si="149"/>
        <v>0</v>
      </c>
      <c r="G189" s="314">
        <f t="shared" si="149"/>
        <v>0</v>
      </c>
      <c r="H189" s="314">
        <f t="shared" si="149"/>
        <v>0</v>
      </c>
      <c r="I189" s="314">
        <f>I190+I212+I217+I231+I236</f>
        <v>0</v>
      </c>
      <c r="J189" s="314">
        <f>J190+J212+J217+J231+J236</f>
        <v>0</v>
      </c>
      <c r="K189" s="314">
        <f>K190+K212+K217+K231+K236</f>
        <v>0</v>
      </c>
      <c r="L189" s="314">
        <f>L190+L212+L217+L231+L236</f>
        <v>0</v>
      </c>
      <c r="M189" s="314">
        <f t="shared" si="149"/>
        <v>0</v>
      </c>
      <c r="N189" s="400">
        <f>N190+N212+N217+N231+N236</f>
        <v>198545.05</v>
      </c>
      <c r="O189" s="875"/>
      <c r="P189" s="264">
        <v>54</v>
      </c>
      <c r="Q189" s="265" t="s">
        <v>107</v>
      </c>
      <c r="R189" s="314">
        <f>R190+R212+R217+R231+R236</f>
        <v>0</v>
      </c>
      <c r="S189" s="314">
        <f t="shared" ref="S189:AH189" si="150">S190+S212+S217+S231+S236</f>
        <v>0</v>
      </c>
      <c r="T189" s="314">
        <f t="shared" si="150"/>
        <v>0</v>
      </c>
      <c r="U189" s="314">
        <f t="shared" si="150"/>
        <v>0</v>
      </c>
      <c r="V189" s="314">
        <f>V190+V212+V217+V232+V237</f>
        <v>0</v>
      </c>
      <c r="W189" s="314">
        <f t="shared" si="150"/>
        <v>0</v>
      </c>
      <c r="X189" s="314">
        <f t="shared" si="150"/>
        <v>0</v>
      </c>
      <c r="Y189" s="314">
        <f t="shared" si="150"/>
        <v>0</v>
      </c>
      <c r="Z189" s="314">
        <f t="shared" si="150"/>
        <v>0</v>
      </c>
      <c r="AA189" s="314">
        <f t="shared" si="150"/>
        <v>0</v>
      </c>
      <c r="AB189" s="314">
        <f t="shared" si="150"/>
        <v>0</v>
      </c>
      <c r="AC189" s="314">
        <f t="shared" si="150"/>
        <v>0</v>
      </c>
      <c r="AD189" s="314">
        <f t="shared" si="150"/>
        <v>0</v>
      </c>
      <c r="AE189" s="314">
        <f t="shared" si="150"/>
        <v>0</v>
      </c>
      <c r="AF189" s="314">
        <f t="shared" si="150"/>
        <v>0</v>
      </c>
      <c r="AG189" s="314">
        <f t="shared" si="150"/>
        <v>0</v>
      </c>
      <c r="AH189" s="314">
        <f t="shared" si="150"/>
        <v>0</v>
      </c>
      <c r="AI189" s="407"/>
      <c r="AJ189" s="597">
        <f>SUM(R189:AH189)</f>
        <v>0</v>
      </c>
      <c r="AK189" s="266"/>
      <c r="AL189" s="264">
        <v>54</v>
      </c>
      <c r="AM189" s="265" t="s">
        <v>107</v>
      </c>
      <c r="AN189" s="314">
        <f>AN190+AN212+AN217+AN231+AN236</f>
        <v>87000</v>
      </c>
      <c r="AO189" s="314">
        <f>AO190+AO212+AO217+AO231+AO236</f>
        <v>0</v>
      </c>
      <c r="AP189" s="314">
        <f>AP190+AP212+AP217+AP231+AP236</f>
        <v>0</v>
      </c>
      <c r="AQ189" s="314">
        <f>AQ190+AQ212+AQ217+AQ231+AQ236</f>
        <v>87000</v>
      </c>
      <c r="AR189" s="875"/>
      <c r="AS189" s="264">
        <v>54</v>
      </c>
      <c r="AT189" s="265" t="s">
        <v>107</v>
      </c>
      <c r="AU189" s="314">
        <f t="shared" ref="AU189:AZ189" si="151">AU190+AU212+AU217+AU231+AU236</f>
        <v>0</v>
      </c>
      <c r="AV189" s="314">
        <f t="shared" si="151"/>
        <v>0</v>
      </c>
      <c r="AW189" s="1079">
        <f t="shared" si="151"/>
        <v>26999.53</v>
      </c>
      <c r="AX189" s="314">
        <f t="shared" si="151"/>
        <v>414000</v>
      </c>
      <c r="AY189" s="407">
        <f t="shared" si="151"/>
        <v>0</v>
      </c>
      <c r="AZ189" s="407">
        <f t="shared" si="151"/>
        <v>0</v>
      </c>
      <c r="BA189" s="407"/>
      <c r="BB189" s="407">
        <f>BB190+BB212+BB217+BB231+BB236</f>
        <v>440999.53</v>
      </c>
      <c r="BC189" s="875">
        <f>SUM(AU189:BA189)</f>
        <v>440999.53</v>
      </c>
      <c r="BD189" s="1088">
        <f>BB189+AQ189+AJ189+N189</f>
        <v>726544.58000000007</v>
      </c>
      <c r="BE189" s="876"/>
      <c r="BF189" s="874"/>
    </row>
    <row r="190" spans="1:58" ht="12.75" customHeight="1" x14ac:dyDescent="0.2">
      <c r="A190" s="267">
        <v>541</v>
      </c>
      <c r="B190" s="121" t="s">
        <v>108</v>
      </c>
      <c r="C190" s="597">
        <f>SUM(C191:C211)</f>
        <v>0</v>
      </c>
      <c r="D190" s="597">
        <f t="shared" ref="D190:M190" si="152">SUM(D191:D211)</f>
        <v>0</v>
      </c>
      <c r="E190" s="597">
        <f t="shared" si="152"/>
        <v>0</v>
      </c>
      <c r="F190" s="597">
        <f t="shared" si="152"/>
        <v>0</v>
      </c>
      <c r="G190" s="597">
        <f t="shared" si="152"/>
        <v>0</v>
      </c>
      <c r="H190" s="597">
        <f t="shared" si="152"/>
        <v>0</v>
      </c>
      <c r="I190" s="597">
        <f t="shared" si="152"/>
        <v>0</v>
      </c>
      <c r="J190" s="597">
        <f t="shared" si="152"/>
        <v>0</v>
      </c>
      <c r="K190" s="597">
        <f t="shared" si="152"/>
        <v>0</v>
      </c>
      <c r="L190" s="597">
        <f t="shared" si="152"/>
        <v>0</v>
      </c>
      <c r="M190" s="597">
        <f t="shared" si="152"/>
        <v>0</v>
      </c>
      <c r="N190" s="401">
        <f>SUM(N191:N211)</f>
        <v>0</v>
      </c>
      <c r="O190" s="875"/>
      <c r="P190" s="267">
        <v>541</v>
      </c>
      <c r="Q190" s="121" t="s">
        <v>108</v>
      </c>
      <c r="R190" s="315">
        <f>SUM(R191:R211)</f>
        <v>0</v>
      </c>
      <c r="S190" s="315">
        <f t="shared" ref="S190:AH190" si="153">SUM(S191:S211)</f>
        <v>0</v>
      </c>
      <c r="T190" s="315">
        <f t="shared" si="153"/>
        <v>0</v>
      </c>
      <c r="U190" s="315">
        <f t="shared" si="153"/>
        <v>0</v>
      </c>
      <c r="V190" s="315">
        <f t="shared" si="153"/>
        <v>0</v>
      </c>
      <c r="W190" s="315">
        <f t="shared" si="153"/>
        <v>0</v>
      </c>
      <c r="X190" s="315">
        <f t="shared" si="153"/>
        <v>0</v>
      </c>
      <c r="Y190" s="315">
        <f t="shared" si="153"/>
        <v>0</v>
      </c>
      <c r="Z190" s="315">
        <f t="shared" si="153"/>
        <v>0</v>
      </c>
      <c r="AA190" s="315">
        <f t="shared" si="153"/>
        <v>0</v>
      </c>
      <c r="AB190" s="315">
        <f t="shared" si="153"/>
        <v>0</v>
      </c>
      <c r="AC190" s="315">
        <f t="shared" si="153"/>
        <v>0</v>
      </c>
      <c r="AD190" s="315">
        <f t="shared" si="153"/>
        <v>0</v>
      </c>
      <c r="AE190" s="315">
        <f t="shared" si="153"/>
        <v>0</v>
      </c>
      <c r="AF190" s="315">
        <f t="shared" si="153"/>
        <v>0</v>
      </c>
      <c r="AG190" s="597">
        <f t="shared" si="153"/>
        <v>0</v>
      </c>
      <c r="AH190" s="597">
        <f t="shared" si="153"/>
        <v>0</v>
      </c>
      <c r="AI190" s="597"/>
      <c r="AJ190" s="597">
        <f>SUM(R190:AH190)</f>
        <v>0</v>
      </c>
      <c r="AK190" s="266"/>
      <c r="AL190" s="267">
        <v>541</v>
      </c>
      <c r="AM190" s="121" t="s">
        <v>108</v>
      </c>
      <c r="AN190" s="315">
        <f>SUM(AN191:AN211)</f>
        <v>57000</v>
      </c>
      <c r="AO190" s="315">
        <f>SUM(AO191:AO211)</f>
        <v>0</v>
      </c>
      <c r="AP190" s="315">
        <f>SUM(AP191:AP211)</f>
        <v>0</v>
      </c>
      <c r="AQ190" s="315">
        <f>SUM(AQ191:AQ211)</f>
        <v>57000</v>
      </c>
      <c r="AR190" s="875"/>
      <c r="AS190" s="267">
        <v>541</v>
      </c>
      <c r="AT190" s="121" t="s">
        <v>108</v>
      </c>
      <c r="AU190" s="315">
        <f t="shared" ref="AU190:BB190" si="154">SUM(AU191:AU211)</f>
        <v>0</v>
      </c>
      <c r="AV190" s="315">
        <f t="shared" si="154"/>
        <v>0</v>
      </c>
      <c r="AW190" s="1080">
        <f t="shared" si="154"/>
        <v>26999.53</v>
      </c>
      <c r="AX190" s="315">
        <f t="shared" si="154"/>
        <v>67000</v>
      </c>
      <c r="AY190" s="315">
        <f t="shared" si="154"/>
        <v>0</v>
      </c>
      <c r="AZ190" s="315">
        <f t="shared" si="154"/>
        <v>0</v>
      </c>
      <c r="BA190" s="315">
        <f t="shared" si="154"/>
        <v>0</v>
      </c>
      <c r="BB190" s="315">
        <f t="shared" si="154"/>
        <v>93999.53</v>
      </c>
      <c r="BC190" s="875">
        <f t="shared" ref="BC190:BC216" si="155">SUM(AU190:BA190)</f>
        <v>93999.53</v>
      </c>
      <c r="BD190" s="1088">
        <f t="shared" ref="BD190:BD191" si="156">BB190+AQ190+AJ190+N190</f>
        <v>150999.53</v>
      </c>
      <c r="BE190" s="876"/>
      <c r="BF190" s="874"/>
    </row>
    <row r="191" spans="1:58" s="52" customFormat="1" ht="11.25" x14ac:dyDescent="0.2">
      <c r="A191" s="115">
        <v>54101</v>
      </c>
      <c r="B191" s="116" t="s">
        <v>291</v>
      </c>
      <c r="C191" s="206"/>
      <c r="D191" s="206">
        <v>0</v>
      </c>
      <c r="E191" s="206">
        <v>0</v>
      </c>
      <c r="F191" s="206">
        <v>0</v>
      </c>
      <c r="G191" s="206">
        <v>0</v>
      </c>
      <c r="H191" s="719"/>
      <c r="I191" s="206">
        <v>0</v>
      </c>
      <c r="J191" s="206">
        <v>0</v>
      </c>
      <c r="K191" s="206"/>
      <c r="L191" s="206"/>
      <c r="M191" s="206">
        <v>0</v>
      </c>
      <c r="N191" s="406">
        <f t="shared" ref="N191:N211" si="157">SUM(C191:M191)</f>
        <v>0</v>
      </c>
      <c r="O191" s="875"/>
      <c r="P191" s="115">
        <v>54101</v>
      </c>
      <c r="Q191" s="116" t="s">
        <v>291</v>
      </c>
      <c r="R191" s="206">
        <v>0</v>
      </c>
      <c r="S191" s="206">
        <v>0</v>
      </c>
      <c r="T191" s="206">
        <v>0</v>
      </c>
      <c r="U191" s="206">
        <v>0</v>
      </c>
      <c r="V191" s="206"/>
      <c r="W191" s="206"/>
      <c r="X191" s="206">
        <v>0</v>
      </c>
      <c r="Y191" s="393">
        <v>0</v>
      </c>
      <c r="Z191" s="206">
        <v>0</v>
      </c>
      <c r="AA191" s="206">
        <v>0</v>
      </c>
      <c r="AB191" s="206">
        <v>0</v>
      </c>
      <c r="AC191" s="206"/>
      <c r="AD191" s="206">
        <v>0</v>
      </c>
      <c r="AE191" s="393">
        <v>0</v>
      </c>
      <c r="AF191" s="732"/>
      <c r="AG191" s="206">
        <v>0</v>
      </c>
      <c r="AH191" s="206"/>
      <c r="AI191" s="206"/>
      <c r="AJ191" s="597">
        <f t="shared" ref="AJ191:AJ257" si="158">SUM(R191:AH191)</f>
        <v>0</v>
      </c>
      <c r="AK191" s="266"/>
      <c r="AL191" s="115">
        <v>54101</v>
      </c>
      <c r="AM191" s="116" t="s">
        <v>291</v>
      </c>
      <c r="AN191" s="206">
        <v>0</v>
      </c>
      <c r="AO191" s="393"/>
      <c r="AP191" s="393">
        <v>0</v>
      </c>
      <c r="AQ191" s="315">
        <f t="shared" ref="AQ191:AQ256" si="159">SUM(AN191:AP191)</f>
        <v>0</v>
      </c>
      <c r="AR191" s="875"/>
      <c r="AS191" s="115">
        <v>54101</v>
      </c>
      <c r="AT191" s="116" t="s">
        <v>291</v>
      </c>
      <c r="AU191" s="206"/>
      <c r="AV191" s="206"/>
      <c r="AW191" s="1081"/>
      <c r="AX191" s="206"/>
      <c r="AY191" s="206"/>
      <c r="AZ191" s="206"/>
      <c r="BA191" s="632"/>
      <c r="BB191" s="316">
        <f t="shared" ref="BB191:BB211" si="160">SUM(AU191:AZ191)</f>
        <v>0</v>
      </c>
      <c r="BC191" s="875">
        <f t="shared" si="155"/>
        <v>0</v>
      </c>
      <c r="BD191" s="1088">
        <f t="shared" si="156"/>
        <v>0</v>
      </c>
      <c r="BE191" s="876"/>
      <c r="BF191" s="874"/>
    </row>
    <row r="192" spans="1:58" s="52" customFormat="1" ht="11.25" x14ac:dyDescent="0.2">
      <c r="A192" s="115">
        <v>54102</v>
      </c>
      <c r="B192" s="116" t="s">
        <v>842</v>
      </c>
      <c r="C192" s="206"/>
      <c r="D192" s="206"/>
      <c r="E192" s="206"/>
      <c r="F192" s="206"/>
      <c r="G192" s="206"/>
      <c r="H192" s="719"/>
      <c r="I192" s="206"/>
      <c r="J192" s="206"/>
      <c r="K192" s="206"/>
      <c r="L192" s="206"/>
      <c r="M192" s="206"/>
      <c r="N192" s="406"/>
      <c r="O192" s="875"/>
      <c r="P192" s="115">
        <v>54102</v>
      </c>
      <c r="Q192" s="116" t="s">
        <v>842</v>
      </c>
      <c r="R192" s="206"/>
      <c r="S192" s="206"/>
      <c r="T192" s="206"/>
      <c r="U192" s="206"/>
      <c r="V192" s="206"/>
      <c r="W192" s="206"/>
      <c r="X192" s="206"/>
      <c r="Y192" s="393"/>
      <c r="Z192" s="206"/>
      <c r="AA192" s="206"/>
      <c r="AB192" s="206"/>
      <c r="AC192" s="206"/>
      <c r="AD192" s="206"/>
      <c r="AE192" s="393"/>
      <c r="AF192" s="732"/>
      <c r="AG192" s="206"/>
      <c r="AH192" s="206"/>
      <c r="AI192" s="206"/>
      <c r="AJ192" s="597">
        <f t="shared" si="158"/>
        <v>0</v>
      </c>
      <c r="AK192" s="266"/>
      <c r="AL192" s="115">
        <v>54102</v>
      </c>
      <c r="AM192" s="116" t="s">
        <v>842</v>
      </c>
      <c r="AN192" s="206"/>
      <c r="AO192" s="393"/>
      <c r="AP192" s="393"/>
      <c r="AQ192" s="315"/>
      <c r="AR192" s="875"/>
      <c r="AS192" s="115">
        <v>54102</v>
      </c>
      <c r="AT192" s="116" t="s">
        <v>842</v>
      </c>
      <c r="AU192" s="206"/>
      <c r="AV192" s="206"/>
      <c r="AW192" s="1081"/>
      <c r="AX192" s="206"/>
      <c r="AY192" s="206"/>
      <c r="AZ192" s="206"/>
      <c r="BA192" s="632"/>
      <c r="BB192" s="316"/>
      <c r="BC192" s="875"/>
      <c r="BD192" s="1088"/>
      <c r="BE192" s="876"/>
      <c r="BF192" s="874"/>
    </row>
    <row r="193" spans="1:58" s="52" customFormat="1" ht="11.25" x14ac:dyDescent="0.2">
      <c r="A193" s="115">
        <v>54103</v>
      </c>
      <c r="B193" s="116" t="s">
        <v>292</v>
      </c>
      <c r="C193" s="206"/>
      <c r="D193" s="206">
        <v>0</v>
      </c>
      <c r="E193" s="206">
        <v>0</v>
      </c>
      <c r="F193" s="206">
        <v>0</v>
      </c>
      <c r="G193" s="206">
        <v>0</v>
      </c>
      <c r="H193" s="719"/>
      <c r="I193" s="206">
        <v>0</v>
      </c>
      <c r="J193" s="206">
        <v>0</v>
      </c>
      <c r="K193" s="206"/>
      <c r="L193" s="206"/>
      <c r="M193" s="206">
        <v>0</v>
      </c>
      <c r="N193" s="406">
        <f t="shared" si="157"/>
        <v>0</v>
      </c>
      <c r="O193" s="875"/>
      <c r="P193" s="115">
        <v>54103</v>
      </c>
      <c r="Q193" s="116" t="s">
        <v>292</v>
      </c>
      <c r="R193" s="206">
        <v>0</v>
      </c>
      <c r="S193" s="206">
        <v>0</v>
      </c>
      <c r="T193" s="206">
        <v>0</v>
      </c>
      <c r="U193" s="206">
        <v>0</v>
      </c>
      <c r="V193" s="206"/>
      <c r="W193" s="206"/>
      <c r="X193" s="206">
        <v>0</v>
      </c>
      <c r="Y193" s="393">
        <v>0</v>
      </c>
      <c r="Z193" s="206">
        <v>0</v>
      </c>
      <c r="AA193" s="206">
        <v>0</v>
      </c>
      <c r="AB193" s="206">
        <v>0</v>
      </c>
      <c r="AC193" s="206"/>
      <c r="AD193" s="206">
        <v>0</v>
      </c>
      <c r="AE193" s="393">
        <v>0</v>
      </c>
      <c r="AF193" s="393"/>
      <c r="AG193" s="206">
        <v>0</v>
      </c>
      <c r="AH193" s="206"/>
      <c r="AI193" s="206"/>
      <c r="AJ193" s="597">
        <f t="shared" si="158"/>
        <v>0</v>
      </c>
      <c r="AK193" s="266"/>
      <c r="AL193" s="115">
        <v>54103</v>
      </c>
      <c r="AM193" s="116" t="s">
        <v>292</v>
      </c>
      <c r="AN193" s="206">
        <v>0</v>
      </c>
      <c r="AO193" s="393"/>
      <c r="AP193" s="393">
        <v>0</v>
      </c>
      <c r="AQ193" s="315">
        <f t="shared" si="159"/>
        <v>0</v>
      </c>
      <c r="AR193" s="875"/>
      <c r="AS193" s="115">
        <v>54103</v>
      </c>
      <c r="AT193" s="116" t="s">
        <v>292</v>
      </c>
      <c r="AU193" s="206"/>
      <c r="AV193" s="206"/>
      <c r="AW193" s="1081"/>
      <c r="AX193" s="206"/>
      <c r="AY193" s="206"/>
      <c r="AZ193" s="206"/>
      <c r="BA193" s="632"/>
      <c r="BB193" s="316">
        <f t="shared" si="160"/>
        <v>0</v>
      </c>
      <c r="BC193" s="875">
        <f t="shared" si="155"/>
        <v>0</v>
      </c>
      <c r="BD193" s="1088">
        <f t="shared" ref="BD193:BD211" si="161">BB193+AQ193+AJ193+N193</f>
        <v>0</v>
      </c>
      <c r="BE193" s="876"/>
      <c r="BF193" s="874"/>
    </row>
    <row r="194" spans="1:58" s="52" customFormat="1" ht="11.25" x14ac:dyDescent="0.2">
      <c r="A194" s="115">
        <v>54104</v>
      </c>
      <c r="B194" s="116" t="s">
        <v>293</v>
      </c>
      <c r="C194" s="206"/>
      <c r="D194" s="206">
        <v>0</v>
      </c>
      <c r="E194" s="206">
        <v>0</v>
      </c>
      <c r="F194" s="206">
        <v>0</v>
      </c>
      <c r="G194" s="206">
        <v>0</v>
      </c>
      <c r="H194" s="719"/>
      <c r="I194" s="206">
        <v>0</v>
      </c>
      <c r="J194" s="206">
        <v>0</v>
      </c>
      <c r="K194" s="206"/>
      <c r="L194" s="206"/>
      <c r="M194" s="206">
        <v>0</v>
      </c>
      <c r="N194" s="406">
        <f t="shared" si="157"/>
        <v>0</v>
      </c>
      <c r="O194" s="875"/>
      <c r="P194" s="115">
        <v>54104</v>
      </c>
      <c r="Q194" s="116" t="s">
        <v>293</v>
      </c>
      <c r="R194" s="206">
        <v>0</v>
      </c>
      <c r="S194" s="206">
        <v>0</v>
      </c>
      <c r="T194" s="206">
        <v>0</v>
      </c>
      <c r="U194" s="206">
        <v>0</v>
      </c>
      <c r="V194" s="206"/>
      <c r="W194" s="206"/>
      <c r="X194" s="206">
        <v>0</v>
      </c>
      <c r="Y194" s="393"/>
      <c r="Z194" s="206">
        <v>0</v>
      </c>
      <c r="AA194" s="206">
        <v>0</v>
      </c>
      <c r="AB194" s="206">
        <v>0</v>
      </c>
      <c r="AC194" s="206"/>
      <c r="AD194" s="206"/>
      <c r="AE194" s="393">
        <v>0</v>
      </c>
      <c r="AF194" s="393"/>
      <c r="AG194" s="206">
        <v>0</v>
      </c>
      <c r="AH194" s="206"/>
      <c r="AI194" s="206"/>
      <c r="AJ194" s="597">
        <f t="shared" si="158"/>
        <v>0</v>
      </c>
      <c r="AK194" s="266"/>
      <c r="AL194" s="115">
        <v>54104</v>
      </c>
      <c r="AM194" s="116" t="s">
        <v>293</v>
      </c>
      <c r="AN194" s="206">
        <v>0</v>
      </c>
      <c r="AO194" s="393"/>
      <c r="AP194" s="393">
        <v>0</v>
      </c>
      <c r="AQ194" s="315">
        <f t="shared" si="159"/>
        <v>0</v>
      </c>
      <c r="AR194" s="875"/>
      <c r="AS194" s="115">
        <v>54104</v>
      </c>
      <c r="AT194" s="116" t="s">
        <v>293</v>
      </c>
      <c r="AU194" s="206"/>
      <c r="AV194" s="206"/>
      <c r="AW194" s="1081"/>
      <c r="AX194" s="206"/>
      <c r="AY194" s="206"/>
      <c r="AZ194" s="206"/>
      <c r="BA194" s="632"/>
      <c r="BB194" s="316">
        <f t="shared" si="160"/>
        <v>0</v>
      </c>
      <c r="BC194" s="875">
        <f t="shared" si="155"/>
        <v>0</v>
      </c>
      <c r="BD194" s="1088">
        <f t="shared" si="161"/>
        <v>0</v>
      </c>
      <c r="BE194" s="876"/>
      <c r="BF194" s="874"/>
    </row>
    <row r="195" spans="1:58" s="52" customFormat="1" ht="11.25" x14ac:dyDescent="0.2">
      <c r="A195" s="115">
        <v>54105</v>
      </c>
      <c r="B195" s="116" t="s">
        <v>294</v>
      </c>
      <c r="C195" s="598"/>
      <c r="D195" s="317"/>
      <c r="E195" s="317"/>
      <c r="F195" s="317"/>
      <c r="G195" s="317"/>
      <c r="H195" s="720"/>
      <c r="I195" s="317"/>
      <c r="J195" s="317"/>
      <c r="K195" s="317"/>
      <c r="L195" s="317"/>
      <c r="M195" s="317"/>
      <c r="N195" s="406">
        <f t="shared" si="157"/>
        <v>0</v>
      </c>
      <c r="O195" s="875"/>
      <c r="P195" s="115">
        <v>54105</v>
      </c>
      <c r="Q195" s="116" t="s">
        <v>294</v>
      </c>
      <c r="R195" s="317">
        <f>R13*0.5</f>
        <v>0</v>
      </c>
      <c r="S195" s="317"/>
      <c r="T195" s="317"/>
      <c r="U195" s="317"/>
      <c r="V195" s="317"/>
      <c r="W195" s="317"/>
      <c r="X195" s="317"/>
      <c r="Y195" s="317"/>
      <c r="Z195" s="317"/>
      <c r="AA195" s="317"/>
      <c r="AB195" s="317"/>
      <c r="AC195" s="317"/>
      <c r="AD195" s="317"/>
      <c r="AE195" s="317"/>
      <c r="AF195" s="317"/>
      <c r="AG195" s="317"/>
      <c r="AH195" s="317"/>
      <c r="AI195" s="317"/>
      <c r="AJ195" s="597">
        <f t="shared" si="158"/>
        <v>0</v>
      </c>
      <c r="AK195" s="266"/>
      <c r="AL195" s="115">
        <v>54105</v>
      </c>
      <c r="AM195" s="116" t="s">
        <v>294</v>
      </c>
      <c r="AN195" s="317">
        <v>0</v>
      </c>
      <c r="AO195" s="644"/>
      <c r="AP195" s="644">
        <v>0</v>
      </c>
      <c r="AQ195" s="315">
        <f t="shared" si="159"/>
        <v>0</v>
      </c>
      <c r="AR195" s="875"/>
      <c r="AS195" s="115">
        <v>54105</v>
      </c>
      <c r="AT195" s="116" t="s">
        <v>294</v>
      </c>
      <c r="AU195" s="317"/>
      <c r="AV195" s="317"/>
      <c r="AW195" s="1082"/>
      <c r="AX195" s="317"/>
      <c r="AY195" s="317"/>
      <c r="AZ195" s="317"/>
      <c r="BA195" s="633"/>
      <c r="BB195" s="316">
        <f t="shared" si="160"/>
        <v>0</v>
      </c>
      <c r="BC195" s="875">
        <f t="shared" si="155"/>
        <v>0</v>
      </c>
      <c r="BD195" s="1088">
        <f t="shared" si="161"/>
        <v>0</v>
      </c>
      <c r="BE195" s="876"/>
      <c r="BF195" s="874"/>
    </row>
    <row r="196" spans="1:58" s="52" customFormat="1" ht="11.25" x14ac:dyDescent="0.2">
      <c r="A196" s="115">
        <v>54106</v>
      </c>
      <c r="B196" s="116" t="s">
        <v>295</v>
      </c>
      <c r="C196" s="206"/>
      <c r="D196" s="206"/>
      <c r="E196" s="206"/>
      <c r="F196" s="206"/>
      <c r="G196" s="206"/>
      <c r="H196" s="719"/>
      <c r="I196" s="206"/>
      <c r="J196" s="206"/>
      <c r="K196" s="206"/>
      <c r="L196" s="206"/>
      <c r="M196" s="206"/>
      <c r="N196" s="406">
        <f t="shared" si="157"/>
        <v>0</v>
      </c>
      <c r="O196" s="875"/>
      <c r="P196" s="115">
        <v>54106</v>
      </c>
      <c r="Q196" s="116" t="s">
        <v>295</v>
      </c>
      <c r="R196" s="206">
        <v>0</v>
      </c>
      <c r="S196" s="206"/>
      <c r="T196" s="206"/>
      <c r="U196" s="206"/>
      <c r="V196" s="206"/>
      <c r="W196" s="206"/>
      <c r="X196" s="206"/>
      <c r="Y196" s="393"/>
      <c r="Z196" s="206"/>
      <c r="AA196" s="206"/>
      <c r="AB196" s="206"/>
      <c r="AC196" s="206"/>
      <c r="AD196" s="206"/>
      <c r="AE196" s="393"/>
      <c r="AF196" s="393"/>
      <c r="AG196" s="206"/>
      <c r="AH196" s="206"/>
      <c r="AI196" s="206"/>
      <c r="AJ196" s="597">
        <f t="shared" si="158"/>
        <v>0</v>
      </c>
      <c r="AK196" s="266"/>
      <c r="AL196" s="115">
        <v>54106</v>
      </c>
      <c r="AM196" s="116" t="s">
        <v>295</v>
      </c>
      <c r="AN196" s="206">
        <v>0</v>
      </c>
      <c r="AO196" s="393"/>
      <c r="AP196" s="393">
        <v>0</v>
      </c>
      <c r="AQ196" s="315">
        <f t="shared" si="159"/>
        <v>0</v>
      </c>
      <c r="AR196" s="875"/>
      <c r="AS196" s="115">
        <v>54106</v>
      </c>
      <c r="AT196" s="116" t="s">
        <v>295</v>
      </c>
      <c r="AU196" s="206"/>
      <c r="AV196" s="206"/>
      <c r="AW196" s="1081"/>
      <c r="AX196" s="206"/>
      <c r="AY196" s="206"/>
      <c r="AZ196" s="206"/>
      <c r="BA196" s="632"/>
      <c r="BB196" s="316">
        <f t="shared" si="160"/>
        <v>0</v>
      </c>
      <c r="BC196" s="875">
        <f t="shared" si="155"/>
        <v>0</v>
      </c>
      <c r="BD196" s="1088">
        <f t="shared" si="161"/>
        <v>0</v>
      </c>
      <c r="BE196" s="876"/>
      <c r="BF196" s="874"/>
    </row>
    <row r="197" spans="1:58" s="52" customFormat="1" ht="11.25" x14ac:dyDescent="0.2">
      <c r="A197" s="115">
        <v>54107</v>
      </c>
      <c r="B197" s="116" t="s">
        <v>420</v>
      </c>
      <c r="C197" s="318"/>
      <c r="D197" s="318"/>
      <c r="E197" s="318"/>
      <c r="F197" s="318"/>
      <c r="G197" s="318"/>
      <c r="H197" s="719"/>
      <c r="I197" s="318"/>
      <c r="J197" s="318"/>
      <c r="K197" s="318"/>
      <c r="L197" s="318"/>
      <c r="M197" s="318"/>
      <c r="N197" s="406">
        <f t="shared" si="157"/>
        <v>0</v>
      </c>
      <c r="O197" s="875"/>
      <c r="P197" s="115">
        <v>54107</v>
      </c>
      <c r="Q197" s="116" t="s">
        <v>420</v>
      </c>
      <c r="R197" s="318">
        <v>0</v>
      </c>
      <c r="S197" s="318"/>
      <c r="T197" s="318"/>
      <c r="U197" s="318"/>
      <c r="V197" s="318"/>
      <c r="W197" s="318"/>
      <c r="X197" s="318"/>
      <c r="Y197" s="394"/>
      <c r="Z197" s="318"/>
      <c r="AA197" s="318"/>
      <c r="AB197" s="318"/>
      <c r="AC197" s="318"/>
      <c r="AD197" s="318"/>
      <c r="AE197" s="394"/>
      <c r="AF197" s="732"/>
      <c r="AG197" s="643"/>
      <c r="AH197" s="643"/>
      <c r="AI197" s="643"/>
      <c r="AJ197" s="597">
        <f t="shared" si="158"/>
        <v>0</v>
      </c>
      <c r="AK197" s="266"/>
      <c r="AL197" s="115">
        <v>54107</v>
      </c>
      <c r="AM197" s="116" t="s">
        <v>420</v>
      </c>
      <c r="AN197" s="318">
        <v>0</v>
      </c>
      <c r="AO197" s="394"/>
      <c r="AP197" s="394">
        <v>0</v>
      </c>
      <c r="AQ197" s="315">
        <f t="shared" si="159"/>
        <v>0</v>
      </c>
      <c r="AR197" s="875"/>
      <c r="AS197" s="115">
        <v>54107</v>
      </c>
      <c r="AT197" s="116" t="s">
        <v>420</v>
      </c>
      <c r="AU197" s="318"/>
      <c r="AV197" s="318"/>
      <c r="AW197" s="1083"/>
      <c r="AX197" s="318"/>
      <c r="AY197" s="318"/>
      <c r="AZ197" s="318"/>
      <c r="BA197" s="630"/>
      <c r="BB197" s="316">
        <f t="shared" si="160"/>
        <v>0</v>
      </c>
      <c r="BC197" s="875">
        <f t="shared" si="155"/>
        <v>0</v>
      </c>
      <c r="BD197" s="1088">
        <f t="shared" si="161"/>
        <v>0</v>
      </c>
      <c r="BE197" s="876"/>
      <c r="BF197" s="874"/>
    </row>
    <row r="198" spans="1:58" s="52" customFormat="1" ht="11.25" x14ac:dyDescent="0.2">
      <c r="A198" s="115">
        <v>54108</v>
      </c>
      <c r="B198" s="116" t="s">
        <v>297</v>
      </c>
      <c r="C198" s="318"/>
      <c r="D198" s="318"/>
      <c r="E198" s="318"/>
      <c r="F198" s="318"/>
      <c r="G198" s="318"/>
      <c r="H198" s="719"/>
      <c r="I198" s="318"/>
      <c r="J198" s="318"/>
      <c r="K198" s="318"/>
      <c r="L198" s="318"/>
      <c r="M198" s="318"/>
      <c r="N198" s="406">
        <f t="shared" si="157"/>
        <v>0</v>
      </c>
      <c r="O198" s="875"/>
      <c r="P198" s="115">
        <v>54108</v>
      </c>
      <c r="Q198" s="116" t="s">
        <v>297</v>
      </c>
      <c r="R198" s="318"/>
      <c r="S198" s="318"/>
      <c r="T198" s="318"/>
      <c r="U198" s="318"/>
      <c r="V198" s="318"/>
      <c r="W198" s="318"/>
      <c r="X198" s="318"/>
      <c r="Y198" s="394"/>
      <c r="Z198" s="318"/>
      <c r="AA198" s="318"/>
      <c r="AB198" s="318"/>
      <c r="AC198" s="318"/>
      <c r="AD198" s="318"/>
      <c r="AE198" s="394"/>
      <c r="AF198" s="394"/>
      <c r="AG198" s="318"/>
      <c r="AH198" s="318"/>
      <c r="AI198" s="318"/>
      <c r="AJ198" s="597">
        <f t="shared" si="158"/>
        <v>0</v>
      </c>
      <c r="AK198" s="266"/>
      <c r="AL198" s="115">
        <v>54108</v>
      </c>
      <c r="AM198" s="116" t="s">
        <v>297</v>
      </c>
      <c r="AN198" s="318"/>
      <c r="AO198" s="394"/>
      <c r="AP198" s="394"/>
      <c r="AQ198" s="315">
        <f t="shared" si="159"/>
        <v>0</v>
      </c>
      <c r="AR198" s="875"/>
      <c r="AS198" s="115">
        <v>54108</v>
      </c>
      <c r="AT198" s="116" t="s">
        <v>297</v>
      </c>
      <c r="AU198" s="318"/>
      <c r="AV198" s="318"/>
      <c r="AW198" s="1083"/>
      <c r="AX198" s="318"/>
      <c r="AY198" s="318"/>
      <c r="AZ198" s="318"/>
      <c r="BA198" s="630"/>
      <c r="BB198" s="316">
        <f t="shared" si="160"/>
        <v>0</v>
      </c>
      <c r="BC198" s="875">
        <f t="shared" si="155"/>
        <v>0</v>
      </c>
      <c r="BD198" s="1088">
        <f t="shared" si="161"/>
        <v>0</v>
      </c>
      <c r="BE198" s="876"/>
      <c r="BF198" s="874"/>
    </row>
    <row r="199" spans="1:58" s="52" customFormat="1" ht="11.25" x14ac:dyDescent="0.2">
      <c r="A199" s="115">
        <v>54109</v>
      </c>
      <c r="B199" s="116" t="s">
        <v>298</v>
      </c>
      <c r="C199" s="318"/>
      <c r="D199" s="318"/>
      <c r="E199" s="318"/>
      <c r="F199" s="318"/>
      <c r="G199" s="318"/>
      <c r="H199" s="719"/>
      <c r="I199" s="318"/>
      <c r="J199" s="318"/>
      <c r="K199" s="318"/>
      <c r="L199" s="318"/>
      <c r="M199" s="318"/>
      <c r="N199" s="406">
        <f t="shared" si="157"/>
        <v>0</v>
      </c>
      <c r="O199" s="875"/>
      <c r="P199" s="115">
        <v>54109</v>
      </c>
      <c r="Q199" s="116" t="s">
        <v>298</v>
      </c>
      <c r="R199" s="318">
        <v>0</v>
      </c>
      <c r="S199" s="318"/>
      <c r="T199" s="318"/>
      <c r="U199" s="318"/>
      <c r="V199" s="318"/>
      <c r="W199" s="318"/>
      <c r="X199" s="318"/>
      <c r="Y199" s="394"/>
      <c r="Z199" s="318"/>
      <c r="AA199" s="318"/>
      <c r="AB199" s="318"/>
      <c r="AC199" s="318"/>
      <c r="AD199" s="318"/>
      <c r="AE199" s="394"/>
      <c r="AF199" s="394"/>
      <c r="AG199" s="318"/>
      <c r="AH199" s="318"/>
      <c r="AI199" s="318"/>
      <c r="AJ199" s="597">
        <f t="shared" si="158"/>
        <v>0</v>
      </c>
      <c r="AK199" s="266"/>
      <c r="AL199" s="115">
        <v>54109</v>
      </c>
      <c r="AM199" s="116" t="s">
        <v>298</v>
      </c>
      <c r="AN199" s="318">
        <v>12000</v>
      </c>
      <c r="AO199" s="394"/>
      <c r="AP199" s="394">
        <v>0</v>
      </c>
      <c r="AQ199" s="315">
        <f t="shared" si="159"/>
        <v>12000</v>
      </c>
      <c r="AR199" s="875"/>
      <c r="AS199" s="115">
        <v>54109</v>
      </c>
      <c r="AT199" s="116" t="s">
        <v>298</v>
      </c>
      <c r="AU199" s="318"/>
      <c r="AV199" s="318"/>
      <c r="AW199" s="1083"/>
      <c r="AX199" s="318">
        <v>25000</v>
      </c>
      <c r="AY199" s="318"/>
      <c r="AZ199" s="318"/>
      <c r="BA199" s="630"/>
      <c r="BB199" s="316">
        <f t="shared" si="160"/>
        <v>25000</v>
      </c>
      <c r="BC199" s="875">
        <f t="shared" si="155"/>
        <v>25000</v>
      </c>
      <c r="BD199" s="1088">
        <f t="shared" si="161"/>
        <v>37000</v>
      </c>
      <c r="BE199" s="876"/>
      <c r="BF199" s="874"/>
    </row>
    <row r="200" spans="1:58" s="52" customFormat="1" ht="11.25" x14ac:dyDescent="0.2">
      <c r="A200" s="115">
        <v>54110</v>
      </c>
      <c r="B200" s="116" t="s">
        <v>391</v>
      </c>
      <c r="C200" s="318"/>
      <c r="D200" s="318"/>
      <c r="E200" s="318"/>
      <c r="F200" s="318"/>
      <c r="G200" s="318"/>
      <c r="H200" s="719"/>
      <c r="I200" s="318"/>
      <c r="J200" s="318"/>
      <c r="K200" s="318"/>
      <c r="L200" s="318"/>
      <c r="M200" s="318"/>
      <c r="N200" s="406">
        <f t="shared" si="157"/>
        <v>0</v>
      </c>
      <c r="O200" s="875"/>
      <c r="P200" s="115">
        <v>54110</v>
      </c>
      <c r="Q200" s="116" t="s">
        <v>391</v>
      </c>
      <c r="R200" s="318"/>
      <c r="S200" s="318"/>
      <c r="T200" s="318"/>
      <c r="U200" s="318"/>
      <c r="V200" s="318"/>
      <c r="W200" s="318"/>
      <c r="X200" s="318"/>
      <c r="Y200" s="394"/>
      <c r="Z200" s="318"/>
      <c r="AA200" s="318"/>
      <c r="AB200" s="318"/>
      <c r="AC200" s="318"/>
      <c r="AD200" s="318"/>
      <c r="AE200" s="394"/>
      <c r="AF200" s="394"/>
      <c r="AG200" s="318"/>
      <c r="AH200" s="318"/>
      <c r="AI200" s="318"/>
      <c r="AJ200" s="597">
        <f t="shared" si="158"/>
        <v>0</v>
      </c>
      <c r="AK200" s="266"/>
      <c r="AL200" s="115">
        <v>54110</v>
      </c>
      <c r="AM200" s="116" t="s">
        <v>391</v>
      </c>
      <c r="AN200" s="318">
        <v>42000</v>
      </c>
      <c r="AO200" s="394"/>
      <c r="AP200" s="394"/>
      <c r="AQ200" s="315">
        <f t="shared" si="159"/>
        <v>42000</v>
      </c>
      <c r="AR200" s="875"/>
      <c r="AS200" s="115">
        <v>54110</v>
      </c>
      <c r="AT200" s="116" t="s">
        <v>391</v>
      </c>
      <c r="AU200" s="318"/>
      <c r="AV200" s="318"/>
      <c r="AW200" s="1083"/>
      <c r="AX200" s="318">
        <v>42000</v>
      </c>
      <c r="AY200" s="318"/>
      <c r="AZ200" s="318"/>
      <c r="BA200" s="630"/>
      <c r="BB200" s="316">
        <f t="shared" si="160"/>
        <v>42000</v>
      </c>
      <c r="BC200" s="875">
        <f t="shared" si="155"/>
        <v>42000</v>
      </c>
      <c r="BD200" s="1088">
        <f t="shared" si="161"/>
        <v>84000</v>
      </c>
      <c r="BE200" s="876"/>
      <c r="BF200" s="874"/>
    </row>
    <row r="201" spans="1:58" s="52" customFormat="1" ht="11.25" x14ac:dyDescent="0.2">
      <c r="A201" s="115">
        <v>54111</v>
      </c>
      <c r="B201" s="116" t="s">
        <v>299</v>
      </c>
      <c r="C201" s="318"/>
      <c r="D201" s="318"/>
      <c r="E201" s="318"/>
      <c r="F201" s="318"/>
      <c r="G201" s="318"/>
      <c r="H201" s="719"/>
      <c r="I201" s="318"/>
      <c r="J201" s="318"/>
      <c r="K201" s="318"/>
      <c r="L201" s="318"/>
      <c r="M201" s="318"/>
      <c r="N201" s="406">
        <f t="shared" si="157"/>
        <v>0</v>
      </c>
      <c r="O201" s="875"/>
      <c r="P201" s="115">
        <v>54111</v>
      </c>
      <c r="Q201" s="116" t="s">
        <v>299</v>
      </c>
      <c r="R201" s="318"/>
      <c r="S201" s="318"/>
      <c r="T201" s="318"/>
      <c r="U201" s="318"/>
      <c r="V201" s="318"/>
      <c r="W201" s="318"/>
      <c r="X201" s="318"/>
      <c r="Y201" s="394"/>
      <c r="Z201" s="318"/>
      <c r="AA201" s="318"/>
      <c r="AB201" s="318"/>
      <c r="AC201" s="318"/>
      <c r="AD201" s="318"/>
      <c r="AE201" s="394"/>
      <c r="AF201" s="394"/>
      <c r="AG201" s="318"/>
      <c r="AH201" s="318"/>
      <c r="AI201" s="318"/>
      <c r="AJ201" s="597">
        <f t="shared" si="158"/>
        <v>0</v>
      </c>
      <c r="AK201" s="266"/>
      <c r="AL201" s="115">
        <v>54111</v>
      </c>
      <c r="AM201" s="116" t="s">
        <v>299</v>
      </c>
      <c r="AN201" s="318"/>
      <c r="AO201" s="394"/>
      <c r="AP201" s="394"/>
      <c r="AQ201" s="315">
        <f t="shared" si="159"/>
        <v>0</v>
      </c>
      <c r="AR201" s="875"/>
      <c r="AS201" s="115">
        <v>54111</v>
      </c>
      <c r="AT201" s="116" t="s">
        <v>299</v>
      </c>
      <c r="AU201" s="318"/>
      <c r="AV201" s="318"/>
      <c r="AW201" s="1083"/>
      <c r="AX201" s="318"/>
      <c r="AY201" s="318"/>
      <c r="AZ201" s="318"/>
      <c r="BA201" s="630"/>
      <c r="BB201" s="316">
        <f t="shared" si="160"/>
        <v>0</v>
      </c>
      <c r="BC201" s="875">
        <f t="shared" si="155"/>
        <v>0</v>
      </c>
      <c r="BD201" s="1088">
        <f t="shared" si="161"/>
        <v>0</v>
      </c>
      <c r="BE201" s="876"/>
      <c r="BF201" s="874"/>
    </row>
    <row r="202" spans="1:58" s="52" customFormat="1" ht="11.25" x14ac:dyDescent="0.2">
      <c r="A202" s="115">
        <v>54112</v>
      </c>
      <c r="B202" s="116" t="s">
        <v>300</v>
      </c>
      <c r="C202" s="318"/>
      <c r="D202" s="318"/>
      <c r="E202" s="318"/>
      <c r="F202" s="318"/>
      <c r="G202" s="318"/>
      <c r="H202" s="719"/>
      <c r="I202" s="318"/>
      <c r="J202" s="318"/>
      <c r="K202" s="318"/>
      <c r="L202" s="318"/>
      <c r="M202" s="318"/>
      <c r="N202" s="406">
        <f t="shared" si="157"/>
        <v>0</v>
      </c>
      <c r="O202" s="875"/>
      <c r="P202" s="115">
        <v>54112</v>
      </c>
      <c r="Q202" s="116" t="s">
        <v>300</v>
      </c>
      <c r="R202" s="318"/>
      <c r="S202" s="318"/>
      <c r="T202" s="318"/>
      <c r="U202" s="318"/>
      <c r="V202" s="318"/>
      <c r="W202" s="318"/>
      <c r="X202" s="318"/>
      <c r="Y202" s="394"/>
      <c r="Z202" s="318"/>
      <c r="AA202" s="318"/>
      <c r="AB202" s="318"/>
      <c r="AC202" s="318"/>
      <c r="AD202" s="318"/>
      <c r="AE202" s="394"/>
      <c r="AF202" s="394"/>
      <c r="AG202" s="318"/>
      <c r="AH202" s="318"/>
      <c r="AI202" s="318"/>
      <c r="AJ202" s="597">
        <f t="shared" si="158"/>
        <v>0</v>
      </c>
      <c r="AK202" s="266"/>
      <c r="AL202" s="115">
        <v>54112</v>
      </c>
      <c r="AM202" s="116" t="s">
        <v>300</v>
      </c>
      <c r="AN202" s="318"/>
      <c r="AO202" s="394"/>
      <c r="AP202" s="394"/>
      <c r="AQ202" s="315">
        <f t="shared" si="159"/>
        <v>0</v>
      </c>
      <c r="AR202" s="875"/>
      <c r="AS202" s="115">
        <v>54112</v>
      </c>
      <c r="AT202" s="116" t="s">
        <v>300</v>
      </c>
      <c r="AU202" s="318"/>
      <c r="AV202" s="318"/>
      <c r="AW202" s="1083"/>
      <c r="AX202" s="318"/>
      <c r="AY202" s="318"/>
      <c r="AZ202" s="318"/>
      <c r="BA202" s="630"/>
      <c r="BB202" s="316">
        <f t="shared" si="160"/>
        <v>0</v>
      </c>
      <c r="BC202" s="875">
        <f t="shared" si="155"/>
        <v>0</v>
      </c>
      <c r="BD202" s="1088">
        <f t="shared" si="161"/>
        <v>0</v>
      </c>
      <c r="BE202" s="876"/>
      <c r="BF202" s="874"/>
    </row>
    <row r="203" spans="1:58" s="52" customFormat="1" ht="11.25" x14ac:dyDescent="0.2">
      <c r="A203" s="115">
        <v>54113</v>
      </c>
      <c r="B203" s="116" t="s">
        <v>923</v>
      </c>
      <c r="C203" s="318"/>
      <c r="D203" s="318"/>
      <c r="E203" s="318"/>
      <c r="F203" s="318"/>
      <c r="G203" s="318"/>
      <c r="H203" s="719"/>
      <c r="I203" s="318"/>
      <c r="J203" s="318"/>
      <c r="K203" s="318"/>
      <c r="L203" s="318"/>
      <c r="M203" s="318"/>
      <c r="N203" s="406"/>
      <c r="O203" s="875"/>
      <c r="P203" s="115"/>
      <c r="Q203" s="116"/>
      <c r="R203" s="318"/>
      <c r="S203" s="318"/>
      <c r="T203" s="318"/>
      <c r="U203" s="318"/>
      <c r="V203" s="318"/>
      <c r="W203" s="318"/>
      <c r="X203" s="318"/>
      <c r="Y203" s="394"/>
      <c r="Z203" s="318"/>
      <c r="AA203" s="318"/>
      <c r="AB203" s="318"/>
      <c r="AC203" s="318"/>
      <c r="AD203" s="318"/>
      <c r="AE203" s="394"/>
      <c r="AF203" s="394"/>
      <c r="AG203" s="318"/>
      <c r="AH203" s="318"/>
      <c r="AI203" s="318"/>
      <c r="AJ203" s="597"/>
      <c r="AK203" s="266"/>
      <c r="AL203" s="115"/>
      <c r="AM203" s="116"/>
      <c r="AN203" s="318"/>
      <c r="AO203" s="394"/>
      <c r="AP203" s="394"/>
      <c r="AQ203" s="315"/>
      <c r="AR203" s="875"/>
      <c r="AS203" s="115">
        <v>54113</v>
      </c>
      <c r="AT203" s="116"/>
      <c r="AU203" s="318"/>
      <c r="AV203" s="318"/>
      <c r="AW203" s="1083"/>
      <c r="AX203" s="318"/>
      <c r="AY203" s="318"/>
      <c r="AZ203" s="318"/>
      <c r="BA203" s="630"/>
      <c r="BB203" s="316"/>
      <c r="BC203" s="875"/>
      <c r="BD203" s="1088"/>
      <c r="BE203" s="876"/>
      <c r="BF203" s="874"/>
    </row>
    <row r="204" spans="1:58" s="52" customFormat="1" ht="11.25" x14ac:dyDescent="0.2">
      <c r="A204" s="115">
        <v>54114</v>
      </c>
      <c r="B204" s="116" t="s">
        <v>301</v>
      </c>
      <c r="C204" s="318"/>
      <c r="D204" s="318"/>
      <c r="E204" s="318"/>
      <c r="F204" s="318"/>
      <c r="G204" s="318"/>
      <c r="H204" s="719"/>
      <c r="I204" s="318"/>
      <c r="J204" s="318"/>
      <c r="K204" s="318"/>
      <c r="L204" s="318"/>
      <c r="M204" s="318"/>
      <c r="N204" s="406">
        <f t="shared" si="157"/>
        <v>0</v>
      </c>
      <c r="O204" s="875"/>
      <c r="P204" s="115">
        <v>54114</v>
      </c>
      <c r="Q204" s="116" t="s">
        <v>301</v>
      </c>
      <c r="R204" s="318">
        <v>0</v>
      </c>
      <c r="S204" s="318"/>
      <c r="T204" s="318"/>
      <c r="U204" s="318"/>
      <c r="V204" s="318"/>
      <c r="W204" s="318"/>
      <c r="X204" s="318"/>
      <c r="Y204" s="318"/>
      <c r="Z204" s="318"/>
      <c r="AA204" s="318"/>
      <c r="AB204" s="318"/>
      <c r="AC204" s="318"/>
      <c r="AD204" s="318"/>
      <c r="AE204" s="318"/>
      <c r="AF204" s="318"/>
      <c r="AG204" s="318"/>
      <c r="AH204" s="318"/>
      <c r="AI204" s="318"/>
      <c r="AJ204" s="597">
        <f t="shared" si="158"/>
        <v>0</v>
      </c>
      <c r="AK204" s="266"/>
      <c r="AL204" s="115">
        <v>54114</v>
      </c>
      <c r="AM204" s="116" t="s">
        <v>301</v>
      </c>
      <c r="AN204" s="318">
        <v>0</v>
      </c>
      <c r="AO204" s="394"/>
      <c r="AP204" s="394">
        <v>0</v>
      </c>
      <c r="AQ204" s="315">
        <f t="shared" si="159"/>
        <v>0</v>
      </c>
      <c r="AR204" s="875"/>
      <c r="AS204" s="115">
        <v>54114</v>
      </c>
      <c r="AT204" s="116" t="s">
        <v>301</v>
      </c>
      <c r="AU204" s="318"/>
      <c r="AV204" s="318"/>
      <c r="AW204" s="1083"/>
      <c r="AX204" s="318"/>
      <c r="AY204" s="318"/>
      <c r="AZ204" s="318"/>
      <c r="BA204" s="630"/>
      <c r="BB204" s="316">
        <f t="shared" si="160"/>
        <v>0</v>
      </c>
      <c r="BC204" s="875">
        <f t="shared" si="155"/>
        <v>0</v>
      </c>
      <c r="BD204" s="1088">
        <f t="shared" si="161"/>
        <v>0</v>
      </c>
      <c r="BE204" s="876"/>
      <c r="BF204" s="874"/>
    </row>
    <row r="205" spans="1:58" s="52" customFormat="1" ht="11.25" x14ac:dyDescent="0.2">
      <c r="A205" s="115">
        <v>54115</v>
      </c>
      <c r="B205" s="116" t="s">
        <v>302</v>
      </c>
      <c r="C205" s="318"/>
      <c r="D205" s="318"/>
      <c r="E205" s="318"/>
      <c r="F205" s="318"/>
      <c r="G205" s="318"/>
      <c r="H205" s="719"/>
      <c r="I205" s="318"/>
      <c r="J205" s="318"/>
      <c r="K205" s="318"/>
      <c r="L205" s="318"/>
      <c r="M205" s="318"/>
      <c r="N205" s="406">
        <f t="shared" si="157"/>
        <v>0</v>
      </c>
      <c r="O205" s="875"/>
      <c r="P205" s="115">
        <v>54115</v>
      </c>
      <c r="Q205" s="116" t="s">
        <v>302</v>
      </c>
      <c r="R205" s="318">
        <f>R23*0.5</f>
        <v>0</v>
      </c>
      <c r="S205" s="318"/>
      <c r="T205" s="318"/>
      <c r="U205" s="318"/>
      <c r="V205" s="318"/>
      <c r="W205" s="318"/>
      <c r="X205" s="318"/>
      <c r="Y205" s="318"/>
      <c r="Z205" s="318"/>
      <c r="AA205" s="318"/>
      <c r="AB205" s="318"/>
      <c r="AC205" s="318"/>
      <c r="AD205" s="318"/>
      <c r="AE205" s="318"/>
      <c r="AF205" s="318"/>
      <c r="AG205" s="318"/>
      <c r="AH205" s="318"/>
      <c r="AI205" s="318"/>
      <c r="AJ205" s="597">
        <f t="shared" si="158"/>
        <v>0</v>
      </c>
      <c r="AK205" s="266"/>
      <c r="AL205" s="115">
        <v>54115</v>
      </c>
      <c r="AM205" s="116" t="s">
        <v>302</v>
      </c>
      <c r="AN205" s="318">
        <v>0</v>
      </c>
      <c r="AO205" s="394"/>
      <c r="AP205" s="394">
        <v>0</v>
      </c>
      <c r="AQ205" s="315">
        <f t="shared" si="159"/>
        <v>0</v>
      </c>
      <c r="AR205" s="875"/>
      <c r="AS205" s="115">
        <v>54115</v>
      </c>
      <c r="AT205" s="116" t="s">
        <v>302</v>
      </c>
      <c r="AU205" s="318"/>
      <c r="AV205" s="318"/>
      <c r="AW205" s="1083"/>
      <c r="AX205" s="318"/>
      <c r="AY205" s="318"/>
      <c r="AZ205" s="318"/>
      <c r="BA205" s="630"/>
      <c r="BB205" s="316">
        <f t="shared" si="160"/>
        <v>0</v>
      </c>
      <c r="BC205" s="875">
        <f t="shared" si="155"/>
        <v>0</v>
      </c>
      <c r="BD205" s="1088">
        <f t="shared" si="161"/>
        <v>0</v>
      </c>
      <c r="BE205" s="876"/>
      <c r="BF205" s="874"/>
    </row>
    <row r="206" spans="1:58" s="52" customFormat="1" ht="11.25" x14ac:dyDescent="0.2">
      <c r="A206" s="115">
        <v>54116</v>
      </c>
      <c r="B206" s="116" t="s">
        <v>303</v>
      </c>
      <c r="C206" s="318"/>
      <c r="D206" s="318"/>
      <c r="E206" s="318"/>
      <c r="F206" s="318"/>
      <c r="G206" s="318"/>
      <c r="H206" s="719"/>
      <c r="I206" s="318"/>
      <c r="J206" s="318"/>
      <c r="K206" s="318"/>
      <c r="L206" s="318"/>
      <c r="M206" s="318"/>
      <c r="N206" s="406">
        <f t="shared" si="157"/>
        <v>0</v>
      </c>
      <c r="O206" s="875"/>
      <c r="P206" s="115">
        <v>54116</v>
      </c>
      <c r="Q206" s="116" t="s">
        <v>303</v>
      </c>
      <c r="R206" s="318"/>
      <c r="S206" s="318"/>
      <c r="T206" s="318"/>
      <c r="U206" s="318"/>
      <c r="V206" s="318"/>
      <c r="W206" s="318"/>
      <c r="X206" s="318"/>
      <c r="Y206" s="394"/>
      <c r="Z206" s="318"/>
      <c r="AA206" s="318"/>
      <c r="AB206" s="318"/>
      <c r="AC206" s="318"/>
      <c r="AD206" s="318"/>
      <c r="AE206" s="394"/>
      <c r="AF206" s="394"/>
      <c r="AG206" s="318"/>
      <c r="AH206" s="318"/>
      <c r="AI206" s="318"/>
      <c r="AJ206" s="597">
        <f t="shared" si="158"/>
        <v>0</v>
      </c>
      <c r="AK206" s="266"/>
      <c r="AL206" s="115">
        <v>54116</v>
      </c>
      <c r="AM206" s="116" t="s">
        <v>303</v>
      </c>
      <c r="AN206" s="318"/>
      <c r="AO206" s="394"/>
      <c r="AP206" s="394"/>
      <c r="AQ206" s="315">
        <f t="shared" si="159"/>
        <v>0</v>
      </c>
      <c r="AR206" s="875"/>
      <c r="AS206" s="115">
        <v>54116</v>
      </c>
      <c r="AT206" s="116" t="s">
        <v>303</v>
      </c>
      <c r="AU206" s="318"/>
      <c r="AV206" s="318"/>
      <c r="AW206" s="1083"/>
      <c r="AX206" s="318"/>
      <c r="AY206" s="318"/>
      <c r="AZ206" s="318"/>
      <c r="BA206" s="630"/>
      <c r="BB206" s="316">
        <f t="shared" si="160"/>
        <v>0</v>
      </c>
      <c r="BC206" s="875">
        <f t="shared" si="155"/>
        <v>0</v>
      </c>
      <c r="BD206" s="1088">
        <f t="shared" si="161"/>
        <v>0</v>
      </c>
      <c r="BE206" s="876"/>
      <c r="BF206" s="874"/>
    </row>
    <row r="207" spans="1:58" s="52" customFormat="1" ht="11.25" x14ac:dyDescent="0.2">
      <c r="A207" s="115">
        <v>54117</v>
      </c>
      <c r="B207" s="116" t="s">
        <v>304</v>
      </c>
      <c r="C207" s="318"/>
      <c r="D207" s="318"/>
      <c r="E207" s="318"/>
      <c r="F207" s="318"/>
      <c r="G207" s="318"/>
      <c r="H207" s="719"/>
      <c r="I207" s="318"/>
      <c r="J207" s="318"/>
      <c r="K207" s="318"/>
      <c r="L207" s="318"/>
      <c r="M207" s="318"/>
      <c r="N207" s="406">
        <f t="shared" si="157"/>
        <v>0</v>
      </c>
      <c r="O207" s="875"/>
      <c r="P207" s="115">
        <v>54117</v>
      </c>
      <c r="Q207" s="116" t="s">
        <v>304</v>
      </c>
      <c r="R207" s="318"/>
      <c r="S207" s="318"/>
      <c r="T207" s="318"/>
      <c r="U207" s="318"/>
      <c r="V207" s="318"/>
      <c r="W207" s="318"/>
      <c r="X207" s="318"/>
      <c r="Y207" s="394"/>
      <c r="Z207" s="318"/>
      <c r="AA207" s="318"/>
      <c r="AB207" s="318"/>
      <c r="AC207" s="318"/>
      <c r="AD207" s="318"/>
      <c r="AE207" s="394"/>
      <c r="AF207" s="394"/>
      <c r="AG207" s="318"/>
      <c r="AH207" s="318"/>
      <c r="AI207" s="318"/>
      <c r="AJ207" s="597">
        <f t="shared" si="158"/>
        <v>0</v>
      </c>
      <c r="AK207" s="266"/>
      <c r="AL207" s="115">
        <v>54117</v>
      </c>
      <c r="AM207" s="116" t="s">
        <v>304</v>
      </c>
      <c r="AN207" s="318"/>
      <c r="AO207" s="394"/>
      <c r="AP207" s="394"/>
      <c r="AQ207" s="315">
        <f t="shared" si="159"/>
        <v>0</v>
      </c>
      <c r="AR207" s="875"/>
      <c r="AS207" s="115">
        <v>54117</v>
      </c>
      <c r="AT207" s="116" t="s">
        <v>304</v>
      </c>
      <c r="AU207" s="318"/>
      <c r="AV207" s="318"/>
      <c r="AW207" s="1083"/>
      <c r="AX207" s="318"/>
      <c r="AY207" s="318"/>
      <c r="AZ207" s="318"/>
      <c r="BA207" s="630"/>
      <c r="BB207" s="316">
        <f t="shared" si="160"/>
        <v>0</v>
      </c>
      <c r="BC207" s="875">
        <f t="shared" si="155"/>
        <v>0</v>
      </c>
      <c r="BD207" s="1088">
        <f t="shared" si="161"/>
        <v>0</v>
      </c>
      <c r="BE207" s="876"/>
      <c r="BF207" s="874"/>
    </row>
    <row r="208" spans="1:58" s="52" customFormat="1" ht="11.25" x14ac:dyDescent="0.2">
      <c r="A208" s="115">
        <v>54118</v>
      </c>
      <c r="B208" s="116" t="s">
        <v>461</v>
      </c>
      <c r="C208" s="318"/>
      <c r="D208" s="318"/>
      <c r="E208" s="318"/>
      <c r="F208" s="318"/>
      <c r="G208" s="318"/>
      <c r="H208" s="719"/>
      <c r="I208" s="318"/>
      <c r="J208" s="318"/>
      <c r="K208" s="318"/>
      <c r="L208" s="318"/>
      <c r="M208" s="318"/>
      <c r="N208" s="406">
        <f t="shared" si="157"/>
        <v>0</v>
      </c>
      <c r="O208" s="875"/>
      <c r="P208" s="115">
        <v>54118</v>
      </c>
      <c r="Q208" s="116" t="s">
        <v>305</v>
      </c>
      <c r="R208" s="318"/>
      <c r="S208" s="318"/>
      <c r="T208" s="318"/>
      <c r="U208" s="318"/>
      <c r="V208" s="318"/>
      <c r="W208" s="318"/>
      <c r="X208" s="318"/>
      <c r="Y208" s="394"/>
      <c r="Z208" s="318"/>
      <c r="AA208" s="318"/>
      <c r="AB208" s="318"/>
      <c r="AC208" s="318"/>
      <c r="AD208" s="318"/>
      <c r="AE208" s="394"/>
      <c r="AF208" s="394"/>
      <c r="AG208" s="318"/>
      <c r="AH208" s="318"/>
      <c r="AI208" s="318"/>
      <c r="AJ208" s="597">
        <f t="shared" si="158"/>
        <v>0</v>
      </c>
      <c r="AK208" s="266"/>
      <c r="AL208" s="115">
        <v>54118</v>
      </c>
      <c r="AM208" s="116" t="s">
        <v>305</v>
      </c>
      <c r="AN208" s="318">
        <v>3000</v>
      </c>
      <c r="AO208" s="394"/>
      <c r="AP208" s="394"/>
      <c r="AQ208" s="315">
        <f t="shared" si="159"/>
        <v>3000</v>
      </c>
      <c r="AR208" s="875"/>
      <c r="AS208" s="115">
        <v>54118</v>
      </c>
      <c r="AT208" s="116" t="s">
        <v>305</v>
      </c>
      <c r="AU208" s="318"/>
      <c r="AV208" s="318"/>
      <c r="AW208" s="1083"/>
      <c r="AX208" s="318"/>
      <c r="AY208" s="318"/>
      <c r="AZ208" s="318"/>
      <c r="BA208" s="630"/>
      <c r="BB208" s="316">
        <f t="shared" si="160"/>
        <v>0</v>
      </c>
      <c r="BC208" s="875">
        <f t="shared" si="155"/>
        <v>0</v>
      </c>
      <c r="BD208" s="1088">
        <f t="shared" si="161"/>
        <v>3000</v>
      </c>
      <c r="BE208" s="876"/>
      <c r="BF208" s="874"/>
    </row>
    <row r="209" spans="1:58" s="52" customFormat="1" ht="11.25" x14ac:dyDescent="0.2">
      <c r="A209" s="115">
        <v>54119</v>
      </c>
      <c r="B209" s="116" t="s">
        <v>306</v>
      </c>
      <c r="C209" s="318"/>
      <c r="D209" s="318"/>
      <c r="E209" s="318"/>
      <c r="F209" s="318"/>
      <c r="G209" s="318"/>
      <c r="H209" s="719"/>
      <c r="I209" s="318"/>
      <c r="J209" s="318"/>
      <c r="K209" s="318"/>
      <c r="L209" s="318"/>
      <c r="M209" s="318"/>
      <c r="N209" s="406">
        <f t="shared" si="157"/>
        <v>0</v>
      </c>
      <c r="O209" s="875"/>
      <c r="P209" s="115">
        <v>54119</v>
      </c>
      <c r="Q209" s="116" t="s">
        <v>306</v>
      </c>
      <c r="R209" s="318"/>
      <c r="S209" s="318"/>
      <c r="T209" s="318"/>
      <c r="U209" s="318"/>
      <c r="V209" s="318"/>
      <c r="W209" s="318"/>
      <c r="X209" s="318"/>
      <c r="Y209" s="394"/>
      <c r="Z209" s="318"/>
      <c r="AA209" s="318"/>
      <c r="AB209" s="318"/>
      <c r="AC209" s="318"/>
      <c r="AD209" s="318"/>
      <c r="AE209" s="394"/>
      <c r="AF209" s="394"/>
      <c r="AG209" s="318"/>
      <c r="AH209" s="318"/>
      <c r="AI209" s="318"/>
      <c r="AJ209" s="597">
        <f t="shared" si="158"/>
        <v>0</v>
      </c>
      <c r="AK209" s="266"/>
      <c r="AL209" s="115">
        <v>54119</v>
      </c>
      <c r="AM209" s="116" t="s">
        <v>306</v>
      </c>
      <c r="AN209" s="318"/>
      <c r="AO209" s="394"/>
      <c r="AP209" s="394"/>
      <c r="AQ209" s="315">
        <f t="shared" si="159"/>
        <v>0</v>
      </c>
      <c r="AR209" s="875"/>
      <c r="AS209" s="115">
        <v>54119</v>
      </c>
      <c r="AT209" s="116" t="s">
        <v>306</v>
      </c>
      <c r="AU209" s="318"/>
      <c r="AV209" s="318"/>
      <c r="AW209" s="1083">
        <f>24049.53+2950</f>
        <v>26999.53</v>
      </c>
      <c r="AX209" s="318"/>
      <c r="AY209" s="318"/>
      <c r="AZ209" s="318"/>
      <c r="BA209" s="630"/>
      <c r="BB209" s="316">
        <f t="shared" si="160"/>
        <v>26999.53</v>
      </c>
      <c r="BC209" s="875">
        <f t="shared" si="155"/>
        <v>26999.53</v>
      </c>
      <c r="BD209" s="1088">
        <f t="shared" si="161"/>
        <v>26999.53</v>
      </c>
      <c r="BE209" s="876"/>
      <c r="BF209" s="874"/>
    </row>
    <row r="210" spans="1:58" s="52" customFormat="1" ht="11.25" x14ac:dyDescent="0.2">
      <c r="A210" s="115">
        <v>54121</v>
      </c>
      <c r="B210" s="116" t="s">
        <v>307</v>
      </c>
      <c r="C210" s="318"/>
      <c r="D210" s="318"/>
      <c r="E210" s="318"/>
      <c r="F210" s="318"/>
      <c r="G210" s="318"/>
      <c r="H210" s="719"/>
      <c r="I210" s="318"/>
      <c r="J210" s="318"/>
      <c r="K210" s="318"/>
      <c r="L210" s="318"/>
      <c r="M210" s="318"/>
      <c r="N210" s="406">
        <f t="shared" si="157"/>
        <v>0</v>
      </c>
      <c r="O210" s="875"/>
      <c r="P210" s="115">
        <v>54121</v>
      </c>
      <c r="Q210" s="116" t="s">
        <v>307</v>
      </c>
      <c r="R210" s="318"/>
      <c r="S210" s="318"/>
      <c r="T210" s="318"/>
      <c r="U210" s="318"/>
      <c r="V210" s="318"/>
      <c r="W210" s="318"/>
      <c r="X210" s="318"/>
      <c r="Y210" s="394"/>
      <c r="Z210" s="318"/>
      <c r="AA210" s="318"/>
      <c r="AB210" s="318"/>
      <c r="AC210" s="318"/>
      <c r="AD210" s="318"/>
      <c r="AE210" s="394"/>
      <c r="AF210" s="394"/>
      <c r="AG210" s="318"/>
      <c r="AH210" s="318"/>
      <c r="AI210" s="318"/>
      <c r="AJ210" s="597">
        <f t="shared" si="158"/>
        <v>0</v>
      </c>
      <c r="AK210" s="266"/>
      <c r="AL210" s="115">
        <v>54121</v>
      </c>
      <c r="AM210" s="116" t="s">
        <v>307</v>
      </c>
      <c r="AN210" s="318"/>
      <c r="AO210" s="394"/>
      <c r="AP210" s="394"/>
      <c r="AQ210" s="315">
        <f t="shared" si="159"/>
        <v>0</v>
      </c>
      <c r="AR210" s="875"/>
      <c r="AS210" s="115">
        <v>54121</v>
      </c>
      <c r="AT210" s="116" t="s">
        <v>307</v>
      </c>
      <c r="AU210" s="318"/>
      <c r="AV210" s="318"/>
      <c r="AW210" s="1083"/>
      <c r="AX210" s="318"/>
      <c r="AY210" s="318"/>
      <c r="AZ210" s="318"/>
      <c r="BA210" s="630"/>
      <c r="BB210" s="316">
        <f t="shared" si="160"/>
        <v>0</v>
      </c>
      <c r="BC210" s="875">
        <f t="shared" si="155"/>
        <v>0</v>
      </c>
      <c r="BD210" s="1088">
        <f t="shared" si="161"/>
        <v>0</v>
      </c>
      <c r="BE210" s="876"/>
      <c r="BF210" s="874"/>
    </row>
    <row r="211" spans="1:58" s="52" customFormat="1" ht="11.25" x14ac:dyDescent="0.2">
      <c r="A211" s="115">
        <v>54199</v>
      </c>
      <c r="B211" s="116" t="s">
        <v>386</v>
      </c>
      <c r="C211" s="318"/>
      <c r="D211" s="318">
        <v>0</v>
      </c>
      <c r="E211" s="318"/>
      <c r="F211" s="318">
        <v>0</v>
      </c>
      <c r="G211" s="318"/>
      <c r="H211" s="719"/>
      <c r="I211" s="318"/>
      <c r="J211" s="318">
        <v>0</v>
      </c>
      <c r="K211" s="318"/>
      <c r="L211" s="318"/>
      <c r="M211" s="318">
        <v>0</v>
      </c>
      <c r="N211" s="406">
        <f t="shared" si="157"/>
        <v>0</v>
      </c>
      <c r="O211" s="875"/>
      <c r="P211" s="115">
        <v>54199</v>
      </c>
      <c r="Q211" s="116" t="s">
        <v>386</v>
      </c>
      <c r="R211" s="318"/>
      <c r="S211" s="318"/>
      <c r="T211" s="318">
        <v>0</v>
      </c>
      <c r="U211" s="318">
        <v>0</v>
      </c>
      <c r="V211" s="318"/>
      <c r="W211" s="318"/>
      <c r="X211" s="318"/>
      <c r="Y211" s="394">
        <v>0</v>
      </c>
      <c r="Z211" s="318">
        <v>0</v>
      </c>
      <c r="AA211" s="318">
        <v>0</v>
      </c>
      <c r="AB211" s="318">
        <v>0</v>
      </c>
      <c r="AC211" s="318"/>
      <c r="AD211" s="318"/>
      <c r="AE211" s="394">
        <v>0</v>
      </c>
      <c r="AF211" s="394"/>
      <c r="AG211" s="318"/>
      <c r="AH211" s="318"/>
      <c r="AI211" s="318"/>
      <c r="AJ211" s="597">
        <f t="shared" si="158"/>
        <v>0</v>
      </c>
      <c r="AK211" s="266"/>
      <c r="AL211" s="115">
        <v>54199</v>
      </c>
      <c r="AM211" s="116" t="s">
        <v>386</v>
      </c>
      <c r="AN211" s="318">
        <v>0</v>
      </c>
      <c r="AO211" s="394"/>
      <c r="AP211" s="394"/>
      <c r="AQ211" s="315">
        <f t="shared" si="159"/>
        <v>0</v>
      </c>
      <c r="AR211" s="875"/>
      <c r="AS211" s="115">
        <v>54199</v>
      </c>
      <c r="AT211" s="116" t="s">
        <v>386</v>
      </c>
      <c r="AU211" s="318">
        <v>0</v>
      </c>
      <c r="AV211" s="318">
        <v>0</v>
      </c>
      <c r="AW211" s="1083">
        <v>0</v>
      </c>
      <c r="AX211" s="318">
        <v>0</v>
      </c>
      <c r="AY211" s="318">
        <v>0</v>
      </c>
      <c r="AZ211" s="318">
        <v>0</v>
      </c>
      <c r="BA211" s="318">
        <v>0</v>
      </c>
      <c r="BB211" s="316">
        <f t="shared" si="160"/>
        <v>0</v>
      </c>
      <c r="BC211" s="875">
        <f t="shared" si="155"/>
        <v>0</v>
      </c>
      <c r="BD211" s="1088">
        <f t="shared" si="161"/>
        <v>0</v>
      </c>
      <c r="BE211" s="876"/>
      <c r="BF211" s="874"/>
    </row>
    <row r="212" spans="1:58" s="52" customFormat="1" ht="11.25" x14ac:dyDescent="0.2">
      <c r="A212" s="267">
        <v>542</v>
      </c>
      <c r="B212" s="121" t="s">
        <v>109</v>
      </c>
      <c r="C212" s="319">
        <f>SUM(C213:C216)</f>
        <v>198545.05</v>
      </c>
      <c r="D212" s="319">
        <f t="shared" ref="D212:N212" si="162">SUM(D213:D216)</f>
        <v>0</v>
      </c>
      <c r="E212" s="319">
        <f t="shared" si="162"/>
        <v>0</v>
      </c>
      <c r="F212" s="319">
        <f t="shared" si="162"/>
        <v>0</v>
      </c>
      <c r="G212" s="319">
        <f t="shared" si="162"/>
        <v>0</v>
      </c>
      <c r="H212" s="319">
        <f t="shared" si="162"/>
        <v>0</v>
      </c>
      <c r="I212" s="319">
        <f>SUM(I213:I216)</f>
        <v>0</v>
      </c>
      <c r="J212" s="319">
        <f>SUM(J213:J216)</f>
        <v>0</v>
      </c>
      <c r="K212" s="319">
        <f>SUM(K213:K216)</f>
        <v>0</v>
      </c>
      <c r="L212" s="319">
        <f>SUM(L213:L216)</f>
        <v>0</v>
      </c>
      <c r="M212" s="319">
        <f t="shared" si="162"/>
        <v>0</v>
      </c>
      <c r="N212" s="402">
        <f t="shared" si="162"/>
        <v>198545.05</v>
      </c>
      <c r="O212" s="875"/>
      <c r="P212" s="267">
        <v>542</v>
      </c>
      <c r="Q212" s="121" t="s">
        <v>109</v>
      </c>
      <c r="R212" s="319">
        <f>SUM(R213:R216)</f>
        <v>0</v>
      </c>
      <c r="S212" s="319">
        <f t="shared" ref="S212:AH212" si="163">SUM(S213:S216)</f>
        <v>0</v>
      </c>
      <c r="T212" s="319">
        <f t="shared" si="163"/>
        <v>0</v>
      </c>
      <c r="U212" s="319">
        <f t="shared" si="163"/>
        <v>0</v>
      </c>
      <c r="V212" s="319">
        <f>SUM(V213:V216)</f>
        <v>0</v>
      </c>
      <c r="W212" s="319">
        <f t="shared" si="163"/>
        <v>0</v>
      </c>
      <c r="X212" s="319">
        <f t="shared" si="163"/>
        <v>0</v>
      </c>
      <c r="Y212" s="319">
        <f t="shared" si="163"/>
        <v>0</v>
      </c>
      <c r="Z212" s="319">
        <f t="shared" si="163"/>
        <v>0</v>
      </c>
      <c r="AA212" s="319">
        <f t="shared" si="163"/>
        <v>0</v>
      </c>
      <c r="AB212" s="319">
        <f t="shared" si="163"/>
        <v>0</v>
      </c>
      <c r="AC212" s="319">
        <f t="shared" si="163"/>
        <v>0</v>
      </c>
      <c r="AD212" s="319">
        <f t="shared" si="163"/>
        <v>0</v>
      </c>
      <c r="AE212" s="319">
        <f t="shared" si="163"/>
        <v>0</v>
      </c>
      <c r="AF212" s="319">
        <f t="shared" si="163"/>
        <v>0</v>
      </c>
      <c r="AG212" s="319">
        <f t="shared" si="163"/>
        <v>0</v>
      </c>
      <c r="AH212" s="319">
        <f t="shared" si="163"/>
        <v>0</v>
      </c>
      <c r="AI212" s="319"/>
      <c r="AJ212" s="597">
        <f t="shared" si="158"/>
        <v>0</v>
      </c>
      <c r="AK212" s="266"/>
      <c r="AL212" s="267">
        <v>542</v>
      </c>
      <c r="AM212" s="121" t="s">
        <v>109</v>
      </c>
      <c r="AN212" s="319">
        <f>SUM(AN213:AN216)</f>
        <v>0</v>
      </c>
      <c r="AO212" s="319">
        <f>SUM(AO213:AO216)</f>
        <v>0</v>
      </c>
      <c r="AP212" s="319">
        <f>SUM(AP213:AP216)</f>
        <v>0</v>
      </c>
      <c r="AQ212" s="319">
        <f>SUM(AQ213:AQ216)</f>
        <v>0</v>
      </c>
      <c r="AR212" s="875"/>
      <c r="AS212" s="267">
        <v>542</v>
      </c>
      <c r="AT212" s="121" t="s">
        <v>109</v>
      </c>
      <c r="AU212" s="319">
        <f t="shared" ref="AU212:BB212" si="164">SUM(AU213:AU216)</f>
        <v>0</v>
      </c>
      <c r="AV212" s="319">
        <f t="shared" si="164"/>
        <v>0</v>
      </c>
      <c r="AW212" s="1084">
        <f t="shared" si="164"/>
        <v>0</v>
      </c>
      <c r="AX212" s="319">
        <f t="shared" si="164"/>
        <v>0</v>
      </c>
      <c r="AY212" s="319">
        <f t="shared" si="164"/>
        <v>0</v>
      </c>
      <c r="AZ212" s="319">
        <f t="shared" si="164"/>
        <v>0</v>
      </c>
      <c r="BA212" s="319">
        <f t="shared" si="164"/>
        <v>0</v>
      </c>
      <c r="BB212" s="319">
        <f t="shared" si="164"/>
        <v>0</v>
      </c>
      <c r="BC212" s="875">
        <f t="shared" si="155"/>
        <v>0</v>
      </c>
      <c r="BD212" s="1088"/>
      <c r="BE212" s="876"/>
      <c r="BF212" s="874"/>
    </row>
    <row r="213" spans="1:58" s="52" customFormat="1" ht="11.25" x14ac:dyDescent="0.2">
      <c r="A213" s="115">
        <v>54201</v>
      </c>
      <c r="B213" s="116" t="s">
        <v>311</v>
      </c>
      <c r="C213" s="719">
        <f>79084.6+15000+58600.45</f>
        <v>152685.04999999999</v>
      </c>
      <c r="D213" s="318"/>
      <c r="E213" s="318"/>
      <c r="F213" s="318"/>
      <c r="G213" s="318"/>
      <c r="H213" s="719"/>
      <c r="I213" s="318"/>
      <c r="J213" s="318"/>
      <c r="K213" s="318"/>
      <c r="L213" s="318"/>
      <c r="M213" s="318"/>
      <c r="N213" s="406">
        <f>SUM(C213:M213)</f>
        <v>152685.04999999999</v>
      </c>
      <c r="O213" s="875"/>
      <c r="P213" s="115">
        <v>54201</v>
      </c>
      <c r="Q213" s="116" t="s">
        <v>311</v>
      </c>
      <c r="R213" s="318"/>
      <c r="S213" s="318"/>
      <c r="T213" s="318"/>
      <c r="U213" s="318"/>
      <c r="V213" s="318"/>
      <c r="W213" s="318"/>
      <c r="X213" s="318"/>
      <c r="Y213" s="394"/>
      <c r="Z213" s="318"/>
      <c r="AA213" s="318"/>
      <c r="AB213" s="318"/>
      <c r="AC213" s="318"/>
      <c r="AD213" s="318"/>
      <c r="AE213" s="394"/>
      <c r="AF213" s="394"/>
      <c r="AG213" s="318"/>
      <c r="AH213" s="318"/>
      <c r="AI213" s="318"/>
      <c r="AJ213" s="597">
        <f t="shared" si="158"/>
        <v>0</v>
      </c>
      <c r="AK213" s="266"/>
      <c r="AL213" s="115">
        <v>54201</v>
      </c>
      <c r="AM213" s="116" t="s">
        <v>311</v>
      </c>
      <c r="AN213" s="318"/>
      <c r="AO213" s="394"/>
      <c r="AP213" s="394"/>
      <c r="AQ213" s="315">
        <f t="shared" si="159"/>
        <v>0</v>
      </c>
      <c r="AR213" s="875"/>
      <c r="AS213" s="115">
        <v>54201</v>
      </c>
      <c r="AT213" s="116" t="s">
        <v>311</v>
      </c>
      <c r="AU213" s="318"/>
      <c r="AV213" s="318"/>
      <c r="AW213" s="1083"/>
      <c r="AX213" s="318"/>
      <c r="AY213" s="318"/>
      <c r="AZ213" s="318"/>
      <c r="BA213" s="630"/>
      <c r="BB213" s="316">
        <f>SUM(AU213:AZ213)</f>
        <v>0</v>
      </c>
      <c r="BC213" s="875">
        <f t="shared" si="155"/>
        <v>0</v>
      </c>
      <c r="BD213" s="1088">
        <f t="shared" ref="BD213:BD216" si="165">BB213+AQ213+AJ213+N213</f>
        <v>152685.04999999999</v>
      </c>
      <c r="BE213" s="876"/>
      <c r="BF213" s="874"/>
    </row>
    <row r="214" spans="1:58" s="52" customFormat="1" ht="11.25" x14ac:dyDescent="0.2">
      <c r="A214" s="115">
        <v>54202</v>
      </c>
      <c r="B214" s="116" t="s">
        <v>310</v>
      </c>
      <c r="C214" s="719">
        <v>17500</v>
      </c>
      <c r="D214" s="318"/>
      <c r="E214" s="318"/>
      <c r="F214" s="318"/>
      <c r="G214" s="318"/>
      <c r="H214" s="719"/>
      <c r="I214" s="318"/>
      <c r="J214" s="318"/>
      <c r="K214" s="318"/>
      <c r="L214" s="318"/>
      <c r="M214" s="318"/>
      <c r="N214" s="406">
        <f>SUM(C214:M214)</f>
        <v>17500</v>
      </c>
      <c r="O214" s="875"/>
      <c r="P214" s="115">
        <v>54202</v>
      </c>
      <c r="Q214" s="116" t="s">
        <v>310</v>
      </c>
      <c r="R214" s="318"/>
      <c r="S214" s="318"/>
      <c r="T214" s="318"/>
      <c r="U214" s="318"/>
      <c r="V214" s="318"/>
      <c r="W214" s="318"/>
      <c r="X214" s="318"/>
      <c r="Y214" s="394"/>
      <c r="Z214" s="318"/>
      <c r="AA214" s="318"/>
      <c r="AB214" s="318"/>
      <c r="AC214" s="318"/>
      <c r="AD214" s="318"/>
      <c r="AE214" s="394"/>
      <c r="AF214" s="394"/>
      <c r="AG214" s="318"/>
      <c r="AH214" s="318"/>
      <c r="AI214" s="318"/>
      <c r="AJ214" s="597">
        <f t="shared" si="158"/>
        <v>0</v>
      </c>
      <c r="AK214" s="266"/>
      <c r="AL214" s="115">
        <v>54202</v>
      </c>
      <c r="AM214" s="116" t="s">
        <v>310</v>
      </c>
      <c r="AN214" s="318"/>
      <c r="AO214" s="394"/>
      <c r="AP214" s="394"/>
      <c r="AQ214" s="315">
        <f t="shared" si="159"/>
        <v>0</v>
      </c>
      <c r="AR214" s="875"/>
      <c r="AS214" s="115">
        <v>54202</v>
      </c>
      <c r="AT214" s="116" t="s">
        <v>310</v>
      </c>
      <c r="AU214" s="318"/>
      <c r="AV214" s="318"/>
      <c r="AW214" s="1083"/>
      <c r="AX214" s="318"/>
      <c r="AY214" s="318"/>
      <c r="AZ214" s="318"/>
      <c r="BA214" s="630"/>
      <c r="BB214" s="316">
        <f>SUM(AU214:AZ214)</f>
        <v>0</v>
      </c>
      <c r="BC214" s="875">
        <f t="shared" si="155"/>
        <v>0</v>
      </c>
      <c r="BD214" s="1088">
        <f t="shared" si="165"/>
        <v>17500</v>
      </c>
      <c r="BE214" s="876"/>
      <c r="BF214" s="874"/>
    </row>
    <row r="215" spans="1:58" s="52" customFormat="1" ht="11.25" x14ac:dyDescent="0.2">
      <c r="A215" s="115">
        <v>54203</v>
      </c>
      <c r="B215" s="116" t="s">
        <v>312</v>
      </c>
      <c r="C215" s="719">
        <f>20400+1460+6000</f>
        <v>27860</v>
      </c>
      <c r="D215" s="318"/>
      <c r="E215" s="318"/>
      <c r="F215" s="318"/>
      <c r="G215" s="318"/>
      <c r="H215" s="719"/>
      <c r="I215" s="318"/>
      <c r="J215" s="318"/>
      <c r="K215" s="318"/>
      <c r="L215" s="318"/>
      <c r="M215" s="318"/>
      <c r="N215" s="530">
        <f>SUM(C215:M215)</f>
        <v>27860</v>
      </c>
      <c r="O215" s="875"/>
      <c r="P215" s="115">
        <v>54203</v>
      </c>
      <c r="Q215" s="116" t="s">
        <v>312</v>
      </c>
      <c r="R215" s="318"/>
      <c r="S215" s="318"/>
      <c r="T215" s="318"/>
      <c r="U215" s="318"/>
      <c r="V215" s="318"/>
      <c r="W215" s="318"/>
      <c r="X215" s="318"/>
      <c r="Y215" s="394"/>
      <c r="Z215" s="318"/>
      <c r="AA215" s="318"/>
      <c r="AB215" s="318"/>
      <c r="AC215" s="318"/>
      <c r="AD215" s="318"/>
      <c r="AE215" s="394"/>
      <c r="AF215" s="394"/>
      <c r="AG215" s="318"/>
      <c r="AH215" s="318"/>
      <c r="AI215" s="318"/>
      <c r="AJ215" s="597">
        <f t="shared" si="158"/>
        <v>0</v>
      </c>
      <c r="AK215" s="266"/>
      <c r="AL215" s="115">
        <v>54203</v>
      </c>
      <c r="AM215" s="116" t="s">
        <v>312</v>
      </c>
      <c r="AN215" s="318"/>
      <c r="AO215" s="394"/>
      <c r="AP215" s="394"/>
      <c r="AQ215" s="315">
        <f t="shared" si="159"/>
        <v>0</v>
      </c>
      <c r="AR215" s="875"/>
      <c r="AS215" s="115">
        <v>54203</v>
      </c>
      <c r="AT215" s="116" t="s">
        <v>312</v>
      </c>
      <c r="AU215" s="318"/>
      <c r="AV215" s="318"/>
      <c r="AW215" s="1083"/>
      <c r="AX215" s="318"/>
      <c r="AY215" s="318"/>
      <c r="AZ215" s="318"/>
      <c r="BA215" s="630"/>
      <c r="BB215" s="316">
        <f>SUM(AU215:AZ215)</f>
        <v>0</v>
      </c>
      <c r="BC215" s="875">
        <f t="shared" si="155"/>
        <v>0</v>
      </c>
      <c r="BD215" s="1088">
        <f t="shared" si="165"/>
        <v>27860</v>
      </c>
      <c r="BE215" s="876"/>
      <c r="BF215" s="874"/>
    </row>
    <row r="216" spans="1:58" s="52" customFormat="1" ht="11.25" x14ac:dyDescent="0.2">
      <c r="A216" s="115">
        <v>54204</v>
      </c>
      <c r="B216" s="116" t="s">
        <v>313</v>
      </c>
      <c r="C216" s="318">
        <v>500</v>
      </c>
      <c r="D216" s="318"/>
      <c r="E216" s="318"/>
      <c r="F216" s="318"/>
      <c r="G216" s="318"/>
      <c r="H216" s="719"/>
      <c r="I216" s="318"/>
      <c r="J216" s="318"/>
      <c r="K216" s="318"/>
      <c r="L216" s="318"/>
      <c r="M216" s="318"/>
      <c r="N216" s="406">
        <f>SUM(C216:M216)</f>
        <v>500</v>
      </c>
      <c r="O216" s="875"/>
      <c r="P216" s="115">
        <v>54204</v>
      </c>
      <c r="Q216" s="116" t="s">
        <v>313</v>
      </c>
      <c r="R216" s="318"/>
      <c r="S216" s="318"/>
      <c r="T216" s="318"/>
      <c r="U216" s="318"/>
      <c r="V216" s="318"/>
      <c r="W216" s="318"/>
      <c r="X216" s="318"/>
      <c r="Y216" s="394"/>
      <c r="Z216" s="318"/>
      <c r="AA216" s="318"/>
      <c r="AB216" s="318"/>
      <c r="AC216" s="318"/>
      <c r="AD216" s="318"/>
      <c r="AE216" s="394"/>
      <c r="AF216" s="394"/>
      <c r="AG216" s="318"/>
      <c r="AH216" s="318"/>
      <c r="AI216" s="318"/>
      <c r="AJ216" s="597">
        <f t="shared" si="158"/>
        <v>0</v>
      </c>
      <c r="AK216" s="266"/>
      <c r="AL216" s="115">
        <v>54204</v>
      </c>
      <c r="AM216" s="116" t="s">
        <v>313</v>
      </c>
      <c r="AN216" s="318"/>
      <c r="AO216" s="394"/>
      <c r="AP216" s="394"/>
      <c r="AQ216" s="315">
        <f t="shared" si="159"/>
        <v>0</v>
      </c>
      <c r="AR216" s="875"/>
      <c r="AS216" s="115">
        <v>54204</v>
      </c>
      <c r="AT216" s="116" t="s">
        <v>313</v>
      </c>
      <c r="AU216" s="318"/>
      <c r="AV216" s="318"/>
      <c r="AW216" s="1083"/>
      <c r="AX216" s="318"/>
      <c r="AY216" s="318"/>
      <c r="AZ216" s="318"/>
      <c r="BA216" s="630"/>
      <c r="BB216" s="316">
        <f>SUM(AU216:AZ216)</f>
        <v>0</v>
      </c>
      <c r="BC216" s="875">
        <f t="shared" si="155"/>
        <v>0</v>
      </c>
      <c r="BD216" s="1088">
        <f t="shared" si="165"/>
        <v>500</v>
      </c>
      <c r="BE216" s="876"/>
      <c r="BF216" s="874"/>
    </row>
    <row r="217" spans="1:58" s="52" customFormat="1" ht="11.25" x14ac:dyDescent="0.2">
      <c r="A217" s="267">
        <v>543</v>
      </c>
      <c r="B217" s="121" t="s">
        <v>110</v>
      </c>
      <c r="C217" s="319">
        <f>SUM(C218:C230)</f>
        <v>0</v>
      </c>
      <c r="D217" s="319">
        <f t="shared" ref="D217:N217" si="166">SUM(D218:D230)</f>
        <v>0</v>
      </c>
      <c r="E217" s="319">
        <f t="shared" si="166"/>
        <v>0</v>
      </c>
      <c r="F217" s="319">
        <f t="shared" si="166"/>
        <v>0</v>
      </c>
      <c r="G217" s="319">
        <f t="shared" si="166"/>
        <v>0</v>
      </c>
      <c r="H217" s="319">
        <f t="shared" si="166"/>
        <v>0</v>
      </c>
      <c r="I217" s="319">
        <f>SUM(I218:I230)</f>
        <v>0</v>
      </c>
      <c r="J217" s="319">
        <f>SUM(J218:J230)</f>
        <v>0</v>
      </c>
      <c r="K217" s="319">
        <f>SUM(K218:K230)</f>
        <v>0</v>
      </c>
      <c r="L217" s="319">
        <f>SUM(L218:L230)</f>
        <v>0</v>
      </c>
      <c r="M217" s="319">
        <f t="shared" si="166"/>
        <v>0</v>
      </c>
      <c r="N217" s="402">
        <f t="shared" si="166"/>
        <v>0</v>
      </c>
      <c r="O217" s="875"/>
      <c r="P217" s="267">
        <v>543</v>
      </c>
      <c r="Q217" s="121" t="s">
        <v>110</v>
      </c>
      <c r="R217" s="319">
        <f>SUM(R218:R230)</f>
        <v>0</v>
      </c>
      <c r="S217" s="319">
        <f t="shared" ref="S217:AH217" si="167">SUM(S218:S230)</f>
        <v>0</v>
      </c>
      <c r="T217" s="319">
        <f t="shared" si="167"/>
        <v>0</v>
      </c>
      <c r="U217" s="319">
        <f t="shared" si="167"/>
        <v>0</v>
      </c>
      <c r="V217" s="319">
        <f>SUM(V218:V231)</f>
        <v>0</v>
      </c>
      <c r="W217" s="319">
        <f t="shared" si="167"/>
        <v>0</v>
      </c>
      <c r="X217" s="319">
        <f t="shared" si="167"/>
        <v>0</v>
      </c>
      <c r="Y217" s="319">
        <f t="shared" si="167"/>
        <v>0</v>
      </c>
      <c r="Z217" s="319">
        <f t="shared" si="167"/>
        <v>0</v>
      </c>
      <c r="AA217" s="319">
        <f t="shared" si="167"/>
        <v>0</v>
      </c>
      <c r="AB217" s="319">
        <f t="shared" si="167"/>
        <v>0</v>
      </c>
      <c r="AC217" s="319">
        <f t="shared" si="167"/>
        <v>0</v>
      </c>
      <c r="AD217" s="319">
        <f t="shared" si="167"/>
        <v>0</v>
      </c>
      <c r="AE217" s="319">
        <f t="shared" si="167"/>
        <v>0</v>
      </c>
      <c r="AF217" s="319">
        <f t="shared" si="167"/>
        <v>0</v>
      </c>
      <c r="AG217" s="319">
        <f t="shared" si="167"/>
        <v>0</v>
      </c>
      <c r="AH217" s="319">
        <f t="shared" si="167"/>
        <v>0</v>
      </c>
      <c r="AI217" s="319"/>
      <c r="AJ217" s="597">
        <f t="shared" si="158"/>
        <v>0</v>
      </c>
      <c r="AK217" s="266"/>
      <c r="AL217" s="267">
        <v>543</v>
      </c>
      <c r="AM217" s="121" t="s">
        <v>110</v>
      </c>
      <c r="AN217" s="319">
        <f>SUM(AN218:AN230)</f>
        <v>30000</v>
      </c>
      <c r="AO217" s="319">
        <f>SUM(AO218:AO230)</f>
        <v>0</v>
      </c>
      <c r="AP217" s="319">
        <f>SUM(AP218:AP230)</f>
        <v>0</v>
      </c>
      <c r="AQ217" s="319">
        <f>SUM(AQ218:AQ230)</f>
        <v>30000</v>
      </c>
      <c r="AR217" s="875"/>
      <c r="AS217" s="267">
        <v>543</v>
      </c>
      <c r="AT217" s="121" t="s">
        <v>110</v>
      </c>
      <c r="AU217" s="319">
        <f t="shared" ref="AU217:BB217" si="168">SUM(AU218:AU230)</f>
        <v>0</v>
      </c>
      <c r="AV217" s="319">
        <f t="shared" si="168"/>
        <v>0</v>
      </c>
      <c r="AW217" s="1084">
        <f t="shared" si="168"/>
        <v>0</v>
      </c>
      <c r="AX217" s="319">
        <f t="shared" si="168"/>
        <v>347000</v>
      </c>
      <c r="AY217" s="319">
        <f t="shared" si="168"/>
        <v>0</v>
      </c>
      <c r="AZ217" s="319">
        <f t="shared" si="168"/>
        <v>0</v>
      </c>
      <c r="BA217" s="319">
        <f t="shared" si="168"/>
        <v>0</v>
      </c>
      <c r="BB217" s="319">
        <f t="shared" si="168"/>
        <v>347000</v>
      </c>
      <c r="BC217" s="875">
        <f t="shared" ref="BC217:BC259" si="169">SUM(AU217:BA217)</f>
        <v>347000</v>
      </c>
      <c r="BD217" s="1088"/>
      <c r="BE217" s="876"/>
      <c r="BF217" s="874"/>
    </row>
    <row r="218" spans="1:58" s="52" customFormat="1" ht="11.25" x14ac:dyDescent="0.2">
      <c r="A218" s="115">
        <v>54301</v>
      </c>
      <c r="B218" s="116" t="s">
        <v>314</v>
      </c>
      <c r="C218" s="318"/>
      <c r="D218" s="318"/>
      <c r="E218" s="318"/>
      <c r="F218" s="318"/>
      <c r="G218" s="318"/>
      <c r="H218" s="719"/>
      <c r="I218" s="318"/>
      <c r="J218" s="318"/>
      <c r="K218" s="318"/>
      <c r="L218" s="318"/>
      <c r="M218" s="318"/>
      <c r="N218" s="406">
        <f t="shared" ref="N218:N230" si="170">SUM(C218:M218)</f>
        <v>0</v>
      </c>
      <c r="O218" s="875"/>
      <c r="P218" s="115">
        <v>54301</v>
      </c>
      <c r="Q218" s="116" t="s">
        <v>314</v>
      </c>
      <c r="R218" s="318"/>
      <c r="S218" s="318"/>
      <c r="T218" s="318"/>
      <c r="U218" s="318"/>
      <c r="V218" s="318"/>
      <c r="W218" s="318"/>
      <c r="X218" s="318"/>
      <c r="Y218" s="394"/>
      <c r="Z218" s="318"/>
      <c r="AA218" s="318"/>
      <c r="AB218" s="318"/>
      <c r="AC218" s="318"/>
      <c r="AD218" s="318"/>
      <c r="AE218" s="394"/>
      <c r="AF218" s="394"/>
      <c r="AG218" s="318"/>
      <c r="AH218" s="318"/>
      <c r="AI218" s="318"/>
      <c r="AJ218" s="597">
        <f t="shared" si="158"/>
        <v>0</v>
      </c>
      <c r="AK218" s="266"/>
      <c r="AL218" s="115">
        <v>54301</v>
      </c>
      <c r="AM218" s="116" t="s">
        <v>314</v>
      </c>
      <c r="AN218" s="318"/>
      <c r="AO218" s="394"/>
      <c r="AP218" s="394"/>
      <c r="AQ218" s="315">
        <f t="shared" si="159"/>
        <v>0</v>
      </c>
      <c r="AR218" s="875"/>
      <c r="AS218" s="115">
        <v>54301</v>
      </c>
      <c r="AT218" s="116" t="s">
        <v>314</v>
      </c>
      <c r="AU218" s="318"/>
      <c r="AV218" s="318"/>
      <c r="AW218" s="1083"/>
      <c r="AX218" s="318">
        <v>5000</v>
      </c>
      <c r="AY218" s="318"/>
      <c r="AZ218" s="318"/>
      <c r="BA218" s="630"/>
      <c r="BB218" s="316">
        <f t="shared" ref="BB218:BB230" si="171">SUM(AU218:AZ218)</f>
        <v>5000</v>
      </c>
      <c r="BC218" s="875">
        <f t="shared" si="169"/>
        <v>5000</v>
      </c>
      <c r="BD218" s="1088">
        <f t="shared" ref="BD218:BD230" si="172">BB218+AQ218+AJ218+N218</f>
        <v>5000</v>
      </c>
      <c r="BE218" s="876"/>
      <c r="BF218" s="874"/>
    </row>
    <row r="219" spans="1:58" s="52" customFormat="1" ht="11.25" x14ac:dyDescent="0.2">
      <c r="A219" s="115">
        <v>54302</v>
      </c>
      <c r="B219" s="116" t="s">
        <v>315</v>
      </c>
      <c r="C219" s="318"/>
      <c r="D219" s="318"/>
      <c r="E219" s="318"/>
      <c r="F219" s="318"/>
      <c r="G219" s="318"/>
      <c r="H219" s="719"/>
      <c r="I219" s="318"/>
      <c r="J219" s="318"/>
      <c r="K219" s="318"/>
      <c r="L219" s="318"/>
      <c r="M219" s="318"/>
      <c r="N219" s="406">
        <f t="shared" si="170"/>
        <v>0</v>
      </c>
      <c r="O219" s="875"/>
      <c r="P219" s="115">
        <v>54302</v>
      </c>
      <c r="Q219" s="116" t="s">
        <v>315</v>
      </c>
      <c r="R219" s="318"/>
      <c r="S219" s="318"/>
      <c r="T219" s="318"/>
      <c r="U219" s="318"/>
      <c r="V219" s="318"/>
      <c r="W219" s="318"/>
      <c r="X219" s="318"/>
      <c r="Y219" s="394"/>
      <c r="Z219" s="318"/>
      <c r="AA219" s="318"/>
      <c r="AB219" s="318"/>
      <c r="AC219" s="318"/>
      <c r="AD219" s="318"/>
      <c r="AE219" s="394"/>
      <c r="AF219" s="394"/>
      <c r="AG219" s="318"/>
      <c r="AH219" s="318"/>
      <c r="AI219" s="318"/>
      <c r="AJ219" s="597">
        <f t="shared" si="158"/>
        <v>0</v>
      </c>
      <c r="AK219" s="266"/>
      <c r="AL219" s="115">
        <v>54302</v>
      </c>
      <c r="AM219" s="116" t="s">
        <v>315</v>
      </c>
      <c r="AN219" s="318">
        <v>30000</v>
      </c>
      <c r="AO219" s="394"/>
      <c r="AP219" s="394"/>
      <c r="AQ219" s="315">
        <f t="shared" si="159"/>
        <v>30000</v>
      </c>
      <c r="AR219" s="875"/>
      <c r="AS219" s="115">
        <v>54302</v>
      </c>
      <c r="AT219" s="116" t="s">
        <v>315</v>
      </c>
      <c r="AU219" s="318"/>
      <c r="AV219" s="318"/>
      <c r="AW219" s="1083"/>
      <c r="AX219" s="508">
        <v>30000</v>
      </c>
      <c r="AY219" s="318"/>
      <c r="AZ219" s="318"/>
      <c r="BA219" s="630"/>
      <c r="BB219" s="574">
        <f t="shared" si="171"/>
        <v>30000</v>
      </c>
      <c r="BC219" s="875">
        <f t="shared" si="169"/>
        <v>30000</v>
      </c>
      <c r="BD219" s="1088">
        <f t="shared" si="172"/>
        <v>60000</v>
      </c>
      <c r="BE219" s="876"/>
      <c r="BF219" s="874"/>
    </row>
    <row r="220" spans="1:58" s="52" customFormat="1" ht="11.25" x14ac:dyDescent="0.2">
      <c r="A220" s="115">
        <v>54303</v>
      </c>
      <c r="B220" s="116" t="s">
        <v>316</v>
      </c>
      <c r="C220" s="318"/>
      <c r="D220" s="318"/>
      <c r="E220" s="318"/>
      <c r="F220" s="318"/>
      <c r="G220" s="318"/>
      <c r="H220" s="719"/>
      <c r="I220" s="318"/>
      <c r="J220" s="318"/>
      <c r="K220" s="318"/>
      <c r="L220" s="318"/>
      <c r="M220" s="318"/>
      <c r="N220" s="406">
        <f t="shared" si="170"/>
        <v>0</v>
      </c>
      <c r="O220" s="875"/>
      <c r="P220" s="115">
        <v>54303</v>
      </c>
      <c r="Q220" s="116" t="s">
        <v>316</v>
      </c>
      <c r="R220" s="318"/>
      <c r="S220" s="318"/>
      <c r="T220" s="318"/>
      <c r="U220" s="318"/>
      <c r="V220" s="318"/>
      <c r="W220" s="318"/>
      <c r="X220" s="318"/>
      <c r="Y220" s="394"/>
      <c r="Z220" s="318"/>
      <c r="AA220" s="318"/>
      <c r="AB220" s="318"/>
      <c r="AC220" s="318"/>
      <c r="AD220" s="318"/>
      <c r="AE220" s="394"/>
      <c r="AF220" s="394"/>
      <c r="AG220" s="318"/>
      <c r="AH220" s="318"/>
      <c r="AI220" s="318"/>
      <c r="AJ220" s="597">
        <f t="shared" si="158"/>
        <v>0</v>
      </c>
      <c r="AK220" s="266"/>
      <c r="AL220" s="115">
        <v>54303</v>
      </c>
      <c r="AM220" s="116" t="s">
        <v>316</v>
      </c>
      <c r="AN220" s="318"/>
      <c r="AO220" s="394"/>
      <c r="AP220" s="394"/>
      <c r="AQ220" s="315">
        <f t="shared" si="159"/>
        <v>0</v>
      </c>
      <c r="AR220" s="875"/>
      <c r="AS220" s="115">
        <v>54303</v>
      </c>
      <c r="AT220" s="116" t="s">
        <v>316</v>
      </c>
      <c r="AU220" s="318"/>
      <c r="AV220" s="318"/>
      <c r="AW220" s="1083"/>
      <c r="AX220" s="318"/>
      <c r="AY220" s="318"/>
      <c r="AZ220" s="318"/>
      <c r="BA220" s="630"/>
      <c r="BB220" s="316">
        <f t="shared" si="171"/>
        <v>0</v>
      </c>
      <c r="BC220" s="875">
        <f t="shared" si="169"/>
        <v>0</v>
      </c>
      <c r="BD220" s="1088">
        <f t="shared" si="172"/>
        <v>0</v>
      </c>
      <c r="BE220" s="876"/>
      <c r="BF220" s="874"/>
    </row>
    <row r="221" spans="1:58" s="52" customFormat="1" ht="11.25" x14ac:dyDescent="0.2">
      <c r="A221" s="115">
        <v>54304</v>
      </c>
      <c r="B221" s="116" t="s">
        <v>317</v>
      </c>
      <c r="C221" s="318"/>
      <c r="D221" s="318"/>
      <c r="E221" s="318"/>
      <c r="F221" s="318"/>
      <c r="G221" s="318"/>
      <c r="H221" s="719"/>
      <c r="I221" s="318"/>
      <c r="J221" s="318"/>
      <c r="K221" s="318"/>
      <c r="L221" s="318"/>
      <c r="M221" s="318"/>
      <c r="N221" s="406">
        <f t="shared" si="170"/>
        <v>0</v>
      </c>
      <c r="O221" s="875"/>
      <c r="P221" s="115">
        <v>54304</v>
      </c>
      <c r="Q221" s="116" t="s">
        <v>317</v>
      </c>
      <c r="R221" s="318"/>
      <c r="S221" s="318"/>
      <c r="T221" s="318"/>
      <c r="U221" s="318"/>
      <c r="V221" s="318"/>
      <c r="W221" s="318"/>
      <c r="X221" s="318"/>
      <c r="Y221" s="394"/>
      <c r="Z221" s="318"/>
      <c r="AA221" s="318"/>
      <c r="AB221" s="318"/>
      <c r="AC221" s="318"/>
      <c r="AD221" s="318"/>
      <c r="AE221" s="394"/>
      <c r="AF221" s="394"/>
      <c r="AG221" s="318"/>
      <c r="AH221" s="318"/>
      <c r="AI221" s="318"/>
      <c r="AJ221" s="597">
        <f t="shared" si="158"/>
        <v>0</v>
      </c>
      <c r="AK221" s="266"/>
      <c r="AL221" s="115">
        <v>54304</v>
      </c>
      <c r="AM221" s="116" t="s">
        <v>317</v>
      </c>
      <c r="AN221" s="318"/>
      <c r="AO221" s="394"/>
      <c r="AP221" s="394"/>
      <c r="AQ221" s="315">
        <f t="shared" si="159"/>
        <v>0</v>
      </c>
      <c r="AR221" s="875"/>
      <c r="AS221" s="115">
        <v>54304</v>
      </c>
      <c r="AT221" s="116" t="s">
        <v>317</v>
      </c>
      <c r="AU221" s="318"/>
      <c r="AV221" s="318"/>
      <c r="AW221" s="1083"/>
      <c r="AX221" s="318"/>
      <c r="AY221" s="318"/>
      <c r="AZ221" s="318"/>
      <c r="BA221" s="630"/>
      <c r="BB221" s="316">
        <f t="shared" si="171"/>
        <v>0</v>
      </c>
      <c r="BC221" s="875">
        <f t="shared" si="169"/>
        <v>0</v>
      </c>
      <c r="BD221" s="1088">
        <f t="shared" si="172"/>
        <v>0</v>
      </c>
      <c r="BE221" s="876"/>
      <c r="BF221" s="874"/>
    </row>
    <row r="222" spans="1:58" s="52" customFormat="1" ht="11.25" x14ac:dyDescent="0.2">
      <c r="A222" s="115">
        <v>54305</v>
      </c>
      <c r="B222" s="116" t="s">
        <v>318</v>
      </c>
      <c r="C222" s="318"/>
      <c r="D222" s="318"/>
      <c r="E222" s="318"/>
      <c r="F222" s="318"/>
      <c r="G222" s="318"/>
      <c r="H222" s="719"/>
      <c r="I222" s="318"/>
      <c r="J222" s="318">
        <v>0</v>
      </c>
      <c r="K222" s="318"/>
      <c r="L222" s="318"/>
      <c r="M222" s="318">
        <v>0</v>
      </c>
      <c r="N222" s="406">
        <f t="shared" si="170"/>
        <v>0</v>
      </c>
      <c r="O222" s="875"/>
      <c r="P222" s="115">
        <v>54305</v>
      </c>
      <c r="Q222" s="116" t="s">
        <v>318</v>
      </c>
      <c r="R222" s="318"/>
      <c r="S222" s="318"/>
      <c r="T222" s="318"/>
      <c r="U222" s="318"/>
      <c r="V222" s="318"/>
      <c r="W222" s="318"/>
      <c r="X222" s="318"/>
      <c r="Y222" s="394"/>
      <c r="Z222" s="318"/>
      <c r="AA222" s="318"/>
      <c r="AB222" s="318"/>
      <c r="AC222" s="318"/>
      <c r="AD222" s="318"/>
      <c r="AE222" s="394"/>
      <c r="AF222" s="394"/>
      <c r="AG222" s="318"/>
      <c r="AH222" s="318"/>
      <c r="AI222" s="318"/>
      <c r="AJ222" s="597">
        <f t="shared" si="158"/>
        <v>0</v>
      </c>
      <c r="AK222" s="266"/>
      <c r="AL222" s="115">
        <v>54305</v>
      </c>
      <c r="AM222" s="116" t="s">
        <v>318</v>
      </c>
      <c r="AN222" s="318"/>
      <c r="AO222" s="394"/>
      <c r="AP222" s="394"/>
      <c r="AQ222" s="315">
        <f t="shared" si="159"/>
        <v>0</v>
      </c>
      <c r="AR222" s="875"/>
      <c r="AS222" s="115">
        <v>54305</v>
      </c>
      <c r="AT222" s="116" t="s">
        <v>318</v>
      </c>
      <c r="AU222" s="318"/>
      <c r="AV222" s="318"/>
      <c r="AW222" s="1083"/>
      <c r="AX222" s="318"/>
      <c r="AY222" s="318"/>
      <c r="AZ222" s="318"/>
      <c r="BA222" s="630"/>
      <c r="BB222" s="316">
        <f t="shared" si="171"/>
        <v>0</v>
      </c>
      <c r="BC222" s="875">
        <f t="shared" si="169"/>
        <v>0</v>
      </c>
      <c r="BD222" s="1088">
        <f t="shared" si="172"/>
        <v>0</v>
      </c>
      <c r="BE222" s="876"/>
      <c r="BF222" s="874"/>
    </row>
    <row r="223" spans="1:58" s="52" customFormat="1" ht="11.25" x14ac:dyDescent="0.2">
      <c r="A223" s="115">
        <v>54306</v>
      </c>
      <c r="B223" s="116" t="s">
        <v>319</v>
      </c>
      <c r="C223" s="318"/>
      <c r="D223" s="318"/>
      <c r="E223" s="318"/>
      <c r="F223" s="318"/>
      <c r="G223" s="318"/>
      <c r="H223" s="719"/>
      <c r="I223" s="318"/>
      <c r="J223" s="318"/>
      <c r="K223" s="318"/>
      <c r="L223" s="318"/>
      <c r="M223" s="318"/>
      <c r="N223" s="406">
        <f t="shared" si="170"/>
        <v>0</v>
      </c>
      <c r="O223" s="875"/>
      <c r="P223" s="115">
        <v>54306</v>
      </c>
      <c r="Q223" s="116" t="s">
        <v>319</v>
      </c>
      <c r="R223" s="318"/>
      <c r="S223" s="318"/>
      <c r="T223" s="318"/>
      <c r="U223" s="318"/>
      <c r="V223" s="318"/>
      <c r="W223" s="318"/>
      <c r="X223" s="318"/>
      <c r="Y223" s="394"/>
      <c r="Z223" s="318"/>
      <c r="AA223" s="318"/>
      <c r="AB223" s="318"/>
      <c r="AC223" s="318"/>
      <c r="AD223" s="318"/>
      <c r="AE223" s="394"/>
      <c r="AF223" s="394"/>
      <c r="AG223" s="318"/>
      <c r="AH223" s="318"/>
      <c r="AI223" s="318"/>
      <c r="AJ223" s="597">
        <f t="shared" si="158"/>
        <v>0</v>
      </c>
      <c r="AK223" s="266"/>
      <c r="AL223" s="115">
        <v>54306</v>
      </c>
      <c r="AM223" s="116" t="s">
        <v>319</v>
      </c>
      <c r="AN223" s="318"/>
      <c r="AO223" s="394"/>
      <c r="AP223" s="394"/>
      <c r="AQ223" s="315">
        <f t="shared" si="159"/>
        <v>0</v>
      </c>
      <c r="AR223" s="875"/>
      <c r="AS223" s="115">
        <v>54306</v>
      </c>
      <c r="AT223" s="116" t="s">
        <v>319</v>
      </c>
      <c r="AU223" s="318"/>
      <c r="AV223" s="318"/>
      <c r="AW223" s="1083"/>
      <c r="AX223" s="318"/>
      <c r="AY223" s="318"/>
      <c r="AZ223" s="318"/>
      <c r="BA223" s="630"/>
      <c r="BB223" s="316">
        <f t="shared" si="171"/>
        <v>0</v>
      </c>
      <c r="BC223" s="875">
        <f t="shared" si="169"/>
        <v>0</v>
      </c>
      <c r="BD223" s="1088">
        <f t="shared" si="172"/>
        <v>0</v>
      </c>
      <c r="BE223" s="876"/>
      <c r="BF223" s="874"/>
    </row>
    <row r="224" spans="1:58" s="52" customFormat="1" ht="11.25" x14ac:dyDescent="0.2">
      <c r="A224" s="115">
        <v>54307</v>
      </c>
      <c r="B224" s="116" t="s">
        <v>320</v>
      </c>
      <c r="C224" s="318"/>
      <c r="D224" s="318"/>
      <c r="E224" s="318"/>
      <c r="F224" s="318"/>
      <c r="G224" s="318"/>
      <c r="H224" s="719"/>
      <c r="I224" s="318"/>
      <c r="J224" s="318"/>
      <c r="K224" s="318"/>
      <c r="L224" s="318"/>
      <c r="M224" s="318"/>
      <c r="N224" s="406">
        <f t="shared" si="170"/>
        <v>0</v>
      </c>
      <c r="O224" s="875"/>
      <c r="P224" s="115">
        <v>54307</v>
      </c>
      <c r="Q224" s="116" t="s">
        <v>320</v>
      </c>
      <c r="R224" s="318"/>
      <c r="S224" s="318"/>
      <c r="T224" s="318"/>
      <c r="U224" s="318"/>
      <c r="V224" s="318"/>
      <c r="W224" s="318"/>
      <c r="X224" s="318"/>
      <c r="Y224" s="394"/>
      <c r="Z224" s="318"/>
      <c r="AA224" s="318"/>
      <c r="AB224" s="318"/>
      <c r="AC224" s="318"/>
      <c r="AD224" s="318"/>
      <c r="AE224" s="394"/>
      <c r="AF224" s="394"/>
      <c r="AG224" s="318"/>
      <c r="AH224" s="318"/>
      <c r="AI224" s="318"/>
      <c r="AJ224" s="597">
        <f t="shared" si="158"/>
        <v>0</v>
      </c>
      <c r="AK224" s="266"/>
      <c r="AL224" s="115">
        <v>54307</v>
      </c>
      <c r="AM224" s="116" t="s">
        <v>320</v>
      </c>
      <c r="AN224" s="318"/>
      <c r="AO224" s="394"/>
      <c r="AP224" s="394"/>
      <c r="AQ224" s="315">
        <f t="shared" si="159"/>
        <v>0</v>
      </c>
      <c r="AR224" s="875"/>
      <c r="AS224" s="115">
        <v>54307</v>
      </c>
      <c r="AT224" s="116" t="s">
        <v>320</v>
      </c>
      <c r="AU224" s="318"/>
      <c r="AV224" s="318"/>
      <c r="AW224" s="1083"/>
      <c r="AX224" s="318"/>
      <c r="AY224" s="318"/>
      <c r="AZ224" s="318"/>
      <c r="BA224" s="630"/>
      <c r="BB224" s="316">
        <f t="shared" si="171"/>
        <v>0</v>
      </c>
      <c r="BC224" s="875">
        <f t="shared" si="169"/>
        <v>0</v>
      </c>
      <c r="BD224" s="1088">
        <f t="shared" si="172"/>
        <v>0</v>
      </c>
      <c r="BE224" s="876"/>
      <c r="BF224" s="874"/>
    </row>
    <row r="225" spans="1:58" s="52" customFormat="1" ht="11.25" x14ac:dyDescent="0.2">
      <c r="A225" s="115">
        <v>54309</v>
      </c>
      <c r="B225" s="116" t="s">
        <v>321</v>
      </c>
      <c r="C225" s="318"/>
      <c r="D225" s="318"/>
      <c r="E225" s="318"/>
      <c r="F225" s="318"/>
      <c r="G225" s="318"/>
      <c r="H225" s="719"/>
      <c r="I225" s="318"/>
      <c r="J225" s="318"/>
      <c r="K225" s="318"/>
      <c r="L225" s="318"/>
      <c r="M225" s="318"/>
      <c r="N225" s="406">
        <f t="shared" si="170"/>
        <v>0</v>
      </c>
      <c r="O225" s="875"/>
      <c r="P225" s="115">
        <v>54309</v>
      </c>
      <c r="Q225" s="116" t="s">
        <v>321</v>
      </c>
      <c r="R225" s="318"/>
      <c r="S225" s="318"/>
      <c r="T225" s="318"/>
      <c r="U225" s="318"/>
      <c r="V225" s="318"/>
      <c r="W225" s="318"/>
      <c r="X225" s="318"/>
      <c r="Y225" s="394"/>
      <c r="Z225" s="318"/>
      <c r="AA225" s="318"/>
      <c r="AB225" s="318"/>
      <c r="AC225" s="318"/>
      <c r="AD225" s="318"/>
      <c r="AE225" s="394"/>
      <c r="AF225" s="394"/>
      <c r="AG225" s="318"/>
      <c r="AH225" s="318"/>
      <c r="AI225" s="318"/>
      <c r="AJ225" s="597">
        <f t="shared" si="158"/>
        <v>0</v>
      </c>
      <c r="AK225" s="266"/>
      <c r="AL225" s="115">
        <v>54309</v>
      </c>
      <c r="AM225" s="116" t="s">
        <v>321</v>
      </c>
      <c r="AN225" s="318"/>
      <c r="AO225" s="394"/>
      <c r="AP225" s="394"/>
      <c r="AQ225" s="315">
        <f t="shared" si="159"/>
        <v>0</v>
      </c>
      <c r="AR225" s="875"/>
      <c r="AS225" s="115">
        <v>54309</v>
      </c>
      <c r="AT225" s="116" t="s">
        <v>321</v>
      </c>
      <c r="AU225" s="318"/>
      <c r="AV225" s="318"/>
      <c r="AW225" s="1083"/>
      <c r="AX225" s="318"/>
      <c r="AY225" s="318"/>
      <c r="AZ225" s="318"/>
      <c r="BA225" s="630"/>
      <c r="BB225" s="316">
        <f t="shared" si="171"/>
        <v>0</v>
      </c>
      <c r="BC225" s="875">
        <f t="shared" si="169"/>
        <v>0</v>
      </c>
      <c r="BD225" s="1088">
        <f t="shared" si="172"/>
        <v>0</v>
      </c>
      <c r="BE225" s="876"/>
      <c r="BF225" s="874"/>
    </row>
    <row r="226" spans="1:58" s="52" customFormat="1" ht="11.25" x14ac:dyDescent="0.2">
      <c r="A226" s="115">
        <v>54310</v>
      </c>
      <c r="B226" s="116" t="s">
        <v>322</v>
      </c>
      <c r="C226" s="318"/>
      <c r="D226" s="318"/>
      <c r="E226" s="318"/>
      <c r="F226" s="318"/>
      <c r="G226" s="318"/>
      <c r="H226" s="719"/>
      <c r="I226" s="318"/>
      <c r="J226" s="318"/>
      <c r="K226" s="318"/>
      <c r="L226" s="318"/>
      <c r="M226" s="318"/>
      <c r="N226" s="406">
        <f t="shared" si="170"/>
        <v>0</v>
      </c>
      <c r="O226" s="875"/>
      <c r="P226" s="115">
        <v>54310</v>
      </c>
      <c r="Q226" s="116" t="s">
        <v>322</v>
      </c>
      <c r="R226" s="318"/>
      <c r="S226" s="318"/>
      <c r="T226" s="318"/>
      <c r="U226" s="318"/>
      <c r="V226" s="318"/>
      <c r="W226" s="318"/>
      <c r="X226" s="318"/>
      <c r="Y226" s="394"/>
      <c r="Z226" s="318"/>
      <c r="AA226" s="318"/>
      <c r="AB226" s="318"/>
      <c r="AC226" s="318"/>
      <c r="AD226" s="318"/>
      <c r="AE226" s="394"/>
      <c r="AF226" s="394"/>
      <c r="AG226" s="318"/>
      <c r="AH226" s="318"/>
      <c r="AI226" s="318"/>
      <c r="AJ226" s="597">
        <f t="shared" si="158"/>
        <v>0</v>
      </c>
      <c r="AK226" s="266"/>
      <c r="AL226" s="115">
        <v>54310</v>
      </c>
      <c r="AM226" s="116" t="s">
        <v>322</v>
      </c>
      <c r="AN226" s="318"/>
      <c r="AO226" s="394"/>
      <c r="AP226" s="394"/>
      <c r="AQ226" s="315">
        <f t="shared" si="159"/>
        <v>0</v>
      </c>
      <c r="AR226" s="875"/>
      <c r="AS226" s="115">
        <v>54310</v>
      </c>
      <c r="AT226" s="116" t="s">
        <v>322</v>
      </c>
      <c r="AU226" s="318"/>
      <c r="AV226" s="318"/>
      <c r="AW226" s="1083"/>
      <c r="AX226" s="318"/>
      <c r="AY226" s="318"/>
      <c r="AZ226" s="318"/>
      <c r="BA226" s="630"/>
      <c r="BB226" s="316">
        <f t="shared" si="171"/>
        <v>0</v>
      </c>
      <c r="BC226" s="875">
        <f t="shared" si="169"/>
        <v>0</v>
      </c>
      <c r="BD226" s="1088">
        <f t="shared" si="172"/>
        <v>0</v>
      </c>
      <c r="BE226" s="876"/>
      <c r="BF226" s="874"/>
    </row>
    <row r="227" spans="1:58" s="52" customFormat="1" ht="11.25" x14ac:dyDescent="0.2">
      <c r="A227" s="115">
        <v>54311</v>
      </c>
      <c r="B227" s="116" t="s">
        <v>323</v>
      </c>
      <c r="C227" s="318"/>
      <c r="D227" s="318"/>
      <c r="E227" s="318"/>
      <c r="F227" s="318"/>
      <c r="G227" s="318"/>
      <c r="H227" s="719"/>
      <c r="I227" s="318"/>
      <c r="J227" s="318"/>
      <c r="K227" s="318"/>
      <c r="L227" s="318"/>
      <c r="M227" s="318"/>
      <c r="N227" s="406">
        <f t="shared" si="170"/>
        <v>0</v>
      </c>
      <c r="O227" s="875"/>
      <c r="P227" s="115">
        <v>54311</v>
      </c>
      <c r="Q227" s="116" t="s">
        <v>323</v>
      </c>
      <c r="R227" s="318"/>
      <c r="S227" s="318"/>
      <c r="T227" s="318"/>
      <c r="U227" s="318"/>
      <c r="V227" s="318"/>
      <c r="W227" s="318"/>
      <c r="X227" s="318"/>
      <c r="Y227" s="394"/>
      <c r="Z227" s="318"/>
      <c r="AA227" s="318"/>
      <c r="AB227" s="318"/>
      <c r="AC227" s="318"/>
      <c r="AD227" s="318"/>
      <c r="AE227" s="394"/>
      <c r="AF227" s="394"/>
      <c r="AG227" s="318"/>
      <c r="AH227" s="318"/>
      <c r="AI227" s="318"/>
      <c r="AJ227" s="597">
        <f t="shared" si="158"/>
        <v>0</v>
      </c>
      <c r="AK227" s="266"/>
      <c r="AL227" s="115">
        <v>54311</v>
      </c>
      <c r="AM227" s="116" t="s">
        <v>323</v>
      </c>
      <c r="AN227" s="318"/>
      <c r="AO227" s="394"/>
      <c r="AP227" s="394"/>
      <c r="AQ227" s="315">
        <f t="shared" si="159"/>
        <v>0</v>
      </c>
      <c r="AR227" s="875"/>
      <c r="AS227" s="115">
        <v>54311</v>
      </c>
      <c r="AT227" s="116" t="s">
        <v>323</v>
      </c>
      <c r="AU227" s="318"/>
      <c r="AV227" s="318"/>
      <c r="AW227" s="1083"/>
      <c r="AX227" s="318"/>
      <c r="AY227" s="318"/>
      <c r="AZ227" s="318"/>
      <c r="BA227" s="630"/>
      <c r="BB227" s="316">
        <f t="shared" si="171"/>
        <v>0</v>
      </c>
      <c r="BC227" s="875">
        <f t="shared" si="169"/>
        <v>0</v>
      </c>
      <c r="BD227" s="1088">
        <f t="shared" si="172"/>
        <v>0</v>
      </c>
      <c r="BE227" s="876"/>
      <c r="BF227" s="874"/>
    </row>
    <row r="228" spans="1:58" s="52" customFormat="1" ht="11.25" x14ac:dyDescent="0.2">
      <c r="A228" s="115">
        <v>54313</v>
      </c>
      <c r="B228" s="116" t="s">
        <v>324</v>
      </c>
      <c r="C228" s="318"/>
      <c r="D228" s="318"/>
      <c r="E228" s="318"/>
      <c r="F228" s="318"/>
      <c r="G228" s="318"/>
      <c r="H228" s="719"/>
      <c r="I228" s="318"/>
      <c r="J228" s="318"/>
      <c r="K228" s="318"/>
      <c r="L228" s="318"/>
      <c r="M228" s="318"/>
      <c r="N228" s="406">
        <f t="shared" si="170"/>
        <v>0</v>
      </c>
      <c r="O228" s="875"/>
      <c r="P228" s="115">
        <v>54313</v>
      </c>
      <c r="Q228" s="116" t="s">
        <v>324</v>
      </c>
      <c r="R228" s="318"/>
      <c r="S228" s="318"/>
      <c r="T228" s="318"/>
      <c r="U228" s="318"/>
      <c r="V228" s="318"/>
      <c r="W228" s="318"/>
      <c r="X228" s="318"/>
      <c r="Y228" s="394"/>
      <c r="Z228" s="318"/>
      <c r="AA228" s="318"/>
      <c r="AB228" s="318"/>
      <c r="AC228" s="318"/>
      <c r="AD228" s="318"/>
      <c r="AE228" s="394"/>
      <c r="AF228" s="394"/>
      <c r="AG228" s="318"/>
      <c r="AH228" s="318"/>
      <c r="AI228" s="318"/>
      <c r="AJ228" s="597">
        <f t="shared" si="158"/>
        <v>0</v>
      </c>
      <c r="AK228" s="266"/>
      <c r="AL228" s="115">
        <v>54313</v>
      </c>
      <c r="AM228" s="116" t="s">
        <v>324</v>
      </c>
      <c r="AN228" s="318"/>
      <c r="AO228" s="394"/>
      <c r="AP228" s="394"/>
      <c r="AQ228" s="315">
        <f t="shared" si="159"/>
        <v>0</v>
      </c>
      <c r="AR228" s="875"/>
      <c r="AS228" s="115">
        <v>54313</v>
      </c>
      <c r="AT228" s="116" t="s">
        <v>324</v>
      </c>
      <c r="AU228" s="318"/>
      <c r="AV228" s="318"/>
      <c r="AW228" s="1083"/>
      <c r="AX228" s="318"/>
      <c r="AY228" s="318"/>
      <c r="AZ228" s="318"/>
      <c r="BA228" s="630"/>
      <c r="BB228" s="316">
        <f t="shared" si="171"/>
        <v>0</v>
      </c>
      <c r="BC228" s="875">
        <f t="shared" si="169"/>
        <v>0</v>
      </c>
      <c r="BD228" s="1088">
        <f t="shared" si="172"/>
        <v>0</v>
      </c>
      <c r="BE228" s="876"/>
      <c r="BF228" s="874"/>
    </row>
    <row r="229" spans="1:58" s="52" customFormat="1" ht="11.25" x14ac:dyDescent="0.2">
      <c r="A229" s="115">
        <v>54314</v>
      </c>
      <c r="B229" s="116" t="s">
        <v>325</v>
      </c>
      <c r="C229" s="318"/>
      <c r="D229" s="318"/>
      <c r="E229" s="318"/>
      <c r="F229" s="318"/>
      <c r="G229" s="318"/>
      <c r="H229" s="719"/>
      <c r="I229" s="318"/>
      <c r="J229" s="318"/>
      <c r="K229" s="318"/>
      <c r="L229" s="318"/>
      <c r="M229" s="318"/>
      <c r="N229" s="406">
        <f t="shared" si="170"/>
        <v>0</v>
      </c>
      <c r="O229" s="875"/>
      <c r="P229" s="115">
        <v>54314</v>
      </c>
      <c r="Q229" s="116" t="s">
        <v>325</v>
      </c>
      <c r="R229" s="318"/>
      <c r="S229" s="318"/>
      <c r="T229" s="318"/>
      <c r="U229" s="318"/>
      <c r="V229" s="318"/>
      <c r="W229" s="318"/>
      <c r="X229" s="318"/>
      <c r="Y229" s="394"/>
      <c r="Z229" s="318"/>
      <c r="AA229" s="318"/>
      <c r="AB229" s="318"/>
      <c r="AC229" s="318"/>
      <c r="AD229" s="318"/>
      <c r="AE229" s="394"/>
      <c r="AF229" s="394"/>
      <c r="AG229" s="318"/>
      <c r="AH229" s="318"/>
      <c r="AI229" s="318"/>
      <c r="AJ229" s="597">
        <f t="shared" si="158"/>
        <v>0</v>
      </c>
      <c r="AK229" s="266"/>
      <c r="AL229" s="115">
        <v>54314</v>
      </c>
      <c r="AM229" s="116" t="s">
        <v>325</v>
      </c>
      <c r="AN229" s="318"/>
      <c r="AO229" s="394"/>
      <c r="AP229" s="394"/>
      <c r="AQ229" s="315">
        <f t="shared" si="159"/>
        <v>0</v>
      </c>
      <c r="AR229" s="875"/>
      <c r="AS229" s="115">
        <v>54314</v>
      </c>
      <c r="AT229" s="116" t="s">
        <v>325</v>
      </c>
      <c r="AU229" s="318"/>
      <c r="AV229" s="318"/>
      <c r="AW229" s="1083"/>
      <c r="AX229" s="318"/>
      <c r="AY229" s="318"/>
      <c r="AZ229" s="318"/>
      <c r="BA229" s="630"/>
      <c r="BB229" s="316">
        <f t="shared" si="171"/>
        <v>0</v>
      </c>
      <c r="BC229" s="875">
        <f t="shared" si="169"/>
        <v>0</v>
      </c>
      <c r="BD229" s="1088">
        <f t="shared" si="172"/>
        <v>0</v>
      </c>
      <c r="BE229" s="876"/>
      <c r="BF229" s="874"/>
    </row>
    <row r="230" spans="1:58" s="52" customFormat="1" ht="11.25" x14ac:dyDescent="0.2">
      <c r="A230" s="115">
        <v>54399</v>
      </c>
      <c r="B230" s="116" t="s">
        <v>326</v>
      </c>
      <c r="C230" s="318"/>
      <c r="D230" s="318"/>
      <c r="E230" s="318"/>
      <c r="F230" s="318"/>
      <c r="G230" s="318"/>
      <c r="H230" s="719"/>
      <c r="I230" s="318"/>
      <c r="J230" s="318"/>
      <c r="K230" s="318"/>
      <c r="L230" s="318"/>
      <c r="M230" s="318"/>
      <c r="N230" s="406">
        <f t="shared" si="170"/>
        <v>0</v>
      </c>
      <c r="O230" s="875"/>
      <c r="P230" s="115">
        <v>54399</v>
      </c>
      <c r="Q230" s="116" t="s">
        <v>326</v>
      </c>
      <c r="R230" s="318"/>
      <c r="S230" s="318"/>
      <c r="T230" s="318"/>
      <c r="U230" s="318"/>
      <c r="V230" s="318"/>
      <c r="W230" s="318"/>
      <c r="X230" s="318"/>
      <c r="Y230" s="394"/>
      <c r="Z230" s="318"/>
      <c r="AA230" s="318"/>
      <c r="AB230" s="318"/>
      <c r="AC230" s="318"/>
      <c r="AD230" s="318"/>
      <c r="AE230" s="394"/>
      <c r="AF230" s="394"/>
      <c r="AG230" s="318"/>
      <c r="AH230" s="318"/>
      <c r="AI230" s="318"/>
      <c r="AJ230" s="597">
        <f t="shared" si="158"/>
        <v>0</v>
      </c>
      <c r="AK230" s="266"/>
      <c r="AL230" s="115">
        <v>54399</v>
      </c>
      <c r="AM230" s="116" t="s">
        <v>326</v>
      </c>
      <c r="AN230" s="318"/>
      <c r="AO230" s="394"/>
      <c r="AP230" s="394"/>
      <c r="AQ230" s="315">
        <f t="shared" si="159"/>
        <v>0</v>
      </c>
      <c r="AR230" s="875"/>
      <c r="AS230" s="115">
        <v>54399</v>
      </c>
      <c r="AT230" s="116" t="s">
        <v>326</v>
      </c>
      <c r="AU230" s="318"/>
      <c r="AV230" s="318"/>
      <c r="AW230" s="1083"/>
      <c r="AX230" s="724">
        <v>312000</v>
      </c>
      <c r="AY230" s="318"/>
      <c r="AZ230" s="318"/>
      <c r="BA230" s="630"/>
      <c r="BB230" s="316">
        <f t="shared" si="171"/>
        <v>312000</v>
      </c>
      <c r="BC230" s="875">
        <f t="shared" si="169"/>
        <v>312000</v>
      </c>
      <c r="BD230" s="1088">
        <f t="shared" si="172"/>
        <v>312000</v>
      </c>
      <c r="BE230" s="876"/>
      <c r="BF230" s="874"/>
    </row>
    <row r="231" spans="1:58" s="125" customFormat="1" ht="11.25" x14ac:dyDescent="0.2">
      <c r="A231" s="267">
        <v>544</v>
      </c>
      <c r="B231" s="121" t="s">
        <v>111</v>
      </c>
      <c r="C231" s="319">
        <f>SUM(C232:C235)</f>
        <v>0</v>
      </c>
      <c r="D231" s="319">
        <f t="shared" ref="D231:M231" si="173">SUM(D232:D235)</f>
        <v>0</v>
      </c>
      <c r="E231" s="319">
        <f t="shared" si="173"/>
        <v>0</v>
      </c>
      <c r="F231" s="319">
        <f t="shared" si="173"/>
        <v>0</v>
      </c>
      <c r="G231" s="319">
        <f t="shared" si="173"/>
        <v>0</v>
      </c>
      <c r="H231" s="719"/>
      <c r="I231" s="319">
        <f t="shared" si="173"/>
        <v>0</v>
      </c>
      <c r="J231" s="319">
        <f t="shared" si="173"/>
        <v>0</v>
      </c>
      <c r="K231" s="319">
        <f t="shared" si="173"/>
        <v>0</v>
      </c>
      <c r="L231" s="319">
        <f t="shared" si="173"/>
        <v>0</v>
      </c>
      <c r="M231" s="319">
        <f t="shared" si="173"/>
        <v>0</v>
      </c>
      <c r="N231" s="402">
        <f>SUM(N232:N235)</f>
        <v>0</v>
      </c>
      <c r="O231" s="875"/>
      <c r="P231" s="267">
        <v>544</v>
      </c>
      <c r="Q231" s="121" t="s">
        <v>111</v>
      </c>
      <c r="R231" s="319">
        <f>SUM(R232:R235)</f>
        <v>0</v>
      </c>
      <c r="S231" s="319">
        <f t="shared" ref="S231:AH231" si="174">SUM(S232:S235)</f>
        <v>0</v>
      </c>
      <c r="T231" s="319">
        <f t="shared" si="174"/>
        <v>0</v>
      </c>
      <c r="U231" s="319">
        <f t="shared" si="174"/>
        <v>0</v>
      </c>
      <c r="V231" s="319">
        <f t="shared" si="174"/>
        <v>0</v>
      </c>
      <c r="W231" s="319">
        <f t="shared" si="174"/>
        <v>0</v>
      </c>
      <c r="X231" s="319">
        <f t="shared" si="174"/>
        <v>0</v>
      </c>
      <c r="Y231" s="319">
        <f t="shared" si="174"/>
        <v>0</v>
      </c>
      <c r="Z231" s="319">
        <f t="shared" si="174"/>
        <v>0</v>
      </c>
      <c r="AA231" s="319">
        <f t="shared" si="174"/>
        <v>0</v>
      </c>
      <c r="AB231" s="319">
        <f t="shared" si="174"/>
        <v>0</v>
      </c>
      <c r="AC231" s="319">
        <f t="shared" si="174"/>
        <v>0</v>
      </c>
      <c r="AD231" s="319">
        <f t="shared" si="174"/>
        <v>0</v>
      </c>
      <c r="AE231" s="319">
        <f t="shared" si="174"/>
        <v>0</v>
      </c>
      <c r="AF231" s="319">
        <f t="shared" si="174"/>
        <v>0</v>
      </c>
      <c r="AG231" s="319">
        <f t="shared" si="174"/>
        <v>0</v>
      </c>
      <c r="AH231" s="319">
        <f t="shared" si="174"/>
        <v>0</v>
      </c>
      <c r="AI231" s="319"/>
      <c r="AJ231" s="597">
        <f t="shared" si="158"/>
        <v>0</v>
      </c>
      <c r="AK231" s="266"/>
      <c r="AL231" s="267">
        <v>544</v>
      </c>
      <c r="AM231" s="121" t="s">
        <v>111</v>
      </c>
      <c r="AN231" s="319">
        <f>SUM(AN232:AN235)</f>
        <v>0</v>
      </c>
      <c r="AO231" s="319">
        <f>SUM(AO232:AO235)</f>
        <v>0</v>
      </c>
      <c r="AP231" s="319">
        <f>SUM(AP232:AP235)</f>
        <v>0</v>
      </c>
      <c r="AQ231" s="319">
        <f>SUM(AQ232:AQ235)</f>
        <v>0</v>
      </c>
      <c r="AR231" s="875"/>
      <c r="AS231" s="267">
        <v>544</v>
      </c>
      <c r="AT231" s="121" t="s">
        <v>111</v>
      </c>
      <c r="AU231" s="319">
        <f>SUM(AU232:AU235)</f>
        <v>0</v>
      </c>
      <c r="AV231" s="319">
        <f t="shared" ref="AV231:BA231" si="175">SUM(AV232:AV235)</f>
        <v>0</v>
      </c>
      <c r="AW231" s="1084">
        <f t="shared" si="175"/>
        <v>0</v>
      </c>
      <c r="AX231" s="319">
        <f t="shared" si="175"/>
        <v>0</v>
      </c>
      <c r="AY231" s="319">
        <f t="shared" si="175"/>
        <v>0</v>
      </c>
      <c r="AZ231" s="319">
        <f t="shared" si="175"/>
        <v>0</v>
      </c>
      <c r="BA231" s="319">
        <f t="shared" si="175"/>
        <v>0</v>
      </c>
      <c r="BB231" s="860">
        <f>SUM(AW231:AZ231)</f>
        <v>0</v>
      </c>
      <c r="BC231" s="875">
        <f t="shared" si="169"/>
        <v>0</v>
      </c>
      <c r="BD231" s="1088"/>
      <c r="BE231" s="876"/>
      <c r="BF231" s="874"/>
    </row>
    <row r="232" spans="1:58" s="52" customFormat="1" ht="11.25" x14ac:dyDescent="0.2">
      <c r="A232" s="115">
        <v>54401</v>
      </c>
      <c r="B232" s="116" t="s">
        <v>327</v>
      </c>
      <c r="C232" s="318"/>
      <c r="D232" s="318"/>
      <c r="E232" s="318"/>
      <c r="F232" s="318"/>
      <c r="G232" s="318"/>
      <c r="H232" s="318"/>
      <c r="I232" s="318">
        <v>0</v>
      </c>
      <c r="J232" s="318">
        <v>0</v>
      </c>
      <c r="K232" s="318"/>
      <c r="L232" s="318"/>
      <c r="M232" s="318">
        <v>0</v>
      </c>
      <c r="N232" s="406">
        <f>SUM(C232:M232)</f>
        <v>0</v>
      </c>
      <c r="O232" s="875"/>
      <c r="P232" s="115">
        <v>54401</v>
      </c>
      <c r="Q232" s="116" t="s">
        <v>327</v>
      </c>
      <c r="R232" s="318"/>
      <c r="S232" s="318"/>
      <c r="T232" s="318"/>
      <c r="U232" s="318"/>
      <c r="V232" s="318">
        <f>SUM(V233:V236)</f>
        <v>0</v>
      </c>
      <c r="W232" s="318"/>
      <c r="X232" s="318">
        <v>0</v>
      </c>
      <c r="Y232" s="394">
        <v>0</v>
      </c>
      <c r="Z232" s="318"/>
      <c r="AA232" s="318"/>
      <c r="AB232" s="318"/>
      <c r="AC232" s="318"/>
      <c r="AD232" s="318">
        <v>0</v>
      </c>
      <c r="AE232" s="394">
        <v>0</v>
      </c>
      <c r="AF232" s="394">
        <v>0</v>
      </c>
      <c r="AG232" s="318">
        <v>0</v>
      </c>
      <c r="AH232" s="318"/>
      <c r="AI232" s="318"/>
      <c r="AJ232" s="597">
        <f t="shared" si="158"/>
        <v>0</v>
      </c>
      <c r="AK232" s="266"/>
      <c r="AL232" s="115">
        <v>54401</v>
      </c>
      <c r="AM232" s="116" t="s">
        <v>327</v>
      </c>
      <c r="AN232" s="318"/>
      <c r="AO232" s="394"/>
      <c r="AP232" s="394"/>
      <c r="AQ232" s="315">
        <f t="shared" si="159"/>
        <v>0</v>
      </c>
      <c r="AR232" s="875"/>
      <c r="AS232" s="115">
        <v>54401</v>
      </c>
      <c r="AT232" s="116" t="s">
        <v>327</v>
      </c>
      <c r="AU232" s="318"/>
      <c r="AV232" s="318"/>
      <c r="AW232" s="1083">
        <v>0</v>
      </c>
      <c r="AX232" s="318">
        <v>0</v>
      </c>
      <c r="AY232" s="318">
        <v>0</v>
      </c>
      <c r="AZ232" s="318">
        <v>0</v>
      </c>
      <c r="BA232" s="630"/>
      <c r="BB232" s="316">
        <f>SUM(AU232:AZ232)</f>
        <v>0</v>
      </c>
      <c r="BC232" s="875">
        <f t="shared" si="169"/>
        <v>0</v>
      </c>
      <c r="BD232" s="1088">
        <f>BB232+AQ232+AJ232+N232</f>
        <v>0</v>
      </c>
      <c r="BE232" s="876"/>
      <c r="BF232" s="874"/>
    </row>
    <row r="233" spans="1:58" s="52" customFormat="1" ht="11.25" x14ac:dyDescent="0.2">
      <c r="A233" s="115">
        <v>54402</v>
      </c>
      <c r="B233" s="116" t="s">
        <v>328</v>
      </c>
      <c r="C233" s="318"/>
      <c r="D233" s="318"/>
      <c r="E233" s="318"/>
      <c r="F233" s="318"/>
      <c r="G233" s="318"/>
      <c r="H233" s="318"/>
      <c r="I233" s="318"/>
      <c r="J233" s="318"/>
      <c r="K233" s="318"/>
      <c r="L233" s="318"/>
      <c r="M233" s="318"/>
      <c r="N233" s="406">
        <f>SUM(C233:M233)</f>
        <v>0</v>
      </c>
      <c r="O233" s="875"/>
      <c r="P233" s="115">
        <v>54402</v>
      </c>
      <c r="Q233" s="116" t="s">
        <v>328</v>
      </c>
      <c r="R233" s="318"/>
      <c r="S233" s="318"/>
      <c r="T233" s="318"/>
      <c r="U233" s="318"/>
      <c r="V233" s="318"/>
      <c r="W233" s="318"/>
      <c r="X233" s="318"/>
      <c r="Y233" s="394"/>
      <c r="Z233" s="318"/>
      <c r="AA233" s="318"/>
      <c r="AB233" s="318"/>
      <c r="AC233" s="318"/>
      <c r="AD233" s="318"/>
      <c r="AE233" s="394"/>
      <c r="AF233" s="394"/>
      <c r="AG233" s="318"/>
      <c r="AH233" s="318"/>
      <c r="AI233" s="318"/>
      <c r="AJ233" s="597">
        <f t="shared" si="158"/>
        <v>0</v>
      </c>
      <c r="AK233" s="266"/>
      <c r="AL233" s="115">
        <v>54402</v>
      </c>
      <c r="AM233" s="116" t="s">
        <v>328</v>
      </c>
      <c r="AN233" s="318"/>
      <c r="AO233" s="394"/>
      <c r="AP233" s="394"/>
      <c r="AQ233" s="315">
        <f t="shared" si="159"/>
        <v>0</v>
      </c>
      <c r="AR233" s="875"/>
      <c r="AS233" s="115">
        <v>54402</v>
      </c>
      <c r="AT233" s="116" t="s">
        <v>328</v>
      </c>
      <c r="AU233" s="318"/>
      <c r="AV233" s="318"/>
      <c r="AW233" s="1083"/>
      <c r="AX233" s="318"/>
      <c r="AY233" s="318"/>
      <c r="AZ233" s="318"/>
      <c r="BA233" s="630"/>
      <c r="BB233" s="316">
        <f>SUM(AU233:AZ233)</f>
        <v>0</v>
      </c>
      <c r="BC233" s="875">
        <f t="shared" si="169"/>
        <v>0</v>
      </c>
      <c r="BD233" s="1088">
        <f>BB233+AQ233+AJ233+N233</f>
        <v>0</v>
      </c>
      <c r="BE233" s="876"/>
      <c r="BF233" s="874"/>
    </row>
    <row r="234" spans="1:58" s="52" customFormat="1" ht="11.25" x14ac:dyDescent="0.2">
      <c r="A234" s="115">
        <v>54403</v>
      </c>
      <c r="B234" s="116" t="s">
        <v>330</v>
      </c>
      <c r="C234" s="318"/>
      <c r="D234" s="318"/>
      <c r="E234" s="318"/>
      <c r="F234" s="318"/>
      <c r="G234" s="318"/>
      <c r="H234" s="318"/>
      <c r="I234" s="318"/>
      <c r="J234" s="318"/>
      <c r="K234" s="318"/>
      <c r="L234" s="318"/>
      <c r="M234" s="318"/>
      <c r="N234" s="406">
        <f>SUM(C234:M234)</f>
        <v>0</v>
      </c>
      <c r="O234" s="875"/>
      <c r="P234" s="115">
        <v>54403</v>
      </c>
      <c r="Q234" s="116" t="s">
        <v>330</v>
      </c>
      <c r="R234" s="318"/>
      <c r="S234" s="318"/>
      <c r="T234" s="318"/>
      <c r="U234" s="318"/>
      <c r="V234" s="318"/>
      <c r="W234" s="318"/>
      <c r="X234" s="318"/>
      <c r="Y234" s="394"/>
      <c r="Z234" s="318"/>
      <c r="AA234" s="318"/>
      <c r="AB234" s="318"/>
      <c r="AC234" s="318"/>
      <c r="AD234" s="318"/>
      <c r="AE234" s="394"/>
      <c r="AF234" s="394"/>
      <c r="AG234" s="318"/>
      <c r="AH234" s="318"/>
      <c r="AI234" s="318"/>
      <c r="AJ234" s="597">
        <f t="shared" si="158"/>
        <v>0</v>
      </c>
      <c r="AK234" s="266"/>
      <c r="AL234" s="115">
        <v>54403</v>
      </c>
      <c r="AM234" s="116" t="s">
        <v>330</v>
      </c>
      <c r="AN234" s="318"/>
      <c r="AO234" s="394"/>
      <c r="AP234" s="394"/>
      <c r="AQ234" s="315">
        <f t="shared" si="159"/>
        <v>0</v>
      </c>
      <c r="AR234" s="875"/>
      <c r="AS234" s="115">
        <v>54403</v>
      </c>
      <c r="AT234" s="116" t="s">
        <v>330</v>
      </c>
      <c r="AU234" s="318"/>
      <c r="AV234" s="318"/>
      <c r="AW234" s="1083"/>
      <c r="AX234" s="318"/>
      <c r="AY234" s="318"/>
      <c r="AZ234" s="318"/>
      <c r="BA234" s="630"/>
      <c r="BB234" s="316">
        <f>SUM(AU234:AZ234)</f>
        <v>0</v>
      </c>
      <c r="BC234" s="875">
        <f t="shared" si="169"/>
        <v>0</v>
      </c>
      <c r="BD234" s="1088">
        <f>BB234+AQ234+AJ234+N234</f>
        <v>0</v>
      </c>
      <c r="BE234" s="876"/>
      <c r="BF234" s="874"/>
    </row>
    <row r="235" spans="1:58" s="52" customFormat="1" ht="11.25" x14ac:dyDescent="0.2">
      <c r="A235" s="115">
        <v>54404</v>
      </c>
      <c r="B235" s="116" t="s">
        <v>329</v>
      </c>
      <c r="C235" s="318"/>
      <c r="D235" s="318"/>
      <c r="E235" s="318"/>
      <c r="F235" s="318"/>
      <c r="G235" s="318"/>
      <c r="H235" s="318"/>
      <c r="I235" s="318"/>
      <c r="J235" s="318"/>
      <c r="K235" s="318"/>
      <c r="L235" s="318"/>
      <c r="M235" s="318"/>
      <c r="N235" s="406">
        <f>SUM(C235:M235)</f>
        <v>0</v>
      </c>
      <c r="O235" s="875"/>
      <c r="P235" s="115">
        <v>54404</v>
      </c>
      <c r="Q235" s="116" t="s">
        <v>329</v>
      </c>
      <c r="R235" s="318"/>
      <c r="S235" s="318"/>
      <c r="T235" s="318"/>
      <c r="U235" s="318"/>
      <c r="V235" s="318"/>
      <c r="W235" s="318"/>
      <c r="X235" s="318"/>
      <c r="Y235" s="394"/>
      <c r="Z235" s="318"/>
      <c r="AA235" s="318"/>
      <c r="AB235" s="318"/>
      <c r="AC235" s="318"/>
      <c r="AD235" s="318"/>
      <c r="AE235" s="394"/>
      <c r="AF235" s="394"/>
      <c r="AG235" s="318"/>
      <c r="AH235" s="318"/>
      <c r="AI235" s="318"/>
      <c r="AJ235" s="597">
        <f t="shared" si="158"/>
        <v>0</v>
      </c>
      <c r="AK235" s="266"/>
      <c r="AL235" s="115">
        <v>54404</v>
      </c>
      <c r="AM235" s="116" t="s">
        <v>329</v>
      </c>
      <c r="AN235" s="318"/>
      <c r="AO235" s="394"/>
      <c r="AP235" s="394"/>
      <c r="AQ235" s="315">
        <f t="shared" si="159"/>
        <v>0</v>
      </c>
      <c r="AR235" s="875"/>
      <c r="AS235" s="115">
        <v>54404</v>
      </c>
      <c r="AT235" s="116" t="s">
        <v>329</v>
      </c>
      <c r="AU235" s="318"/>
      <c r="AV235" s="318"/>
      <c r="AW235" s="1083"/>
      <c r="AX235" s="318"/>
      <c r="AY235" s="318"/>
      <c r="AZ235" s="318"/>
      <c r="BA235" s="630"/>
      <c r="BB235" s="316">
        <f>SUM(AU235:AZ235)</f>
        <v>0</v>
      </c>
      <c r="BC235" s="875">
        <f t="shared" si="169"/>
        <v>0</v>
      </c>
      <c r="BD235" s="1088">
        <f>BB235+AQ235+AJ235+N235</f>
        <v>0</v>
      </c>
      <c r="BE235" s="876"/>
      <c r="BF235" s="874"/>
    </row>
    <row r="236" spans="1:58" s="125" customFormat="1" ht="11.25" x14ac:dyDescent="0.2">
      <c r="A236" s="267">
        <v>545</v>
      </c>
      <c r="B236" s="121" t="s">
        <v>331</v>
      </c>
      <c r="C236" s="319">
        <f>C237+C238+C239+C240</f>
        <v>0</v>
      </c>
      <c r="D236" s="319">
        <f t="shared" ref="D236:N236" si="176">D237+D238+D239+D240</f>
        <v>0</v>
      </c>
      <c r="E236" s="319">
        <f t="shared" si="176"/>
        <v>0</v>
      </c>
      <c r="F236" s="319">
        <f t="shared" si="176"/>
        <v>0</v>
      </c>
      <c r="G236" s="319">
        <f t="shared" si="176"/>
        <v>0</v>
      </c>
      <c r="H236" s="319">
        <f t="shared" si="176"/>
        <v>0</v>
      </c>
      <c r="I236" s="319">
        <f>I237+I238+I239+I240</f>
        <v>0</v>
      </c>
      <c r="J236" s="319">
        <f>J237+J238+J239+J240</f>
        <v>0</v>
      </c>
      <c r="K236" s="319">
        <f>K237+K238+K239+K240</f>
        <v>0</v>
      </c>
      <c r="L236" s="319">
        <f>L237+L238+L239+L240</f>
        <v>0</v>
      </c>
      <c r="M236" s="319">
        <f t="shared" si="176"/>
        <v>0</v>
      </c>
      <c r="N236" s="402">
        <f t="shared" si="176"/>
        <v>0</v>
      </c>
      <c r="O236" s="875"/>
      <c r="P236" s="267">
        <v>545</v>
      </c>
      <c r="Q236" s="121" t="s">
        <v>331</v>
      </c>
      <c r="R236" s="319">
        <f>R237+R238+R239+R240</f>
        <v>0</v>
      </c>
      <c r="S236" s="319">
        <f t="shared" ref="S236:AG236" si="177">S237+S238+S239+S240</f>
        <v>0</v>
      </c>
      <c r="T236" s="319">
        <f t="shared" si="177"/>
        <v>0</v>
      </c>
      <c r="U236" s="319">
        <f t="shared" si="177"/>
        <v>0</v>
      </c>
      <c r="V236" s="319"/>
      <c r="W236" s="319">
        <f t="shared" si="177"/>
        <v>0</v>
      </c>
      <c r="X236" s="319">
        <f t="shared" si="177"/>
        <v>0</v>
      </c>
      <c r="Y236" s="319">
        <f t="shared" si="177"/>
        <v>0</v>
      </c>
      <c r="Z236" s="319">
        <f t="shared" si="177"/>
        <v>0</v>
      </c>
      <c r="AA236" s="319">
        <f t="shared" si="177"/>
        <v>0</v>
      </c>
      <c r="AB236" s="319">
        <f t="shared" si="177"/>
        <v>0</v>
      </c>
      <c r="AC236" s="319">
        <f t="shared" si="177"/>
        <v>0</v>
      </c>
      <c r="AD236" s="319">
        <f t="shared" si="177"/>
        <v>0</v>
      </c>
      <c r="AE236" s="319">
        <f t="shared" si="177"/>
        <v>0</v>
      </c>
      <c r="AF236" s="319">
        <f t="shared" si="177"/>
        <v>0</v>
      </c>
      <c r="AG236" s="319">
        <f t="shared" si="177"/>
        <v>0</v>
      </c>
      <c r="AH236" s="319"/>
      <c r="AI236" s="319"/>
      <c r="AJ236" s="597">
        <f t="shared" si="158"/>
        <v>0</v>
      </c>
      <c r="AK236" s="266"/>
      <c r="AL236" s="267">
        <v>545</v>
      </c>
      <c r="AM236" s="121" t="s">
        <v>331</v>
      </c>
      <c r="AN236" s="319">
        <f>AN237+AN238+AN239+AN240</f>
        <v>0</v>
      </c>
      <c r="AO236" s="319">
        <f>AO237+AO238+AO239+AO240</f>
        <v>0</v>
      </c>
      <c r="AP236" s="319">
        <f>AP237+AP238+AP239+AP240</f>
        <v>0</v>
      </c>
      <c r="AQ236" s="319">
        <f>AQ237+AQ238+AQ239+AQ240</f>
        <v>0</v>
      </c>
      <c r="AR236" s="875"/>
      <c r="AS236" s="267">
        <v>545</v>
      </c>
      <c r="AT236" s="121" t="s">
        <v>331</v>
      </c>
      <c r="AU236" s="319">
        <f t="shared" ref="AU236:BB236" si="178">AU237+AU238+AU239+AU240</f>
        <v>0</v>
      </c>
      <c r="AV236" s="319">
        <f t="shared" si="178"/>
        <v>0</v>
      </c>
      <c r="AW236" s="1084">
        <f t="shared" si="178"/>
        <v>0</v>
      </c>
      <c r="AX236" s="319">
        <f t="shared" si="178"/>
        <v>0</v>
      </c>
      <c r="AY236" s="319">
        <f t="shared" si="178"/>
        <v>0</v>
      </c>
      <c r="AZ236" s="319">
        <f t="shared" si="178"/>
        <v>0</v>
      </c>
      <c r="BA236" s="319">
        <f t="shared" si="178"/>
        <v>0</v>
      </c>
      <c r="BB236" s="319">
        <f t="shared" si="178"/>
        <v>0</v>
      </c>
      <c r="BC236" s="875">
        <f t="shared" si="169"/>
        <v>0</v>
      </c>
      <c r="BD236" s="1088"/>
      <c r="BE236" s="876"/>
      <c r="BF236" s="874"/>
    </row>
    <row r="237" spans="1:58" s="52" customFormat="1" ht="11.25" x14ac:dyDescent="0.2">
      <c r="A237" s="115">
        <v>54503</v>
      </c>
      <c r="B237" s="116" t="s">
        <v>462</v>
      </c>
      <c r="C237" s="318"/>
      <c r="D237" s="318"/>
      <c r="E237" s="318"/>
      <c r="F237" s="318"/>
      <c r="G237" s="318"/>
      <c r="H237" s="318"/>
      <c r="I237" s="318"/>
      <c r="J237" s="318"/>
      <c r="K237" s="318"/>
      <c r="L237" s="318"/>
      <c r="M237" s="318"/>
      <c r="N237" s="406">
        <f>SUM(C237:M237)</f>
        <v>0</v>
      </c>
      <c r="O237" s="875"/>
      <c r="P237" s="115">
        <v>54503</v>
      </c>
      <c r="Q237" s="116" t="s">
        <v>462</v>
      </c>
      <c r="R237" s="318"/>
      <c r="S237" s="318"/>
      <c r="T237" s="318"/>
      <c r="U237" s="318"/>
      <c r="V237" s="318">
        <f>V238+V239+V240+V241</f>
        <v>0</v>
      </c>
      <c r="W237" s="318"/>
      <c r="X237" s="318"/>
      <c r="Y237" s="394"/>
      <c r="Z237" s="318"/>
      <c r="AA237" s="318"/>
      <c r="AB237" s="318"/>
      <c r="AC237" s="318"/>
      <c r="AD237" s="318"/>
      <c r="AE237" s="394"/>
      <c r="AF237" s="394"/>
      <c r="AG237" s="318"/>
      <c r="AH237" s="318"/>
      <c r="AI237" s="318"/>
      <c r="AJ237" s="597">
        <f t="shared" si="158"/>
        <v>0</v>
      </c>
      <c r="AK237" s="266"/>
      <c r="AL237" s="115">
        <v>54503</v>
      </c>
      <c r="AM237" s="116" t="s">
        <v>462</v>
      </c>
      <c r="AN237" s="318"/>
      <c r="AO237" s="394"/>
      <c r="AP237" s="394"/>
      <c r="AQ237" s="315">
        <f t="shared" si="159"/>
        <v>0</v>
      </c>
      <c r="AR237" s="875"/>
      <c r="AS237" s="117">
        <v>54503</v>
      </c>
      <c r="AT237" s="116" t="s">
        <v>462</v>
      </c>
      <c r="AU237" s="318"/>
      <c r="AV237" s="318"/>
      <c r="AW237" s="1083"/>
      <c r="AX237" s="318"/>
      <c r="AY237" s="318"/>
      <c r="AZ237" s="318"/>
      <c r="BA237" s="630"/>
      <c r="BB237" s="316">
        <f>SUM(AU237:AZ237)</f>
        <v>0</v>
      </c>
      <c r="BC237" s="875">
        <f t="shared" si="169"/>
        <v>0</v>
      </c>
      <c r="BD237" s="1088">
        <f>BB237+AQ237+AJ237+N237</f>
        <v>0</v>
      </c>
      <c r="BE237" s="876"/>
      <c r="BF237" s="874"/>
    </row>
    <row r="238" spans="1:58" s="52" customFormat="1" ht="11.25" x14ac:dyDescent="0.2">
      <c r="A238" s="115">
        <v>54505</v>
      </c>
      <c r="B238" s="116" t="s">
        <v>333</v>
      </c>
      <c r="C238" s="318"/>
      <c r="D238" s="318"/>
      <c r="E238" s="318"/>
      <c r="F238" s="318"/>
      <c r="G238" s="318"/>
      <c r="H238" s="318"/>
      <c r="I238" s="318"/>
      <c r="J238" s="318"/>
      <c r="K238" s="318"/>
      <c r="L238" s="318"/>
      <c r="M238" s="318"/>
      <c r="N238" s="406">
        <f>SUM(C238:M238)</f>
        <v>0</v>
      </c>
      <c r="O238" s="875"/>
      <c r="P238" s="115">
        <v>54505</v>
      </c>
      <c r="Q238" s="116" t="s">
        <v>333</v>
      </c>
      <c r="R238" s="318"/>
      <c r="S238" s="318"/>
      <c r="T238" s="318"/>
      <c r="U238" s="318"/>
      <c r="V238" s="318"/>
      <c r="W238" s="318"/>
      <c r="X238" s="318"/>
      <c r="Y238" s="394"/>
      <c r="Z238" s="318"/>
      <c r="AA238" s="318"/>
      <c r="AB238" s="318"/>
      <c r="AC238" s="318"/>
      <c r="AD238" s="318"/>
      <c r="AE238" s="394"/>
      <c r="AF238" s="394"/>
      <c r="AG238" s="318"/>
      <c r="AH238" s="318"/>
      <c r="AI238" s="318"/>
      <c r="AJ238" s="597">
        <f t="shared" si="158"/>
        <v>0</v>
      </c>
      <c r="AK238" s="266"/>
      <c r="AL238" s="115">
        <v>54505</v>
      </c>
      <c r="AM238" s="116" t="s">
        <v>333</v>
      </c>
      <c r="AN238" s="318"/>
      <c r="AO238" s="394"/>
      <c r="AP238" s="394"/>
      <c r="AQ238" s="315">
        <f t="shared" si="159"/>
        <v>0</v>
      </c>
      <c r="AR238" s="875"/>
      <c r="AS238" s="117">
        <v>54505</v>
      </c>
      <c r="AT238" s="116" t="s">
        <v>333</v>
      </c>
      <c r="AU238" s="318"/>
      <c r="AV238" s="318"/>
      <c r="AW238" s="1083"/>
      <c r="AX238" s="318"/>
      <c r="AY238" s="318"/>
      <c r="AZ238" s="318"/>
      <c r="BA238" s="630"/>
      <c r="BB238" s="316">
        <f>SUM(AU238:AZ238)</f>
        <v>0</v>
      </c>
      <c r="BC238" s="875">
        <f t="shared" si="169"/>
        <v>0</v>
      </c>
      <c r="BD238" s="1088">
        <f>BB238+AQ238+AJ238+N238</f>
        <v>0</v>
      </c>
      <c r="BE238" s="876"/>
      <c r="BF238" s="874"/>
    </row>
    <row r="239" spans="1:58" s="52" customFormat="1" ht="11.25" x14ac:dyDescent="0.2">
      <c r="A239" s="115">
        <v>54507</v>
      </c>
      <c r="B239" s="116" t="s">
        <v>482</v>
      </c>
      <c r="C239" s="318"/>
      <c r="D239" s="318"/>
      <c r="E239" s="318"/>
      <c r="F239" s="318"/>
      <c r="G239" s="318"/>
      <c r="H239" s="318"/>
      <c r="I239" s="318"/>
      <c r="J239" s="318"/>
      <c r="K239" s="318"/>
      <c r="L239" s="318"/>
      <c r="M239" s="318"/>
      <c r="N239" s="406">
        <f>SUM(C239:M239)</f>
        <v>0</v>
      </c>
      <c r="O239" s="875"/>
      <c r="P239" s="115">
        <v>54507</v>
      </c>
      <c r="Q239" s="116" t="s">
        <v>482</v>
      </c>
      <c r="R239" s="318"/>
      <c r="S239" s="318"/>
      <c r="T239" s="318"/>
      <c r="U239" s="318"/>
      <c r="V239" s="318"/>
      <c r="W239" s="318"/>
      <c r="X239" s="318"/>
      <c r="Y239" s="394"/>
      <c r="Z239" s="318"/>
      <c r="AA239" s="318"/>
      <c r="AB239" s="318"/>
      <c r="AC239" s="318"/>
      <c r="AD239" s="318"/>
      <c r="AE239" s="394"/>
      <c r="AF239" s="394"/>
      <c r="AG239" s="318"/>
      <c r="AH239" s="318"/>
      <c r="AI239" s="318"/>
      <c r="AJ239" s="597">
        <f t="shared" si="158"/>
        <v>0</v>
      </c>
      <c r="AK239" s="266"/>
      <c r="AL239" s="115">
        <v>54507</v>
      </c>
      <c r="AM239" s="116" t="s">
        <v>482</v>
      </c>
      <c r="AN239" s="318"/>
      <c r="AO239" s="394"/>
      <c r="AP239" s="394"/>
      <c r="AQ239" s="315">
        <f t="shared" si="159"/>
        <v>0</v>
      </c>
      <c r="AR239" s="875"/>
      <c r="AS239" s="117">
        <v>54507</v>
      </c>
      <c r="AT239" s="116" t="s">
        <v>482</v>
      </c>
      <c r="AU239" s="318"/>
      <c r="AV239" s="318"/>
      <c r="AW239" s="1083"/>
      <c r="AX239" s="318"/>
      <c r="AY239" s="318"/>
      <c r="AZ239" s="318"/>
      <c r="BA239" s="630"/>
      <c r="BB239" s="316">
        <f>SUM(AU239:AZ239)</f>
        <v>0</v>
      </c>
      <c r="BC239" s="875">
        <f t="shared" si="169"/>
        <v>0</v>
      </c>
      <c r="BD239" s="1088">
        <f>BB239+AQ239+AJ239+N239</f>
        <v>0</v>
      </c>
      <c r="BE239" s="876"/>
      <c r="BF239" s="874"/>
    </row>
    <row r="240" spans="1:58" s="52" customFormat="1" ht="11.25" x14ac:dyDescent="0.2">
      <c r="A240" s="115">
        <v>54508</v>
      </c>
      <c r="B240" s="116" t="s">
        <v>335</v>
      </c>
      <c r="C240" s="318"/>
      <c r="D240" s="318"/>
      <c r="E240" s="318"/>
      <c r="F240" s="318"/>
      <c r="G240" s="318"/>
      <c r="H240" s="318"/>
      <c r="I240" s="318"/>
      <c r="J240" s="318"/>
      <c r="K240" s="318"/>
      <c r="L240" s="318"/>
      <c r="M240" s="318"/>
      <c r="N240" s="406">
        <f>SUM(C240:M240)</f>
        <v>0</v>
      </c>
      <c r="O240" s="875"/>
      <c r="P240" s="115">
        <v>54508</v>
      </c>
      <c r="Q240" s="116" t="s">
        <v>335</v>
      </c>
      <c r="R240" s="318"/>
      <c r="S240" s="318"/>
      <c r="T240" s="318"/>
      <c r="U240" s="318"/>
      <c r="V240" s="318"/>
      <c r="W240" s="318"/>
      <c r="X240" s="318"/>
      <c r="Y240" s="394"/>
      <c r="Z240" s="318"/>
      <c r="AA240" s="318"/>
      <c r="AB240" s="318"/>
      <c r="AC240" s="318"/>
      <c r="AD240" s="318"/>
      <c r="AE240" s="394"/>
      <c r="AF240" s="394"/>
      <c r="AG240" s="318"/>
      <c r="AH240" s="318"/>
      <c r="AI240" s="318"/>
      <c r="AJ240" s="597">
        <f t="shared" si="158"/>
        <v>0</v>
      </c>
      <c r="AK240" s="266"/>
      <c r="AL240" s="115">
        <v>54508</v>
      </c>
      <c r="AM240" s="116" t="s">
        <v>335</v>
      </c>
      <c r="AN240" s="318"/>
      <c r="AO240" s="394"/>
      <c r="AP240" s="394"/>
      <c r="AQ240" s="315">
        <f t="shared" si="159"/>
        <v>0</v>
      </c>
      <c r="AR240" s="875"/>
      <c r="AS240" s="117">
        <v>54508</v>
      </c>
      <c r="AT240" s="116" t="s">
        <v>335</v>
      </c>
      <c r="AU240" s="318"/>
      <c r="AV240" s="318"/>
      <c r="AW240" s="1083"/>
      <c r="AX240" s="318"/>
      <c r="AY240" s="318"/>
      <c r="AZ240" s="318"/>
      <c r="BA240" s="630"/>
      <c r="BB240" s="316">
        <f>SUM(AU240:AZ240)</f>
        <v>0</v>
      </c>
      <c r="BC240" s="875">
        <f t="shared" si="169"/>
        <v>0</v>
      </c>
      <c r="BD240" s="1088">
        <f>BB240+AQ240+AJ240+N240</f>
        <v>0</v>
      </c>
      <c r="BE240" s="876"/>
      <c r="BF240" s="874"/>
    </row>
    <row r="241" spans="1:58" s="52" customFormat="1" ht="11.25" x14ac:dyDescent="0.2">
      <c r="A241" s="267">
        <v>55</v>
      </c>
      <c r="B241" s="121" t="s">
        <v>112</v>
      </c>
      <c r="C241" s="319">
        <f>+C244+C248+C242</f>
        <v>0</v>
      </c>
      <c r="D241" s="319">
        <f t="shared" ref="D241:M241" si="179">+D244+D248+D242</f>
        <v>0</v>
      </c>
      <c r="E241" s="319">
        <f t="shared" si="179"/>
        <v>0</v>
      </c>
      <c r="F241" s="319">
        <f t="shared" si="179"/>
        <v>0</v>
      </c>
      <c r="G241" s="319">
        <f t="shared" si="179"/>
        <v>0</v>
      </c>
      <c r="H241" s="319">
        <f t="shared" si="179"/>
        <v>0</v>
      </c>
      <c r="I241" s="319">
        <f t="shared" si="179"/>
        <v>0</v>
      </c>
      <c r="J241" s="319">
        <f t="shared" si="179"/>
        <v>0</v>
      </c>
      <c r="K241" s="319">
        <f t="shared" si="179"/>
        <v>0</v>
      </c>
      <c r="L241" s="319">
        <f t="shared" si="179"/>
        <v>0</v>
      </c>
      <c r="M241" s="319">
        <f t="shared" si="179"/>
        <v>0</v>
      </c>
      <c r="N241" s="402">
        <f t="shared" ref="N241" si="180">+N244+N248</f>
        <v>0</v>
      </c>
      <c r="O241" s="875"/>
      <c r="P241" s="267">
        <v>55</v>
      </c>
      <c r="Q241" s="121" t="s">
        <v>112</v>
      </c>
      <c r="R241" s="319">
        <f>+R244+R248</f>
        <v>0</v>
      </c>
      <c r="S241" s="318">
        <f>+S244+S248</f>
        <v>0</v>
      </c>
      <c r="T241" s="318">
        <f>+T244+T248</f>
        <v>0</v>
      </c>
      <c r="U241" s="318">
        <f>+U244+U248</f>
        <v>0</v>
      </c>
      <c r="V241" s="318"/>
      <c r="W241" s="318"/>
      <c r="X241" s="318">
        <f>+X244+X248</f>
        <v>0</v>
      </c>
      <c r="Y241" s="394">
        <f>+Y244+Y248</f>
        <v>0</v>
      </c>
      <c r="Z241" s="318">
        <f>+Z244+Z248</f>
        <v>0</v>
      </c>
      <c r="AA241" s="318">
        <f>+AA244+AA248</f>
        <v>0</v>
      </c>
      <c r="AB241" s="318">
        <f>+AB244+AB248</f>
        <v>0</v>
      </c>
      <c r="AC241" s="318"/>
      <c r="AD241" s="318">
        <f>+AD244+AD248</f>
        <v>0</v>
      </c>
      <c r="AE241" s="394">
        <f>+AE244+AE248</f>
        <v>0</v>
      </c>
      <c r="AF241" s="394">
        <f>+AF244+AF248</f>
        <v>0</v>
      </c>
      <c r="AG241" s="318">
        <f>+AG244+AG248</f>
        <v>0</v>
      </c>
      <c r="AH241" s="318">
        <f>+AH244+AH248</f>
        <v>0</v>
      </c>
      <c r="AI241" s="318"/>
      <c r="AJ241" s="597">
        <f t="shared" si="158"/>
        <v>0</v>
      </c>
      <c r="AK241" s="266"/>
      <c r="AL241" s="267">
        <v>55</v>
      </c>
      <c r="AM241" s="121" t="s">
        <v>112</v>
      </c>
      <c r="AN241" s="319">
        <f>+AN244+AN248</f>
        <v>0</v>
      </c>
      <c r="AO241" s="319">
        <f>+AO244+AO248</f>
        <v>0</v>
      </c>
      <c r="AP241" s="319">
        <f>+AP244+AP248</f>
        <v>0</v>
      </c>
      <c r="AQ241" s="319">
        <f>+AQ244+AQ248</f>
        <v>0</v>
      </c>
      <c r="AR241" s="875"/>
      <c r="AS241" s="267">
        <v>55</v>
      </c>
      <c r="AT241" s="121" t="s">
        <v>112</v>
      </c>
      <c r="AU241" s="319">
        <f t="shared" ref="AU241:BB241" si="181">+AU244+AU248</f>
        <v>0</v>
      </c>
      <c r="AV241" s="319">
        <f t="shared" si="181"/>
        <v>0</v>
      </c>
      <c r="AW241" s="1084">
        <f t="shared" si="181"/>
        <v>0</v>
      </c>
      <c r="AX241" s="319">
        <f t="shared" si="181"/>
        <v>0</v>
      </c>
      <c r="AY241" s="319">
        <f t="shared" si="181"/>
        <v>0</v>
      </c>
      <c r="AZ241" s="319">
        <f t="shared" si="181"/>
        <v>0</v>
      </c>
      <c r="BA241" s="319">
        <f t="shared" si="181"/>
        <v>0</v>
      </c>
      <c r="BB241" s="319">
        <f t="shared" si="181"/>
        <v>0</v>
      </c>
      <c r="BC241" s="875">
        <f t="shared" si="169"/>
        <v>0</v>
      </c>
      <c r="BD241" s="1088"/>
      <c r="BE241" s="876"/>
      <c r="BF241" s="874"/>
    </row>
    <row r="242" spans="1:58" s="52" customFormat="1" ht="11.25" x14ac:dyDescent="0.2">
      <c r="A242" s="267">
        <v>555</v>
      </c>
      <c r="B242" s="121" t="s">
        <v>925</v>
      </c>
      <c r="C242" s="319">
        <f>SUM(C243)</f>
        <v>0</v>
      </c>
      <c r="D242" s="319">
        <f t="shared" ref="D242:M242" si="182">SUM(D243)</f>
        <v>0</v>
      </c>
      <c r="E242" s="319">
        <f t="shared" si="182"/>
        <v>0</v>
      </c>
      <c r="F242" s="319">
        <f t="shared" si="182"/>
        <v>0</v>
      </c>
      <c r="G242" s="319">
        <f t="shared" si="182"/>
        <v>0</v>
      </c>
      <c r="H242" s="319">
        <f t="shared" si="182"/>
        <v>0</v>
      </c>
      <c r="I242" s="319">
        <f t="shared" si="182"/>
        <v>0</v>
      </c>
      <c r="J242" s="319">
        <f t="shared" si="182"/>
        <v>0</v>
      </c>
      <c r="K242" s="319">
        <f t="shared" si="182"/>
        <v>0</v>
      </c>
      <c r="L242" s="319">
        <f t="shared" si="182"/>
        <v>0</v>
      </c>
      <c r="M242" s="319">
        <f t="shared" si="182"/>
        <v>0</v>
      </c>
      <c r="N242" s="402">
        <f t="shared" ref="N242" si="183">+N245+N249</f>
        <v>0</v>
      </c>
      <c r="O242" s="875"/>
      <c r="P242" s="267">
        <v>555</v>
      </c>
      <c r="Q242" s="121" t="s">
        <v>925</v>
      </c>
      <c r="R242" s="319"/>
      <c r="S242" s="318"/>
      <c r="T242" s="318"/>
      <c r="U242" s="318"/>
      <c r="V242" s="318"/>
      <c r="W242" s="318"/>
      <c r="X242" s="318"/>
      <c r="Y242" s="394"/>
      <c r="Z242" s="318"/>
      <c r="AA242" s="318"/>
      <c r="AB242" s="318"/>
      <c r="AC242" s="318"/>
      <c r="AD242" s="318"/>
      <c r="AE242" s="394"/>
      <c r="AF242" s="394"/>
      <c r="AG242" s="318"/>
      <c r="AH242" s="318"/>
      <c r="AI242" s="318"/>
      <c r="AJ242" s="597"/>
      <c r="AK242" s="266"/>
      <c r="AL242" s="267">
        <v>555</v>
      </c>
      <c r="AM242" s="121" t="s">
        <v>925</v>
      </c>
      <c r="AN242" s="319"/>
      <c r="AO242" s="319"/>
      <c r="AP242" s="319"/>
      <c r="AQ242" s="319"/>
      <c r="AR242" s="875"/>
      <c r="AS242" s="267">
        <v>555</v>
      </c>
      <c r="AT242" s="121" t="s">
        <v>925</v>
      </c>
      <c r="AU242" s="319"/>
      <c r="AV242" s="319"/>
      <c r="AW242" s="1084"/>
      <c r="AX242" s="319"/>
      <c r="AY242" s="319"/>
      <c r="AZ242" s="319"/>
      <c r="BA242" s="319"/>
      <c r="BB242" s="319"/>
      <c r="BC242" s="875"/>
      <c r="BD242" s="1088"/>
      <c r="BE242" s="876"/>
      <c r="BF242" s="874"/>
    </row>
    <row r="243" spans="1:58" s="52" customFormat="1" ht="11.25" x14ac:dyDescent="0.2">
      <c r="A243" s="267">
        <v>55508</v>
      </c>
      <c r="B243" s="121" t="s">
        <v>924</v>
      </c>
      <c r="C243" s="319"/>
      <c r="D243" s="318"/>
      <c r="E243" s="318"/>
      <c r="F243" s="318"/>
      <c r="G243" s="318"/>
      <c r="H243" s="318"/>
      <c r="I243" s="318"/>
      <c r="J243" s="318"/>
      <c r="K243" s="318"/>
      <c r="L243" s="318"/>
      <c r="M243" s="318"/>
      <c r="N243" s="402">
        <f t="shared" ref="N243" si="184">+N246+N250</f>
        <v>0</v>
      </c>
      <c r="O243" s="875"/>
      <c r="P243" s="267">
        <v>55508</v>
      </c>
      <c r="Q243" s="121" t="s">
        <v>924</v>
      </c>
      <c r="R243" s="319"/>
      <c r="S243" s="318"/>
      <c r="T243" s="318"/>
      <c r="U243" s="318"/>
      <c r="V243" s="318"/>
      <c r="W243" s="318"/>
      <c r="X243" s="318"/>
      <c r="Y243" s="394"/>
      <c r="Z243" s="318"/>
      <c r="AA243" s="318"/>
      <c r="AB243" s="318"/>
      <c r="AC243" s="318"/>
      <c r="AD243" s="318"/>
      <c r="AE243" s="394"/>
      <c r="AF243" s="394"/>
      <c r="AG243" s="318"/>
      <c r="AH243" s="318"/>
      <c r="AI243" s="318"/>
      <c r="AJ243" s="597"/>
      <c r="AK243" s="266"/>
      <c r="AL243" s="267">
        <v>55508</v>
      </c>
      <c r="AM243" s="121" t="s">
        <v>924</v>
      </c>
      <c r="AN243" s="319"/>
      <c r="AO243" s="319"/>
      <c r="AP243" s="319"/>
      <c r="AQ243" s="319"/>
      <c r="AR243" s="875"/>
      <c r="AS243" s="267">
        <v>55508</v>
      </c>
      <c r="AT243" s="121" t="s">
        <v>924</v>
      </c>
      <c r="AU243" s="319"/>
      <c r="AV243" s="319"/>
      <c r="AW243" s="1084"/>
      <c r="AX243" s="319"/>
      <c r="AY243" s="319"/>
      <c r="AZ243" s="319"/>
      <c r="BA243" s="319"/>
      <c r="BB243" s="319"/>
      <c r="BC243" s="875"/>
      <c r="BD243" s="1088"/>
      <c r="BE243" s="876"/>
      <c r="BF243" s="874"/>
    </row>
    <row r="244" spans="1:58" s="52" customFormat="1" ht="11.25" x14ac:dyDescent="0.2">
      <c r="A244" s="267">
        <v>556</v>
      </c>
      <c r="B244" s="121" t="s">
        <v>113</v>
      </c>
      <c r="C244" s="319">
        <f>SUM(C245:C247)</f>
        <v>0</v>
      </c>
      <c r="D244" s="318">
        <f t="shared" ref="D244:N244" si="185">SUM(D245:D247)</f>
        <v>0</v>
      </c>
      <c r="E244" s="318">
        <f t="shared" si="185"/>
        <v>0</v>
      </c>
      <c r="F244" s="318">
        <f t="shared" si="185"/>
        <v>0</v>
      </c>
      <c r="G244" s="318">
        <f t="shared" si="185"/>
        <v>0</v>
      </c>
      <c r="H244" s="318">
        <f t="shared" si="185"/>
        <v>0</v>
      </c>
      <c r="I244" s="318">
        <f>SUM(I245:I247)</f>
        <v>0</v>
      </c>
      <c r="J244" s="318">
        <f>SUM(J245:J247)</f>
        <v>0</v>
      </c>
      <c r="K244" s="318">
        <f>SUM(K245:K247)</f>
        <v>0</v>
      </c>
      <c r="L244" s="318">
        <f>SUM(L245:L247)</f>
        <v>0</v>
      </c>
      <c r="M244" s="318">
        <f t="shared" si="185"/>
        <v>0</v>
      </c>
      <c r="N244" s="402">
        <f t="shared" si="185"/>
        <v>0</v>
      </c>
      <c r="O244" s="875"/>
      <c r="P244" s="267">
        <v>556</v>
      </c>
      <c r="Q244" s="121" t="s">
        <v>113</v>
      </c>
      <c r="R244" s="319">
        <f>SUM(R245:R247)</f>
        <v>0</v>
      </c>
      <c r="S244" s="318">
        <f>SUM(S245:S247)</f>
        <v>0</v>
      </c>
      <c r="T244" s="318">
        <f>SUM(T245:T247)</f>
        <v>0</v>
      </c>
      <c r="U244" s="318">
        <f>SUM(U245:U247)</f>
        <v>0</v>
      </c>
      <c r="V244" s="318">
        <f>+V245+V249</f>
        <v>0</v>
      </c>
      <c r="W244" s="318"/>
      <c r="X244" s="318">
        <f>SUM(X245:X247)</f>
        <v>0</v>
      </c>
      <c r="Y244" s="394">
        <f>SUM(Y245:Y247)</f>
        <v>0</v>
      </c>
      <c r="Z244" s="318">
        <f>SUM(Z245:Z247)</f>
        <v>0</v>
      </c>
      <c r="AA244" s="318">
        <f>SUM(AA245:AA247)</f>
        <v>0</v>
      </c>
      <c r="AB244" s="318">
        <f>SUM(AB245:AB247)</f>
        <v>0</v>
      </c>
      <c r="AC244" s="318"/>
      <c r="AD244" s="318">
        <f>SUM(AD245:AD247)</f>
        <v>0</v>
      </c>
      <c r="AE244" s="394">
        <f>SUM(AE245:AE247)</f>
        <v>0</v>
      </c>
      <c r="AF244" s="394">
        <f>SUM(AF245:AF247)</f>
        <v>0</v>
      </c>
      <c r="AG244" s="318">
        <f>SUM(AG245:AG247)</f>
        <v>0</v>
      </c>
      <c r="AH244" s="318">
        <f>SUM(AH245:AH247)</f>
        <v>0</v>
      </c>
      <c r="AI244" s="318"/>
      <c r="AJ244" s="597">
        <f t="shared" si="158"/>
        <v>0</v>
      </c>
      <c r="AK244" s="266"/>
      <c r="AL244" s="267">
        <v>556</v>
      </c>
      <c r="AM244" s="121" t="s">
        <v>113</v>
      </c>
      <c r="AN244" s="319">
        <f>SUM(AN245:AN247)</f>
        <v>0</v>
      </c>
      <c r="AO244" s="319">
        <f>SUM(AO245:AO247)</f>
        <v>0</v>
      </c>
      <c r="AP244" s="319">
        <f>SUM(AP245:AP247)</f>
        <v>0</v>
      </c>
      <c r="AQ244" s="319">
        <f>SUM(AQ245:AQ247)</f>
        <v>0</v>
      </c>
      <c r="AR244" s="875"/>
      <c r="AS244" s="267">
        <v>556</v>
      </c>
      <c r="AT244" s="121" t="s">
        <v>113</v>
      </c>
      <c r="AU244" s="319">
        <f t="shared" ref="AU244:BB244" si="186">SUM(AU245:AU247)</f>
        <v>0</v>
      </c>
      <c r="AV244" s="319">
        <f t="shared" si="186"/>
        <v>0</v>
      </c>
      <c r="AW244" s="1084">
        <f t="shared" si="186"/>
        <v>0</v>
      </c>
      <c r="AX244" s="319">
        <f t="shared" si="186"/>
        <v>0</v>
      </c>
      <c r="AY244" s="319">
        <f t="shared" si="186"/>
        <v>0</v>
      </c>
      <c r="AZ244" s="319">
        <f t="shared" si="186"/>
        <v>0</v>
      </c>
      <c r="BA244" s="319">
        <f t="shared" si="186"/>
        <v>0</v>
      </c>
      <c r="BB244" s="319">
        <f t="shared" si="186"/>
        <v>0</v>
      </c>
      <c r="BC244" s="875">
        <f t="shared" si="169"/>
        <v>0</v>
      </c>
      <c r="BD244" s="1088"/>
      <c r="BE244" s="876"/>
      <c r="BF244" s="874"/>
    </row>
    <row r="245" spans="1:58" s="52" customFormat="1" ht="11.25" x14ac:dyDescent="0.2">
      <c r="A245" s="115">
        <v>55601</v>
      </c>
      <c r="B245" s="116" t="s">
        <v>336</v>
      </c>
      <c r="C245" s="318"/>
      <c r="D245" s="318"/>
      <c r="E245" s="318"/>
      <c r="F245" s="318"/>
      <c r="G245" s="318"/>
      <c r="H245" s="318"/>
      <c r="I245" s="318"/>
      <c r="J245" s="318"/>
      <c r="K245" s="318"/>
      <c r="L245" s="318"/>
      <c r="M245" s="318"/>
      <c r="N245" s="406">
        <f>SUM(C245:M245)</f>
        <v>0</v>
      </c>
      <c r="O245" s="875"/>
      <c r="P245" s="115">
        <v>55601</v>
      </c>
      <c r="Q245" s="116" t="s">
        <v>336</v>
      </c>
      <c r="R245" s="318"/>
      <c r="S245" s="318"/>
      <c r="T245" s="318"/>
      <c r="U245" s="318"/>
      <c r="V245" s="318"/>
      <c r="W245" s="318"/>
      <c r="X245" s="318"/>
      <c r="Y245" s="394"/>
      <c r="Z245" s="318"/>
      <c r="AA245" s="318"/>
      <c r="AB245" s="318"/>
      <c r="AC245" s="318"/>
      <c r="AD245" s="318"/>
      <c r="AE245" s="394"/>
      <c r="AF245" s="394"/>
      <c r="AG245" s="318"/>
      <c r="AH245" s="318"/>
      <c r="AI245" s="318"/>
      <c r="AJ245" s="597">
        <f t="shared" si="158"/>
        <v>0</v>
      </c>
      <c r="AK245" s="266"/>
      <c r="AL245" s="115">
        <v>55601</v>
      </c>
      <c r="AM245" s="116" t="s">
        <v>336</v>
      </c>
      <c r="AN245" s="318"/>
      <c r="AO245" s="394"/>
      <c r="AP245" s="394"/>
      <c r="AQ245" s="315">
        <f t="shared" si="159"/>
        <v>0</v>
      </c>
      <c r="AR245" s="875"/>
      <c r="AS245" s="115">
        <v>55601</v>
      </c>
      <c r="AT245" s="116" t="s">
        <v>336</v>
      </c>
      <c r="AU245" s="318"/>
      <c r="AV245" s="318"/>
      <c r="AW245" s="1083"/>
      <c r="AX245" s="318"/>
      <c r="AY245" s="318"/>
      <c r="AZ245" s="318"/>
      <c r="BA245" s="630"/>
      <c r="BB245" s="316">
        <f>SUM(AU245:AZ245)</f>
        <v>0</v>
      </c>
      <c r="BC245" s="875">
        <f t="shared" si="169"/>
        <v>0</v>
      </c>
      <c r="BD245" s="1088">
        <f>BB245+AQ245+AJ245+N245</f>
        <v>0</v>
      </c>
      <c r="BE245" s="876"/>
      <c r="BF245" s="874"/>
    </row>
    <row r="246" spans="1:58" s="52" customFormat="1" ht="11.25" x14ac:dyDescent="0.2">
      <c r="A246" s="115">
        <v>55602</v>
      </c>
      <c r="B246" s="116" t="s">
        <v>337</v>
      </c>
      <c r="C246" s="318"/>
      <c r="D246" s="318"/>
      <c r="E246" s="318"/>
      <c r="F246" s="318"/>
      <c r="G246" s="318"/>
      <c r="H246" s="318"/>
      <c r="I246" s="318"/>
      <c r="J246" s="318"/>
      <c r="K246" s="318"/>
      <c r="L246" s="318"/>
      <c r="M246" s="318"/>
      <c r="N246" s="406">
        <f>SUM(C246:M246)</f>
        <v>0</v>
      </c>
      <c r="O246" s="875"/>
      <c r="P246" s="115">
        <v>55602</v>
      </c>
      <c r="Q246" s="116" t="s">
        <v>337</v>
      </c>
      <c r="R246" s="318"/>
      <c r="S246" s="318"/>
      <c r="T246" s="318"/>
      <c r="U246" s="318"/>
      <c r="V246" s="318"/>
      <c r="W246" s="318"/>
      <c r="X246" s="318"/>
      <c r="Y246" s="394"/>
      <c r="Z246" s="318"/>
      <c r="AA246" s="318"/>
      <c r="AB246" s="318"/>
      <c r="AC246" s="318"/>
      <c r="AD246" s="318"/>
      <c r="AE246" s="394"/>
      <c r="AF246" s="394"/>
      <c r="AG246" s="318"/>
      <c r="AH246" s="318"/>
      <c r="AI246" s="318"/>
      <c r="AJ246" s="597">
        <f t="shared" si="158"/>
        <v>0</v>
      </c>
      <c r="AK246" s="266"/>
      <c r="AL246" s="115">
        <v>55602</v>
      </c>
      <c r="AM246" s="116" t="s">
        <v>337</v>
      </c>
      <c r="AN246" s="318"/>
      <c r="AO246" s="394"/>
      <c r="AP246" s="394"/>
      <c r="AQ246" s="315">
        <f t="shared" si="159"/>
        <v>0</v>
      </c>
      <c r="AR246" s="875"/>
      <c r="AS246" s="115">
        <v>55602</v>
      </c>
      <c r="AT246" s="116" t="s">
        <v>337</v>
      </c>
      <c r="AU246" s="318"/>
      <c r="AV246" s="318"/>
      <c r="AW246" s="1083"/>
      <c r="AX246" s="318"/>
      <c r="AY246" s="318"/>
      <c r="AZ246" s="318"/>
      <c r="BA246" s="630"/>
      <c r="BB246" s="316">
        <f>SUM(AU246:AZ246)</f>
        <v>0</v>
      </c>
      <c r="BC246" s="875">
        <f t="shared" si="169"/>
        <v>0</v>
      </c>
      <c r="BD246" s="1088">
        <f>BB246+AQ246+AJ246+N246</f>
        <v>0</v>
      </c>
      <c r="BE246" s="876"/>
      <c r="BF246" s="874"/>
    </row>
    <row r="247" spans="1:58" s="52" customFormat="1" ht="11.25" x14ac:dyDescent="0.2">
      <c r="A247" s="115">
        <v>55603</v>
      </c>
      <c r="B247" s="116" t="s">
        <v>338</v>
      </c>
      <c r="C247" s="318"/>
      <c r="D247" s="318"/>
      <c r="E247" s="318"/>
      <c r="F247" s="318"/>
      <c r="G247" s="318"/>
      <c r="H247" s="318"/>
      <c r="I247" s="318"/>
      <c r="J247" s="318"/>
      <c r="K247" s="318"/>
      <c r="L247" s="318"/>
      <c r="M247" s="318"/>
      <c r="N247" s="406">
        <f>SUM(C247:M247)</f>
        <v>0</v>
      </c>
      <c r="O247" s="875"/>
      <c r="P247" s="115">
        <v>55603</v>
      </c>
      <c r="Q247" s="116" t="s">
        <v>338</v>
      </c>
      <c r="R247" s="318"/>
      <c r="S247" s="318"/>
      <c r="T247" s="318"/>
      <c r="U247" s="318"/>
      <c r="V247" s="318"/>
      <c r="W247" s="318"/>
      <c r="X247" s="318"/>
      <c r="Y247" s="394"/>
      <c r="Z247" s="318"/>
      <c r="AA247" s="318"/>
      <c r="AB247" s="318"/>
      <c r="AC247" s="318"/>
      <c r="AD247" s="318"/>
      <c r="AE247" s="394"/>
      <c r="AF247" s="394"/>
      <c r="AG247" s="318"/>
      <c r="AH247" s="318"/>
      <c r="AI247" s="318"/>
      <c r="AJ247" s="597">
        <f t="shared" si="158"/>
        <v>0</v>
      </c>
      <c r="AK247" s="266"/>
      <c r="AL247" s="115">
        <v>55603</v>
      </c>
      <c r="AM247" s="116" t="s">
        <v>338</v>
      </c>
      <c r="AN247" s="318"/>
      <c r="AO247" s="394"/>
      <c r="AP247" s="394"/>
      <c r="AQ247" s="315">
        <f t="shared" si="159"/>
        <v>0</v>
      </c>
      <c r="AR247" s="875"/>
      <c r="AS247" s="115">
        <v>55603</v>
      </c>
      <c r="AT247" s="116" t="s">
        <v>338</v>
      </c>
      <c r="AU247" s="318"/>
      <c r="AV247" s="318"/>
      <c r="AW247" s="1083"/>
      <c r="AX247" s="318"/>
      <c r="AY247" s="318"/>
      <c r="AZ247" s="318"/>
      <c r="BA247" s="630"/>
      <c r="BB247" s="316">
        <f>SUM(AU247:AZ247)</f>
        <v>0</v>
      </c>
      <c r="BC247" s="875">
        <f t="shared" si="169"/>
        <v>0</v>
      </c>
      <c r="BD247" s="1088">
        <f>BB247+AQ247+AJ247+N247</f>
        <v>0</v>
      </c>
      <c r="BE247" s="876"/>
      <c r="BF247" s="874"/>
    </row>
    <row r="248" spans="1:58" s="125" customFormat="1" ht="11.25" x14ac:dyDescent="0.2">
      <c r="A248" s="267">
        <v>557</v>
      </c>
      <c r="B248" s="121" t="s">
        <v>114</v>
      </c>
      <c r="C248" s="319">
        <f>SUM(C249:C249)</f>
        <v>0</v>
      </c>
      <c r="D248" s="319">
        <f t="shared" ref="D248:N248" si="187">SUM(D249:D249)</f>
        <v>0</v>
      </c>
      <c r="E248" s="319">
        <f t="shared" si="187"/>
        <v>0</v>
      </c>
      <c r="F248" s="319">
        <f t="shared" si="187"/>
        <v>0</v>
      </c>
      <c r="G248" s="319">
        <f t="shared" si="187"/>
        <v>0</v>
      </c>
      <c r="H248" s="319">
        <f t="shared" si="187"/>
        <v>0</v>
      </c>
      <c r="I248" s="319">
        <f t="shared" si="187"/>
        <v>0</v>
      </c>
      <c r="J248" s="319">
        <f t="shared" si="187"/>
        <v>0</v>
      </c>
      <c r="K248" s="319">
        <f t="shared" si="187"/>
        <v>0</v>
      </c>
      <c r="L248" s="319">
        <f t="shared" si="187"/>
        <v>0</v>
      </c>
      <c r="M248" s="319">
        <f t="shared" si="187"/>
        <v>0</v>
      </c>
      <c r="N248" s="402">
        <f t="shared" si="187"/>
        <v>0</v>
      </c>
      <c r="O248" s="875"/>
      <c r="P248" s="267">
        <v>557</v>
      </c>
      <c r="Q248" s="121" t="s">
        <v>114</v>
      </c>
      <c r="R248" s="319">
        <f t="shared" ref="R248:AH248" si="188">SUM(R249:R249)</f>
        <v>0</v>
      </c>
      <c r="S248" s="319">
        <f t="shared" si="188"/>
        <v>0</v>
      </c>
      <c r="T248" s="319">
        <f t="shared" si="188"/>
        <v>0</v>
      </c>
      <c r="U248" s="319">
        <f t="shared" si="188"/>
        <v>0</v>
      </c>
      <c r="V248" s="319">
        <f t="shared" si="188"/>
        <v>0</v>
      </c>
      <c r="W248" s="319"/>
      <c r="X248" s="319">
        <f t="shared" si="188"/>
        <v>0</v>
      </c>
      <c r="Y248" s="859">
        <f t="shared" si="188"/>
        <v>0</v>
      </c>
      <c r="Z248" s="319">
        <f t="shared" si="188"/>
        <v>0</v>
      </c>
      <c r="AA248" s="319">
        <f t="shared" si="188"/>
        <v>0</v>
      </c>
      <c r="AB248" s="319">
        <f t="shared" si="188"/>
        <v>0</v>
      </c>
      <c r="AC248" s="319"/>
      <c r="AD248" s="319">
        <f t="shared" si="188"/>
        <v>0</v>
      </c>
      <c r="AE248" s="859">
        <f t="shared" si="188"/>
        <v>0</v>
      </c>
      <c r="AF248" s="859">
        <f t="shared" si="188"/>
        <v>0</v>
      </c>
      <c r="AG248" s="319">
        <f t="shared" si="188"/>
        <v>0</v>
      </c>
      <c r="AH248" s="319">
        <f t="shared" si="188"/>
        <v>0</v>
      </c>
      <c r="AI248" s="319"/>
      <c r="AJ248" s="597">
        <f t="shared" si="158"/>
        <v>0</v>
      </c>
      <c r="AK248" s="266"/>
      <c r="AL248" s="267">
        <v>557</v>
      </c>
      <c r="AM248" s="121" t="s">
        <v>114</v>
      </c>
      <c r="AN248" s="319">
        <f>SUM(AN249:AN249)</f>
        <v>0</v>
      </c>
      <c r="AO248" s="319">
        <f>SUM(AO249:AO249)</f>
        <v>0</v>
      </c>
      <c r="AP248" s="319">
        <f>SUM(AP249:AP249)</f>
        <v>0</v>
      </c>
      <c r="AQ248" s="319">
        <f>SUM(AQ249:AQ249)</f>
        <v>0</v>
      </c>
      <c r="AR248" s="875"/>
      <c r="AS248" s="267">
        <v>557</v>
      </c>
      <c r="AT248" s="121" t="s">
        <v>114</v>
      </c>
      <c r="AU248" s="319">
        <f t="shared" ref="AU248:BB248" si="189">SUM(AU249:AU249)</f>
        <v>0</v>
      </c>
      <c r="AV248" s="319">
        <f t="shared" si="189"/>
        <v>0</v>
      </c>
      <c r="AW248" s="1084">
        <f t="shared" si="189"/>
        <v>0</v>
      </c>
      <c r="AX248" s="319">
        <f t="shared" si="189"/>
        <v>0</v>
      </c>
      <c r="AY248" s="319">
        <f t="shared" si="189"/>
        <v>0</v>
      </c>
      <c r="AZ248" s="319">
        <f t="shared" si="189"/>
        <v>0</v>
      </c>
      <c r="BA248" s="319">
        <f t="shared" si="189"/>
        <v>0</v>
      </c>
      <c r="BB248" s="319">
        <f t="shared" si="189"/>
        <v>0</v>
      </c>
      <c r="BC248" s="875">
        <f t="shared" si="169"/>
        <v>0</v>
      </c>
      <c r="BD248" s="1088"/>
      <c r="BE248" s="876"/>
      <c r="BF248" s="874"/>
    </row>
    <row r="249" spans="1:58" s="52" customFormat="1" ht="11.25" x14ac:dyDescent="0.2">
      <c r="A249" s="115">
        <v>55799</v>
      </c>
      <c r="B249" s="116" t="s">
        <v>339</v>
      </c>
      <c r="C249" s="318"/>
      <c r="D249" s="318"/>
      <c r="E249" s="318"/>
      <c r="F249" s="318"/>
      <c r="G249" s="318"/>
      <c r="H249" s="318"/>
      <c r="I249" s="318"/>
      <c r="J249" s="318"/>
      <c r="K249" s="318"/>
      <c r="L249" s="318"/>
      <c r="M249" s="318"/>
      <c r="N249" s="744">
        <f>SUM(C249:M249)</f>
        <v>0</v>
      </c>
      <c r="O249" s="875"/>
      <c r="P249" s="115">
        <v>55799</v>
      </c>
      <c r="Q249" s="116" t="s">
        <v>339</v>
      </c>
      <c r="R249" s="318"/>
      <c r="S249" s="318"/>
      <c r="T249" s="318"/>
      <c r="U249" s="318"/>
      <c r="V249" s="318">
        <f>SUM(V250:V250)</f>
        <v>0</v>
      </c>
      <c r="W249" s="318"/>
      <c r="X249" s="318"/>
      <c r="Y249" s="394"/>
      <c r="Z249" s="318"/>
      <c r="AA249" s="318"/>
      <c r="AB249" s="318"/>
      <c r="AC249" s="318"/>
      <c r="AD249" s="318"/>
      <c r="AE249" s="394"/>
      <c r="AF249" s="394"/>
      <c r="AG249" s="318"/>
      <c r="AH249" s="318"/>
      <c r="AI249" s="318"/>
      <c r="AJ249" s="597">
        <f t="shared" si="158"/>
        <v>0</v>
      </c>
      <c r="AK249" s="266"/>
      <c r="AL249" s="115">
        <v>55799</v>
      </c>
      <c r="AM249" s="116" t="s">
        <v>339</v>
      </c>
      <c r="AN249" s="318"/>
      <c r="AO249" s="394"/>
      <c r="AP249" s="394"/>
      <c r="AQ249" s="315">
        <f t="shared" si="159"/>
        <v>0</v>
      </c>
      <c r="AR249" s="875"/>
      <c r="AS249" s="115">
        <v>55799</v>
      </c>
      <c r="AT249" s="116" t="s">
        <v>339</v>
      </c>
      <c r="AU249" s="318"/>
      <c r="AV249" s="318"/>
      <c r="AW249" s="1083"/>
      <c r="AX249" s="318"/>
      <c r="AY249" s="318"/>
      <c r="AZ249" s="318"/>
      <c r="BA249" s="630"/>
      <c r="BB249" s="316">
        <f>SUM(AW251:AZ251)</f>
        <v>0</v>
      </c>
      <c r="BC249" s="875">
        <f t="shared" si="169"/>
        <v>0</v>
      </c>
      <c r="BD249" s="1088">
        <f>BB249+AQ249+AJ249+N249</f>
        <v>0</v>
      </c>
      <c r="BE249" s="876"/>
      <c r="BF249" s="874"/>
    </row>
    <row r="250" spans="1:58" s="52" customFormat="1" ht="11.25" x14ac:dyDescent="0.2">
      <c r="A250" s="267">
        <v>56</v>
      </c>
      <c r="B250" s="121" t="s">
        <v>115</v>
      </c>
      <c r="C250" s="743">
        <f t="shared" ref="C250:J250" si="190">C251+C253</f>
        <v>0</v>
      </c>
      <c r="D250" s="319">
        <f t="shared" si="190"/>
        <v>0</v>
      </c>
      <c r="E250" s="319">
        <f t="shared" si="190"/>
        <v>0</v>
      </c>
      <c r="F250" s="319">
        <f t="shared" si="190"/>
        <v>0</v>
      </c>
      <c r="G250" s="319">
        <f t="shared" si="190"/>
        <v>0</v>
      </c>
      <c r="H250" s="319">
        <f t="shared" si="190"/>
        <v>0</v>
      </c>
      <c r="I250" s="319">
        <f t="shared" si="190"/>
        <v>0</v>
      </c>
      <c r="J250" s="319">
        <f t="shared" si="190"/>
        <v>0</v>
      </c>
      <c r="K250" s="319">
        <f>K251+K253</f>
        <v>0</v>
      </c>
      <c r="L250" s="319">
        <f>L251+L253</f>
        <v>0</v>
      </c>
      <c r="M250" s="319">
        <f>M251+M253</f>
        <v>0</v>
      </c>
      <c r="N250" s="743">
        <f>N251+N253</f>
        <v>0</v>
      </c>
      <c r="O250" s="875"/>
      <c r="P250" s="267">
        <v>56</v>
      </c>
      <c r="Q250" s="121" t="s">
        <v>115</v>
      </c>
      <c r="R250" s="319">
        <f>R251+R253</f>
        <v>0</v>
      </c>
      <c r="S250" s="318">
        <f t="shared" ref="S250:AH250" si="191">S251</f>
        <v>0</v>
      </c>
      <c r="T250" s="318">
        <f t="shared" si="191"/>
        <v>0</v>
      </c>
      <c r="U250" s="318">
        <f t="shared" si="191"/>
        <v>0</v>
      </c>
      <c r="V250" s="318"/>
      <c r="W250" s="318"/>
      <c r="X250" s="318">
        <f t="shared" si="191"/>
        <v>0</v>
      </c>
      <c r="Y250" s="394">
        <f t="shared" si="191"/>
        <v>0</v>
      </c>
      <c r="Z250" s="318">
        <f t="shared" si="191"/>
        <v>0</v>
      </c>
      <c r="AA250" s="318">
        <f t="shared" si="191"/>
        <v>0</v>
      </c>
      <c r="AB250" s="318">
        <f t="shared" si="191"/>
        <v>0</v>
      </c>
      <c r="AC250" s="318"/>
      <c r="AD250" s="318">
        <f t="shared" si="191"/>
        <v>0</v>
      </c>
      <c r="AE250" s="394">
        <f t="shared" si="191"/>
        <v>0</v>
      </c>
      <c r="AF250" s="394">
        <f t="shared" si="191"/>
        <v>0</v>
      </c>
      <c r="AG250" s="318">
        <f t="shared" si="191"/>
        <v>0</v>
      </c>
      <c r="AH250" s="318">
        <f t="shared" si="191"/>
        <v>0</v>
      </c>
      <c r="AI250" s="318"/>
      <c r="AJ250" s="597">
        <f t="shared" si="158"/>
        <v>0</v>
      </c>
      <c r="AK250" s="266"/>
      <c r="AL250" s="267">
        <v>56</v>
      </c>
      <c r="AM250" s="121" t="s">
        <v>115</v>
      </c>
      <c r="AN250" s="319">
        <f>AN251+AN253</f>
        <v>0</v>
      </c>
      <c r="AO250" s="319">
        <f>AO251+AO253</f>
        <v>0</v>
      </c>
      <c r="AP250" s="319">
        <f>AP251+AP253</f>
        <v>0</v>
      </c>
      <c r="AQ250" s="319">
        <f>AQ251+AQ253</f>
        <v>0</v>
      </c>
      <c r="AR250" s="875"/>
      <c r="AS250" s="267">
        <v>56</v>
      </c>
      <c r="AT250" s="121" t="s">
        <v>115</v>
      </c>
      <c r="AU250" s="319">
        <f t="shared" ref="AU250:BB250" si="192">AU251+AU253</f>
        <v>0</v>
      </c>
      <c r="AV250" s="319">
        <f t="shared" si="192"/>
        <v>0</v>
      </c>
      <c r="AW250" s="1084">
        <f t="shared" si="192"/>
        <v>0</v>
      </c>
      <c r="AX250" s="319">
        <f t="shared" si="192"/>
        <v>0</v>
      </c>
      <c r="AY250" s="319">
        <f t="shared" si="192"/>
        <v>0</v>
      </c>
      <c r="AZ250" s="319">
        <f t="shared" si="192"/>
        <v>0</v>
      </c>
      <c r="BA250" s="319">
        <f t="shared" si="192"/>
        <v>0</v>
      </c>
      <c r="BB250" s="319">
        <f t="shared" si="192"/>
        <v>0</v>
      </c>
      <c r="BC250" s="875">
        <f t="shared" si="169"/>
        <v>0</v>
      </c>
      <c r="BD250" s="1088"/>
      <c r="BE250" s="876"/>
      <c r="BF250" s="874"/>
    </row>
    <row r="251" spans="1:58" s="125" customFormat="1" ht="11.25" x14ac:dyDescent="0.2">
      <c r="A251" s="267">
        <v>562</v>
      </c>
      <c r="B251" s="121" t="s">
        <v>344</v>
      </c>
      <c r="C251" s="319">
        <f>SUM(C252)</f>
        <v>0</v>
      </c>
      <c r="D251" s="319">
        <f t="shared" ref="D251:N251" si="193">SUM(D252)</f>
        <v>0</v>
      </c>
      <c r="E251" s="319">
        <f t="shared" si="193"/>
        <v>0</v>
      </c>
      <c r="F251" s="319">
        <f t="shared" si="193"/>
        <v>0</v>
      </c>
      <c r="G251" s="319">
        <f t="shared" si="193"/>
        <v>0</v>
      </c>
      <c r="H251" s="319">
        <f t="shared" si="193"/>
        <v>0</v>
      </c>
      <c r="I251" s="319">
        <f t="shared" si="193"/>
        <v>0</v>
      </c>
      <c r="J251" s="319">
        <f t="shared" si="193"/>
        <v>0</v>
      </c>
      <c r="K251" s="319">
        <f t="shared" si="193"/>
        <v>0</v>
      </c>
      <c r="L251" s="319">
        <f t="shared" si="193"/>
        <v>0</v>
      </c>
      <c r="M251" s="319">
        <f t="shared" si="193"/>
        <v>0</v>
      </c>
      <c r="N251" s="745">
        <f t="shared" si="193"/>
        <v>0</v>
      </c>
      <c r="O251" s="875"/>
      <c r="P251" s="267">
        <v>562</v>
      </c>
      <c r="Q251" s="121" t="s">
        <v>344</v>
      </c>
      <c r="R251" s="319">
        <f>SUM(R252)</f>
        <v>0</v>
      </c>
      <c r="S251" s="319">
        <f t="shared" ref="S251:AH251" si="194">SUM(S252)</f>
        <v>0</v>
      </c>
      <c r="T251" s="319">
        <f t="shared" si="194"/>
        <v>0</v>
      </c>
      <c r="U251" s="319">
        <f t="shared" si="194"/>
        <v>0</v>
      </c>
      <c r="V251" s="319">
        <f>V252+V254</f>
        <v>0</v>
      </c>
      <c r="W251" s="319"/>
      <c r="X251" s="319">
        <f t="shared" si="194"/>
        <v>0</v>
      </c>
      <c r="Y251" s="859">
        <f t="shared" si="194"/>
        <v>0</v>
      </c>
      <c r="Z251" s="319">
        <f t="shared" si="194"/>
        <v>0</v>
      </c>
      <c r="AA251" s="319">
        <f t="shared" si="194"/>
        <v>0</v>
      </c>
      <c r="AB251" s="319">
        <f t="shared" si="194"/>
        <v>0</v>
      </c>
      <c r="AC251" s="319"/>
      <c r="AD251" s="319">
        <f t="shared" si="194"/>
        <v>0</v>
      </c>
      <c r="AE251" s="859">
        <f t="shared" si="194"/>
        <v>0</v>
      </c>
      <c r="AF251" s="859">
        <f t="shared" si="194"/>
        <v>0</v>
      </c>
      <c r="AG251" s="319">
        <f t="shared" si="194"/>
        <v>0</v>
      </c>
      <c r="AH251" s="319">
        <f t="shared" si="194"/>
        <v>0</v>
      </c>
      <c r="AI251" s="319"/>
      <c r="AJ251" s="597">
        <f t="shared" si="158"/>
        <v>0</v>
      </c>
      <c r="AK251" s="266"/>
      <c r="AL251" s="267">
        <v>562</v>
      </c>
      <c r="AM251" s="121" t="s">
        <v>344</v>
      </c>
      <c r="AN251" s="319">
        <f>SUM(AN252)</f>
        <v>0</v>
      </c>
      <c r="AO251" s="319">
        <f>SUM(AO252)</f>
        <v>0</v>
      </c>
      <c r="AP251" s="319">
        <f>SUM(AP252)</f>
        <v>0</v>
      </c>
      <c r="AQ251" s="319">
        <f>SUM(AQ252)</f>
        <v>0</v>
      </c>
      <c r="AR251" s="875"/>
      <c r="AS251" s="267">
        <v>562</v>
      </c>
      <c r="AT251" s="121" t="s">
        <v>344</v>
      </c>
      <c r="AU251" s="319">
        <f t="shared" ref="AU251:BB251" si="195">SUM(AU252)</f>
        <v>0</v>
      </c>
      <c r="AV251" s="319">
        <f t="shared" si="195"/>
        <v>0</v>
      </c>
      <c r="AW251" s="1084">
        <f t="shared" si="195"/>
        <v>0</v>
      </c>
      <c r="AX251" s="319">
        <f t="shared" si="195"/>
        <v>0</v>
      </c>
      <c r="AY251" s="319">
        <f t="shared" si="195"/>
        <v>0</v>
      </c>
      <c r="AZ251" s="319">
        <f t="shared" si="195"/>
        <v>0</v>
      </c>
      <c r="BA251" s="319">
        <f t="shared" si="195"/>
        <v>0</v>
      </c>
      <c r="BB251" s="319">
        <f t="shared" si="195"/>
        <v>0</v>
      </c>
      <c r="BC251" s="875">
        <f t="shared" si="169"/>
        <v>0</v>
      </c>
      <c r="BD251" s="1088"/>
      <c r="BE251" s="876"/>
      <c r="BF251" s="874"/>
    </row>
    <row r="252" spans="1:58" s="52" customFormat="1" ht="11.25" x14ac:dyDescent="0.2">
      <c r="A252" s="115">
        <v>56201</v>
      </c>
      <c r="B252" s="116" t="s">
        <v>340</v>
      </c>
      <c r="C252" s="719"/>
      <c r="D252" s="318"/>
      <c r="E252" s="318"/>
      <c r="F252" s="318"/>
      <c r="G252" s="318"/>
      <c r="H252" s="318"/>
      <c r="I252" s="318"/>
      <c r="J252" s="318"/>
      <c r="K252" s="318"/>
      <c r="L252" s="318"/>
      <c r="M252" s="318"/>
      <c r="N252" s="744">
        <f>SUM(C252:M252)</f>
        <v>0</v>
      </c>
      <c r="O252" s="875"/>
      <c r="P252" s="115">
        <v>56201</v>
      </c>
      <c r="Q252" s="116" t="s">
        <v>340</v>
      </c>
      <c r="R252" s="318"/>
      <c r="S252" s="318"/>
      <c r="T252" s="318"/>
      <c r="U252" s="318"/>
      <c r="V252" s="318">
        <f>SUM(V253)</f>
        <v>0</v>
      </c>
      <c r="W252" s="318"/>
      <c r="X252" s="318"/>
      <c r="Y252" s="394"/>
      <c r="Z252" s="318"/>
      <c r="AA252" s="318"/>
      <c r="AB252" s="318"/>
      <c r="AC252" s="318"/>
      <c r="AD252" s="318"/>
      <c r="AE252" s="394"/>
      <c r="AF252" s="394"/>
      <c r="AG252" s="318"/>
      <c r="AH252" s="318"/>
      <c r="AI252" s="318"/>
      <c r="AJ252" s="597">
        <f t="shared" si="158"/>
        <v>0</v>
      </c>
      <c r="AK252" s="266"/>
      <c r="AL252" s="115">
        <v>56201</v>
      </c>
      <c r="AM252" s="116" t="s">
        <v>340</v>
      </c>
      <c r="AN252" s="318"/>
      <c r="AO252" s="394"/>
      <c r="AP252" s="394"/>
      <c r="AQ252" s="315">
        <f t="shared" si="159"/>
        <v>0</v>
      </c>
      <c r="AR252" s="875"/>
      <c r="AS252" s="115">
        <v>56201</v>
      </c>
      <c r="AT252" s="116" t="s">
        <v>340</v>
      </c>
      <c r="AU252" s="318"/>
      <c r="AV252" s="318"/>
      <c r="AW252" s="1083"/>
      <c r="AX252" s="318"/>
      <c r="AY252" s="318"/>
      <c r="AZ252" s="318"/>
      <c r="BA252" s="630"/>
      <c r="BB252" s="316">
        <f>SUM(AW254:AZ254)</f>
        <v>0</v>
      </c>
      <c r="BC252" s="875">
        <f t="shared" si="169"/>
        <v>0</v>
      </c>
      <c r="BD252" s="1088">
        <f>BB252+AQ252+AJ252+N252</f>
        <v>0</v>
      </c>
      <c r="BE252" s="876"/>
      <c r="BF252" s="874"/>
    </row>
    <row r="253" spans="1:58" s="125" customFormat="1" ht="11.25" x14ac:dyDescent="0.2">
      <c r="A253" s="267">
        <v>563</v>
      </c>
      <c r="B253" s="121" t="s">
        <v>345</v>
      </c>
      <c r="C253" s="743">
        <f t="shared" ref="C253:M253" si="196">C254+C255+C256</f>
        <v>0</v>
      </c>
      <c r="D253" s="319">
        <f t="shared" si="196"/>
        <v>0</v>
      </c>
      <c r="E253" s="319">
        <f t="shared" si="196"/>
        <v>0</v>
      </c>
      <c r="F253" s="319">
        <f t="shared" si="196"/>
        <v>0</v>
      </c>
      <c r="G253" s="319">
        <f t="shared" si="196"/>
        <v>0</v>
      </c>
      <c r="H253" s="319">
        <f t="shared" si="196"/>
        <v>0</v>
      </c>
      <c r="I253" s="319">
        <f>I254+I255+I256</f>
        <v>0</v>
      </c>
      <c r="J253" s="319">
        <f>J254+J255+J256</f>
        <v>0</v>
      </c>
      <c r="K253" s="319">
        <f>K254+K255+K256</f>
        <v>0</v>
      </c>
      <c r="L253" s="319">
        <f>L254+L255+L256</f>
        <v>0</v>
      </c>
      <c r="M253" s="319">
        <f t="shared" si="196"/>
        <v>0</v>
      </c>
      <c r="N253" s="745">
        <f>N254+N255+N256</f>
        <v>0</v>
      </c>
      <c r="O253" s="875"/>
      <c r="P253" s="267">
        <v>563</v>
      </c>
      <c r="Q253" s="121" t="s">
        <v>345</v>
      </c>
      <c r="R253" s="319">
        <f>R254+R255+R256</f>
        <v>0</v>
      </c>
      <c r="S253" s="319">
        <f>S254+S255+S256</f>
        <v>0</v>
      </c>
      <c r="T253" s="319">
        <f>T254+T255+T256</f>
        <v>0</v>
      </c>
      <c r="U253" s="319">
        <f>U254+U255+U256</f>
        <v>0</v>
      </c>
      <c r="V253" s="319"/>
      <c r="W253" s="319"/>
      <c r="X253" s="319">
        <f>X254+X255+X256</f>
        <v>0</v>
      </c>
      <c r="Y253" s="859">
        <f>Y254+Y255+Y256</f>
        <v>0</v>
      </c>
      <c r="Z253" s="319">
        <f>Z254+Z255+Z256</f>
        <v>0</v>
      </c>
      <c r="AA253" s="319">
        <f>AA254+AA255+AA256</f>
        <v>0</v>
      </c>
      <c r="AB253" s="319">
        <f>AB254+AB255+AB256</f>
        <v>0</v>
      </c>
      <c r="AC253" s="319"/>
      <c r="AD253" s="319">
        <f>AD254+AD255+AD256</f>
        <v>0</v>
      </c>
      <c r="AE253" s="859">
        <f>AE254+AE255+AE256</f>
        <v>0</v>
      </c>
      <c r="AF253" s="859">
        <f>AF254+AF255+AF256</f>
        <v>0</v>
      </c>
      <c r="AG253" s="319">
        <f>AG254+AG255+AG256</f>
        <v>0</v>
      </c>
      <c r="AH253" s="319">
        <f>AH254+AH255+AH256</f>
        <v>0</v>
      </c>
      <c r="AI253" s="319"/>
      <c r="AJ253" s="597">
        <f t="shared" si="158"/>
        <v>0</v>
      </c>
      <c r="AK253" s="266"/>
      <c r="AL253" s="267">
        <v>563</v>
      </c>
      <c r="AM253" s="121" t="s">
        <v>345</v>
      </c>
      <c r="AN253" s="319">
        <f>AN254+AN255+AN256</f>
        <v>0</v>
      </c>
      <c r="AO253" s="319">
        <f>AO254+AO255+AO256</f>
        <v>0</v>
      </c>
      <c r="AP253" s="319">
        <f>AP254+AP255+AP256</f>
        <v>0</v>
      </c>
      <c r="AQ253" s="319">
        <f>AQ254+AQ255+AQ256</f>
        <v>0</v>
      </c>
      <c r="AR253" s="875"/>
      <c r="AS253" s="267">
        <v>563</v>
      </c>
      <c r="AT253" s="121" t="s">
        <v>345</v>
      </c>
      <c r="AU253" s="319">
        <f t="shared" ref="AU253:BB253" si="197">AU254+AU255+AU256</f>
        <v>0</v>
      </c>
      <c r="AV253" s="319">
        <f t="shared" si="197"/>
        <v>0</v>
      </c>
      <c r="AW253" s="1084">
        <f t="shared" si="197"/>
        <v>0</v>
      </c>
      <c r="AX253" s="319">
        <f t="shared" si="197"/>
        <v>0</v>
      </c>
      <c r="AY253" s="319">
        <f t="shared" si="197"/>
        <v>0</v>
      </c>
      <c r="AZ253" s="319">
        <f t="shared" si="197"/>
        <v>0</v>
      </c>
      <c r="BA253" s="319">
        <f t="shared" si="197"/>
        <v>0</v>
      </c>
      <c r="BB253" s="319">
        <f t="shared" si="197"/>
        <v>0</v>
      </c>
      <c r="BC253" s="875">
        <f t="shared" si="169"/>
        <v>0</v>
      </c>
      <c r="BD253" s="1088"/>
      <c r="BE253" s="876"/>
      <c r="BF253" s="874"/>
    </row>
    <row r="254" spans="1:58" s="52" customFormat="1" ht="11.25" x14ac:dyDescent="0.2">
      <c r="A254" s="115">
        <v>56303</v>
      </c>
      <c r="B254" s="116" t="s">
        <v>341</v>
      </c>
      <c r="C254" s="719"/>
      <c r="D254" s="318"/>
      <c r="E254" s="318"/>
      <c r="F254" s="318"/>
      <c r="G254" s="318"/>
      <c r="H254" s="318"/>
      <c r="I254" s="318"/>
      <c r="J254" s="318"/>
      <c r="K254" s="318"/>
      <c r="L254" s="318"/>
      <c r="M254" s="318"/>
      <c r="N254" s="744">
        <f>SUM(C254:M254)</f>
        <v>0</v>
      </c>
      <c r="O254" s="875"/>
      <c r="P254" s="115">
        <v>56303</v>
      </c>
      <c r="Q254" s="116" t="s">
        <v>341</v>
      </c>
      <c r="R254" s="318"/>
      <c r="S254" s="318"/>
      <c r="T254" s="318"/>
      <c r="U254" s="318"/>
      <c r="V254" s="318">
        <f>V255+V256+V257</f>
        <v>0</v>
      </c>
      <c r="W254" s="318"/>
      <c r="X254" s="318"/>
      <c r="Y254" s="394"/>
      <c r="Z254" s="318"/>
      <c r="AA254" s="318"/>
      <c r="AB254" s="318"/>
      <c r="AC254" s="318"/>
      <c r="AD254" s="318"/>
      <c r="AE254" s="394"/>
      <c r="AF254" s="394"/>
      <c r="AG254" s="318"/>
      <c r="AH254" s="318"/>
      <c r="AI254" s="318"/>
      <c r="AJ254" s="597">
        <f t="shared" si="158"/>
        <v>0</v>
      </c>
      <c r="AK254" s="266"/>
      <c r="AL254" s="115">
        <v>56303</v>
      </c>
      <c r="AM254" s="116" t="s">
        <v>341</v>
      </c>
      <c r="AN254" s="318"/>
      <c r="AO254" s="394"/>
      <c r="AP254" s="394"/>
      <c r="AQ254" s="315">
        <f t="shared" si="159"/>
        <v>0</v>
      </c>
      <c r="AR254" s="875"/>
      <c r="AS254" s="115">
        <v>56303</v>
      </c>
      <c r="AT254" s="116" t="s">
        <v>341</v>
      </c>
      <c r="AU254" s="318"/>
      <c r="AV254" s="318"/>
      <c r="AW254" s="1083"/>
      <c r="AX254" s="318"/>
      <c r="AY254" s="318"/>
      <c r="AZ254" s="318"/>
      <c r="BA254" s="630"/>
      <c r="BB254" s="316">
        <f>SUM(AW254:AZ254)</f>
        <v>0</v>
      </c>
      <c r="BC254" s="875">
        <f t="shared" si="169"/>
        <v>0</v>
      </c>
      <c r="BD254" s="1088">
        <f t="shared" ref="BD254:BD256" si="198">BB254+AQ254+AJ254+N254</f>
        <v>0</v>
      </c>
      <c r="BE254" s="876"/>
      <c r="BF254" s="874"/>
    </row>
    <row r="255" spans="1:58" s="52" customFormat="1" ht="11.25" x14ac:dyDescent="0.2">
      <c r="A255" s="115">
        <v>56304</v>
      </c>
      <c r="B255" s="116" t="s">
        <v>342</v>
      </c>
      <c r="C255" s="318"/>
      <c r="D255" s="318"/>
      <c r="E255" s="318"/>
      <c r="F255" s="318"/>
      <c r="G255" s="318"/>
      <c r="H255" s="318"/>
      <c r="I255" s="318"/>
      <c r="J255" s="318"/>
      <c r="K255" s="318"/>
      <c r="L255" s="318"/>
      <c r="M255" s="318"/>
      <c r="N255" s="744">
        <f>SUM(C255:M255)</f>
        <v>0</v>
      </c>
      <c r="O255" s="875"/>
      <c r="P255" s="115">
        <v>56304</v>
      </c>
      <c r="Q255" s="116" t="s">
        <v>342</v>
      </c>
      <c r="R255" s="318"/>
      <c r="S255" s="318"/>
      <c r="T255" s="318"/>
      <c r="U255" s="318"/>
      <c r="V255" s="318"/>
      <c r="W255" s="318"/>
      <c r="X255" s="318"/>
      <c r="Y255" s="394"/>
      <c r="Z255" s="318"/>
      <c r="AA255" s="318"/>
      <c r="AB255" s="318"/>
      <c r="AC255" s="318"/>
      <c r="AD255" s="318"/>
      <c r="AE255" s="394"/>
      <c r="AF255" s="394"/>
      <c r="AG255" s="318"/>
      <c r="AH255" s="318"/>
      <c r="AI255" s="318"/>
      <c r="AJ255" s="597">
        <f t="shared" si="158"/>
        <v>0</v>
      </c>
      <c r="AK255" s="266"/>
      <c r="AL255" s="115">
        <v>56304</v>
      </c>
      <c r="AM255" s="116" t="s">
        <v>342</v>
      </c>
      <c r="AN255" s="318"/>
      <c r="AO255" s="394"/>
      <c r="AP255" s="394"/>
      <c r="AQ255" s="315">
        <f t="shared" si="159"/>
        <v>0</v>
      </c>
      <c r="AR255" s="875"/>
      <c r="AS255" s="115">
        <v>56304</v>
      </c>
      <c r="AT255" s="116" t="s">
        <v>342</v>
      </c>
      <c r="AU255" s="318"/>
      <c r="AV255" s="318"/>
      <c r="AW255" s="1083"/>
      <c r="AX255" s="318"/>
      <c r="AY255" s="318"/>
      <c r="AZ255" s="318"/>
      <c r="BA255" s="630"/>
      <c r="BB255" s="316">
        <f>SUM(AW255:AZ255)</f>
        <v>0</v>
      </c>
      <c r="BC255" s="875">
        <f t="shared" si="169"/>
        <v>0</v>
      </c>
      <c r="BD255" s="1088">
        <f t="shared" si="198"/>
        <v>0</v>
      </c>
      <c r="BE255" s="876"/>
      <c r="BF255" s="874"/>
    </row>
    <row r="256" spans="1:58" s="52" customFormat="1" ht="11.25" x14ac:dyDescent="0.2">
      <c r="A256" s="147">
        <v>56305</v>
      </c>
      <c r="B256" s="148" t="s">
        <v>343</v>
      </c>
      <c r="C256" s="320"/>
      <c r="D256" s="320"/>
      <c r="E256" s="320"/>
      <c r="F256" s="320"/>
      <c r="G256" s="320"/>
      <c r="H256" s="320"/>
      <c r="I256" s="320"/>
      <c r="J256" s="320"/>
      <c r="K256" s="320"/>
      <c r="L256" s="320"/>
      <c r="M256" s="320"/>
      <c r="N256" s="406">
        <f>SUM(C256:M256)</f>
        <v>0</v>
      </c>
      <c r="O256" s="875"/>
      <c r="P256" s="147">
        <v>56305</v>
      </c>
      <c r="Q256" s="148" t="s">
        <v>343</v>
      </c>
      <c r="R256" s="320"/>
      <c r="S256" s="320"/>
      <c r="T256" s="320"/>
      <c r="U256" s="320"/>
      <c r="V256" s="320"/>
      <c r="W256" s="320"/>
      <c r="X256" s="320"/>
      <c r="Y256" s="395"/>
      <c r="Z256" s="320"/>
      <c r="AA256" s="320"/>
      <c r="AB256" s="320"/>
      <c r="AC256" s="320"/>
      <c r="AD256" s="320"/>
      <c r="AE256" s="395"/>
      <c r="AF256" s="395"/>
      <c r="AG256" s="320"/>
      <c r="AH256" s="320"/>
      <c r="AI256" s="320"/>
      <c r="AJ256" s="597">
        <f t="shared" si="158"/>
        <v>0</v>
      </c>
      <c r="AK256" s="266"/>
      <c r="AL256" s="147">
        <v>56305</v>
      </c>
      <c r="AM256" s="148" t="s">
        <v>343</v>
      </c>
      <c r="AN256" s="320"/>
      <c r="AO256" s="395"/>
      <c r="AP256" s="395"/>
      <c r="AQ256" s="315">
        <f t="shared" si="159"/>
        <v>0</v>
      </c>
      <c r="AR256" s="875"/>
      <c r="AS256" s="147">
        <v>56305</v>
      </c>
      <c r="AT256" s="148" t="s">
        <v>343</v>
      </c>
      <c r="AU256" s="320"/>
      <c r="AV256" s="320"/>
      <c r="AW256" s="1085"/>
      <c r="AX256" s="320"/>
      <c r="AY256" s="320"/>
      <c r="AZ256" s="320"/>
      <c r="BA256" s="631"/>
      <c r="BB256" s="316">
        <f>SUM(AW256:AZ256)</f>
        <v>0</v>
      </c>
      <c r="BC256" s="875">
        <f t="shared" si="169"/>
        <v>0</v>
      </c>
      <c r="BD256" s="1088">
        <f t="shared" si="198"/>
        <v>0</v>
      </c>
      <c r="BE256" s="876"/>
      <c r="BF256" s="874"/>
    </row>
    <row r="257" spans="1:58" s="125" customFormat="1" ht="11.25" x14ac:dyDescent="0.2">
      <c r="A257" s="267">
        <v>611</v>
      </c>
      <c r="B257" s="121" t="s">
        <v>403</v>
      </c>
      <c r="C257" s="319">
        <f t="shared" ref="C257:M257" si="199">SUM(C258:C262)</f>
        <v>0</v>
      </c>
      <c r="D257" s="319">
        <f t="shared" si="199"/>
        <v>0</v>
      </c>
      <c r="E257" s="319">
        <f t="shared" si="199"/>
        <v>0</v>
      </c>
      <c r="F257" s="319">
        <f t="shared" si="199"/>
        <v>0</v>
      </c>
      <c r="G257" s="319">
        <f t="shared" si="199"/>
        <v>0</v>
      </c>
      <c r="H257" s="319">
        <f t="shared" si="199"/>
        <v>0</v>
      </c>
      <c r="I257" s="319">
        <f t="shared" si="199"/>
        <v>0</v>
      </c>
      <c r="J257" s="858">
        <f t="shared" si="199"/>
        <v>0</v>
      </c>
      <c r="K257" s="858">
        <f t="shared" si="199"/>
        <v>0</v>
      </c>
      <c r="L257" s="858">
        <f t="shared" si="199"/>
        <v>0</v>
      </c>
      <c r="M257" s="319">
        <f t="shared" si="199"/>
        <v>0</v>
      </c>
      <c r="N257" s="319">
        <f>SUM(N258:N262)</f>
        <v>0</v>
      </c>
      <c r="O257" s="875"/>
      <c r="P257" s="267">
        <v>611</v>
      </c>
      <c r="Q257" s="121" t="s">
        <v>403</v>
      </c>
      <c r="R257" s="319">
        <f>SUM(R258:R262)</f>
        <v>0</v>
      </c>
      <c r="S257" s="319">
        <f t="shared" ref="S257:AH257" si="200">SUM(S258:S262)</f>
        <v>0</v>
      </c>
      <c r="T257" s="319">
        <f t="shared" si="200"/>
        <v>0</v>
      </c>
      <c r="U257" s="319">
        <f t="shared" si="200"/>
        <v>0</v>
      </c>
      <c r="V257" s="319">
        <f t="shared" si="200"/>
        <v>0</v>
      </c>
      <c r="W257" s="319">
        <f t="shared" si="200"/>
        <v>0</v>
      </c>
      <c r="X257" s="319">
        <f t="shared" si="200"/>
        <v>0</v>
      </c>
      <c r="Y257" s="319">
        <f t="shared" si="200"/>
        <v>0</v>
      </c>
      <c r="Z257" s="319">
        <f t="shared" si="200"/>
        <v>0</v>
      </c>
      <c r="AA257" s="319">
        <f t="shared" si="200"/>
        <v>0</v>
      </c>
      <c r="AB257" s="319">
        <f t="shared" si="200"/>
        <v>0</v>
      </c>
      <c r="AC257" s="319">
        <f t="shared" si="200"/>
        <v>0</v>
      </c>
      <c r="AD257" s="319">
        <f t="shared" si="200"/>
        <v>0</v>
      </c>
      <c r="AE257" s="319">
        <f t="shared" si="200"/>
        <v>0</v>
      </c>
      <c r="AF257" s="319">
        <f t="shared" si="200"/>
        <v>0</v>
      </c>
      <c r="AG257" s="319">
        <f t="shared" si="200"/>
        <v>0</v>
      </c>
      <c r="AH257" s="319">
        <f t="shared" si="200"/>
        <v>0</v>
      </c>
      <c r="AI257" s="319"/>
      <c r="AJ257" s="597">
        <f t="shared" si="158"/>
        <v>0</v>
      </c>
      <c r="AK257" s="266"/>
      <c r="AL257" s="267">
        <v>611</v>
      </c>
      <c r="AM257" s="121" t="s">
        <v>403</v>
      </c>
      <c r="AN257" s="319">
        <f>AN258+AN259+AN262+AN261</f>
        <v>0</v>
      </c>
      <c r="AO257" s="319">
        <f>AO258+AO259+AO262+AO261</f>
        <v>0</v>
      </c>
      <c r="AP257" s="319">
        <f>AP258+AP259+AP262+AP261</f>
        <v>0</v>
      </c>
      <c r="AQ257" s="319">
        <f>AQ258+AQ259+AQ262+AQ261</f>
        <v>0</v>
      </c>
      <c r="AR257" s="875"/>
      <c r="AS257" s="267">
        <v>611</v>
      </c>
      <c r="AT257" s="121" t="s">
        <v>403</v>
      </c>
      <c r="AU257" s="319">
        <f t="shared" ref="AU257:BB257" si="201">AU258+AU259+AU262</f>
        <v>0</v>
      </c>
      <c r="AV257" s="319">
        <f t="shared" si="201"/>
        <v>0</v>
      </c>
      <c r="AW257" s="1084">
        <f t="shared" si="201"/>
        <v>0</v>
      </c>
      <c r="AX257" s="319">
        <f t="shared" si="201"/>
        <v>0</v>
      </c>
      <c r="AY257" s="319">
        <f t="shared" si="201"/>
        <v>0</v>
      </c>
      <c r="AZ257" s="319">
        <f t="shared" si="201"/>
        <v>0</v>
      </c>
      <c r="BA257" s="319">
        <f t="shared" si="201"/>
        <v>0</v>
      </c>
      <c r="BB257" s="402">
        <f t="shared" si="201"/>
        <v>0</v>
      </c>
      <c r="BC257" s="875">
        <f t="shared" si="169"/>
        <v>0</v>
      </c>
      <c r="BD257" s="1088"/>
      <c r="BE257" s="876"/>
      <c r="BF257" s="874"/>
    </row>
    <row r="258" spans="1:58" s="52" customFormat="1" ht="11.25" x14ac:dyDescent="0.2">
      <c r="A258" s="115">
        <v>61101</v>
      </c>
      <c r="B258" s="116" t="s">
        <v>605</v>
      </c>
      <c r="C258" s="318"/>
      <c r="D258" s="318"/>
      <c r="E258" s="318"/>
      <c r="F258" s="318"/>
      <c r="G258" s="318"/>
      <c r="H258" s="719"/>
      <c r="I258" s="318"/>
      <c r="J258" s="811"/>
      <c r="K258" s="318"/>
      <c r="L258" s="318"/>
      <c r="M258" s="318"/>
      <c r="N258" s="316">
        <f>SUM(C258:M258)</f>
        <v>0</v>
      </c>
      <c r="O258" s="875"/>
      <c r="P258" s="115">
        <v>61101</v>
      </c>
      <c r="Q258" s="116" t="s">
        <v>605</v>
      </c>
      <c r="R258" s="318"/>
      <c r="S258" s="318"/>
      <c r="T258" s="318"/>
      <c r="U258" s="318"/>
      <c r="V258" s="318">
        <f>SUM(V259:V263)</f>
        <v>0</v>
      </c>
      <c r="W258" s="318"/>
      <c r="X258" s="318"/>
      <c r="Y258" s="394"/>
      <c r="Z258" s="318"/>
      <c r="AA258" s="318"/>
      <c r="AB258" s="318"/>
      <c r="AC258" s="318"/>
      <c r="AD258" s="318"/>
      <c r="AE258" s="394"/>
      <c r="AF258" s="394"/>
      <c r="AG258" s="318"/>
      <c r="AH258" s="318"/>
      <c r="AI258" s="318"/>
      <c r="AJ258" s="597">
        <f t="shared" ref="AJ258:AJ267" si="202">SUM(R258:AH258)</f>
        <v>0</v>
      </c>
      <c r="AK258" s="266"/>
      <c r="AL258" s="115">
        <v>61101</v>
      </c>
      <c r="AM258" s="116" t="s">
        <v>605</v>
      </c>
      <c r="AN258" s="318"/>
      <c r="AO258" s="394"/>
      <c r="AP258" s="394"/>
      <c r="AQ258" s="315">
        <f>SUM(AN258:AP258)</f>
        <v>0</v>
      </c>
      <c r="AR258" s="875"/>
      <c r="AS258" s="115">
        <v>61101</v>
      </c>
      <c r="AT258" s="116" t="s">
        <v>605</v>
      </c>
      <c r="AU258" s="724"/>
      <c r="AV258" s="724"/>
      <c r="AW258" s="1083"/>
      <c r="AX258" s="318"/>
      <c r="AY258" s="318"/>
      <c r="AZ258" s="318"/>
      <c r="BA258" s="630"/>
      <c r="BB258" s="406">
        <f>SUM(AU258:AZ258)</f>
        <v>0</v>
      </c>
      <c r="BC258" s="875">
        <f t="shared" si="169"/>
        <v>0</v>
      </c>
      <c r="BD258" s="1088">
        <f>BB258+AQ258+AJ258+N258</f>
        <v>0</v>
      </c>
      <c r="BE258" s="876"/>
      <c r="BF258" s="874"/>
    </row>
    <row r="259" spans="1:58" s="52" customFormat="1" ht="11.25" x14ac:dyDescent="0.2">
      <c r="A259" s="115">
        <v>61102</v>
      </c>
      <c r="B259" s="116" t="s">
        <v>606</v>
      </c>
      <c r="C259" s="318"/>
      <c r="D259" s="318"/>
      <c r="E259" s="318"/>
      <c r="F259" s="318"/>
      <c r="G259" s="318"/>
      <c r="H259" s="719"/>
      <c r="I259" s="318"/>
      <c r="J259" s="811"/>
      <c r="K259" s="318"/>
      <c r="L259" s="318"/>
      <c r="M259" s="318"/>
      <c r="N259" s="316">
        <f>SUM(C259:M259)</f>
        <v>0</v>
      </c>
      <c r="O259" s="875"/>
      <c r="P259" s="115">
        <v>61102</v>
      </c>
      <c r="Q259" s="116" t="s">
        <v>606</v>
      </c>
      <c r="R259" s="318"/>
      <c r="S259" s="318"/>
      <c r="T259" s="318"/>
      <c r="U259" s="318"/>
      <c r="V259" s="318"/>
      <c r="W259" s="318"/>
      <c r="X259" s="318"/>
      <c r="Y259" s="394"/>
      <c r="Z259" s="318"/>
      <c r="AA259" s="318"/>
      <c r="AB259" s="318"/>
      <c r="AC259" s="318"/>
      <c r="AD259" s="318"/>
      <c r="AE259" s="394"/>
      <c r="AF259" s="394"/>
      <c r="AG259" s="318"/>
      <c r="AH259" s="318"/>
      <c r="AI259" s="318"/>
      <c r="AJ259" s="597">
        <f t="shared" si="202"/>
        <v>0</v>
      </c>
      <c r="AK259" s="266"/>
      <c r="AL259" s="115">
        <v>61102</v>
      </c>
      <c r="AM259" s="116" t="s">
        <v>606</v>
      </c>
      <c r="AN259" s="318"/>
      <c r="AO259" s="394"/>
      <c r="AP259" s="394"/>
      <c r="AQ259" s="315">
        <f>SUM(AN259:AP259)</f>
        <v>0</v>
      </c>
      <c r="AR259" s="875"/>
      <c r="AS259" s="115">
        <v>61102</v>
      </c>
      <c r="AT259" s="116" t="s">
        <v>606</v>
      </c>
      <c r="AU259" s="724"/>
      <c r="AV259" s="724"/>
      <c r="AW259" s="1083"/>
      <c r="AX259" s="318"/>
      <c r="AY259" s="318"/>
      <c r="AZ259" s="318"/>
      <c r="BA259" s="630"/>
      <c r="BB259" s="406">
        <f>SUM(AU259:AZ259)</f>
        <v>0</v>
      </c>
      <c r="BC259" s="875">
        <f t="shared" si="169"/>
        <v>0</v>
      </c>
      <c r="BD259" s="1088">
        <f>BB259+AQ259+AJ259+N259</f>
        <v>0</v>
      </c>
      <c r="BE259" s="876"/>
      <c r="BF259" s="874"/>
    </row>
    <row r="260" spans="1:58" s="52" customFormat="1" ht="11.25" x14ac:dyDescent="0.2">
      <c r="A260" s="147">
        <v>61105</v>
      </c>
      <c r="B260" s="148" t="s">
        <v>785</v>
      </c>
      <c r="C260" s="318"/>
      <c r="D260" s="320"/>
      <c r="E260" s="320"/>
      <c r="F260" s="320"/>
      <c r="G260" s="320"/>
      <c r="H260" s="721"/>
      <c r="I260" s="320"/>
      <c r="J260" s="812"/>
      <c r="K260" s="320"/>
      <c r="L260" s="320"/>
      <c r="M260" s="320"/>
      <c r="N260" s="316"/>
      <c r="O260" s="875"/>
      <c r="P260" s="147">
        <v>61105</v>
      </c>
      <c r="Q260" s="148" t="s">
        <v>785</v>
      </c>
      <c r="R260" s="320"/>
      <c r="S260" s="320"/>
      <c r="T260" s="320"/>
      <c r="U260" s="320"/>
      <c r="V260" s="320"/>
      <c r="W260" s="320"/>
      <c r="X260" s="320"/>
      <c r="Y260" s="395"/>
      <c r="Z260" s="320"/>
      <c r="AA260" s="320"/>
      <c r="AB260" s="320"/>
      <c r="AC260" s="320"/>
      <c r="AD260" s="320"/>
      <c r="AE260" s="395"/>
      <c r="AF260" s="395"/>
      <c r="AG260" s="320"/>
      <c r="AH260" s="320"/>
      <c r="AI260" s="320"/>
      <c r="AJ260" s="597">
        <f t="shared" si="202"/>
        <v>0</v>
      </c>
      <c r="AK260" s="266"/>
      <c r="AL260" s="147">
        <v>61105</v>
      </c>
      <c r="AM260" s="148" t="s">
        <v>785</v>
      </c>
      <c r="AN260" s="320"/>
      <c r="AO260" s="395"/>
      <c r="AP260" s="395"/>
      <c r="AQ260" s="315"/>
      <c r="AR260" s="875"/>
      <c r="AS260" s="147">
        <v>61105</v>
      </c>
      <c r="AT260" s="148" t="s">
        <v>785</v>
      </c>
      <c r="AU260" s="727"/>
      <c r="AV260" s="727"/>
      <c r="AW260" s="1085"/>
      <c r="AX260" s="320"/>
      <c r="AY260" s="320"/>
      <c r="AZ260" s="320"/>
      <c r="BA260" s="631"/>
      <c r="BB260" s="406"/>
      <c r="BC260" s="875"/>
      <c r="BD260" s="1088"/>
      <c r="BE260" s="876"/>
      <c r="BF260" s="874"/>
    </row>
    <row r="261" spans="1:58" s="52" customFormat="1" ht="11.25" x14ac:dyDescent="0.2">
      <c r="A261" s="147">
        <v>61104</v>
      </c>
      <c r="B261" s="148" t="s">
        <v>607</v>
      </c>
      <c r="C261" s="318"/>
      <c r="D261" s="320"/>
      <c r="E261" s="320"/>
      <c r="F261" s="320"/>
      <c r="G261" s="320"/>
      <c r="H261" s="721"/>
      <c r="I261" s="320"/>
      <c r="J261" s="812"/>
      <c r="K261" s="320"/>
      <c r="L261" s="320"/>
      <c r="M261" s="320"/>
      <c r="N261" s="316">
        <f t="shared" ref="N261:N267" si="203">SUM(C261:M261)</f>
        <v>0</v>
      </c>
      <c r="O261" s="875"/>
      <c r="P261" s="147">
        <v>61104</v>
      </c>
      <c r="Q261" s="148" t="s">
        <v>607</v>
      </c>
      <c r="R261" s="320"/>
      <c r="S261" s="320"/>
      <c r="T261" s="320"/>
      <c r="U261" s="320"/>
      <c r="V261" s="320"/>
      <c r="W261" s="320"/>
      <c r="X261" s="320"/>
      <c r="Y261" s="395"/>
      <c r="Z261" s="320"/>
      <c r="AA261" s="320"/>
      <c r="AB261" s="320"/>
      <c r="AC261" s="320"/>
      <c r="AD261" s="320"/>
      <c r="AE261" s="395"/>
      <c r="AF261" s="395"/>
      <c r="AG261" s="320"/>
      <c r="AH261" s="320"/>
      <c r="AI261" s="320"/>
      <c r="AJ261" s="597">
        <f t="shared" si="202"/>
        <v>0</v>
      </c>
      <c r="AK261" s="266"/>
      <c r="AL261" s="147">
        <v>61104</v>
      </c>
      <c r="AM261" s="148" t="s">
        <v>607</v>
      </c>
      <c r="AN261" s="320"/>
      <c r="AO261" s="395"/>
      <c r="AP261" s="395"/>
      <c r="AQ261" s="315">
        <f>SUM(AN261:AP261)</f>
        <v>0</v>
      </c>
      <c r="AR261" s="875"/>
      <c r="AS261" s="147">
        <v>61104</v>
      </c>
      <c r="AT261" s="148" t="s">
        <v>607</v>
      </c>
      <c r="AU261" s="320"/>
      <c r="AV261" s="320"/>
      <c r="AW261" s="1085"/>
      <c r="AX261" s="320"/>
      <c r="AY261" s="320"/>
      <c r="AZ261" s="320"/>
      <c r="BA261" s="631"/>
      <c r="BB261" s="406">
        <f>SUM(AU261:AZ261)</f>
        <v>0</v>
      </c>
      <c r="BC261" s="875">
        <f>SUM(AU261:BA261)</f>
        <v>0</v>
      </c>
      <c r="BD261" s="1088">
        <f>BB261+AQ261+AJ261+N261</f>
        <v>0</v>
      </c>
      <c r="BE261" s="876"/>
      <c r="BF261" s="874"/>
    </row>
    <row r="262" spans="1:58" s="52" customFormat="1" ht="11.25" x14ac:dyDescent="0.2">
      <c r="A262" s="117">
        <v>61199</v>
      </c>
      <c r="B262" s="116" t="s">
        <v>608</v>
      </c>
      <c r="C262" s="318"/>
      <c r="D262" s="318"/>
      <c r="E262" s="318"/>
      <c r="F262" s="318"/>
      <c r="G262" s="318"/>
      <c r="H262" s="719"/>
      <c r="I262" s="318"/>
      <c r="J262" s="811"/>
      <c r="K262" s="318"/>
      <c r="L262" s="318"/>
      <c r="M262" s="318"/>
      <c r="N262" s="318">
        <f t="shared" si="203"/>
        <v>0</v>
      </c>
      <c r="O262" s="875"/>
      <c r="P262" s="117">
        <v>61199</v>
      </c>
      <c r="Q262" s="116" t="s">
        <v>608</v>
      </c>
      <c r="R262" s="318"/>
      <c r="S262" s="318"/>
      <c r="T262" s="318"/>
      <c r="U262" s="318"/>
      <c r="V262" s="318"/>
      <c r="W262" s="318"/>
      <c r="X262" s="318"/>
      <c r="Y262" s="318"/>
      <c r="Z262" s="318"/>
      <c r="AA262" s="318"/>
      <c r="AB262" s="318"/>
      <c r="AC262" s="318"/>
      <c r="AD262" s="318"/>
      <c r="AE262" s="318"/>
      <c r="AF262" s="318"/>
      <c r="AG262" s="318"/>
      <c r="AH262" s="320"/>
      <c r="AI262" s="320"/>
      <c r="AJ262" s="597">
        <f t="shared" si="202"/>
        <v>0</v>
      </c>
      <c r="AK262" s="266"/>
      <c r="AL262" s="117">
        <v>61199</v>
      </c>
      <c r="AM262" s="116" t="s">
        <v>608</v>
      </c>
      <c r="AN262" s="318"/>
      <c r="AO262" s="318"/>
      <c r="AP262" s="318"/>
      <c r="AQ262" s="315">
        <f>SUM(AN262:AP262)</f>
        <v>0</v>
      </c>
      <c r="AR262" s="875"/>
      <c r="AS262" s="117">
        <v>61199</v>
      </c>
      <c r="AT262" s="116" t="s">
        <v>608</v>
      </c>
      <c r="AU262" s="318"/>
      <c r="AV262" s="318"/>
      <c r="AW262" s="1083"/>
      <c r="AX262" s="318"/>
      <c r="AY262" s="318"/>
      <c r="AZ262" s="318"/>
      <c r="BA262" s="318"/>
      <c r="BB262" s="318">
        <f>SUM(AU262:AZ262)</f>
        <v>0</v>
      </c>
      <c r="BC262" s="875">
        <f>SUM(AU262:BA262)</f>
        <v>0</v>
      </c>
      <c r="BD262" s="1088">
        <f>BB262+AQ262+AJ262+N262</f>
        <v>0</v>
      </c>
      <c r="BE262" s="876"/>
      <c r="BF262" s="874"/>
    </row>
    <row r="263" spans="1:58" s="52" customFormat="1" ht="11.25" x14ac:dyDescent="0.2">
      <c r="A263" s="117">
        <v>61403</v>
      </c>
      <c r="B263" s="116" t="s">
        <v>778</v>
      </c>
      <c r="C263" s="318"/>
      <c r="D263" s="318"/>
      <c r="E263" s="318"/>
      <c r="F263" s="318"/>
      <c r="G263" s="318"/>
      <c r="H263" s="719"/>
      <c r="I263" s="318"/>
      <c r="J263" s="811"/>
      <c r="K263" s="318"/>
      <c r="L263" s="318"/>
      <c r="M263" s="318"/>
      <c r="N263" s="318">
        <f t="shared" si="203"/>
        <v>0</v>
      </c>
      <c r="O263" s="997"/>
      <c r="P263" s="739">
        <v>61403</v>
      </c>
      <c r="Q263" s="116" t="s">
        <v>778</v>
      </c>
      <c r="R263" s="318"/>
      <c r="S263" s="318"/>
      <c r="T263" s="318"/>
      <c r="U263" s="318"/>
      <c r="V263" s="318"/>
      <c r="W263" s="318"/>
      <c r="X263" s="318"/>
      <c r="Y263" s="318"/>
      <c r="Z263" s="318"/>
      <c r="AA263" s="318"/>
      <c r="AB263" s="318"/>
      <c r="AC263" s="318"/>
      <c r="AD263" s="318"/>
      <c r="AE263" s="318"/>
      <c r="AF263" s="318"/>
      <c r="AG263" s="318"/>
      <c r="AH263" s="320"/>
      <c r="AI263" s="320"/>
      <c r="AJ263" s="597">
        <f t="shared" si="202"/>
        <v>0</v>
      </c>
      <c r="AK263" s="266"/>
      <c r="AL263" s="739">
        <v>61403</v>
      </c>
      <c r="AM263" s="116" t="s">
        <v>778</v>
      </c>
      <c r="AN263" s="318"/>
      <c r="AO263" s="318"/>
      <c r="AP263" s="318"/>
      <c r="AQ263" s="315"/>
      <c r="AR263" s="875"/>
      <c r="AS263" s="739">
        <v>61403</v>
      </c>
      <c r="AT263" s="116" t="s">
        <v>778</v>
      </c>
      <c r="AU263" s="318"/>
      <c r="AV263" s="318"/>
      <c r="AW263" s="1083"/>
      <c r="AX263" s="318"/>
      <c r="AY263" s="318"/>
      <c r="AZ263" s="318"/>
      <c r="BA263" s="318"/>
      <c r="BB263" s="318"/>
      <c r="BC263" s="875"/>
      <c r="BD263" s="1088">
        <f>BB263+AQ263+AJ263+N263</f>
        <v>0</v>
      </c>
      <c r="BE263" s="876"/>
      <c r="BF263" s="874"/>
    </row>
    <row r="264" spans="1:58" s="52" customFormat="1" ht="26.25" customHeight="1" x14ac:dyDescent="0.2">
      <c r="A264" s="967">
        <v>721</v>
      </c>
      <c r="B264" s="968" t="s">
        <v>801</v>
      </c>
      <c r="C264" s="318">
        <f>SUM(C265)</f>
        <v>52777.4</v>
      </c>
      <c r="D264" s="318"/>
      <c r="E264" s="318"/>
      <c r="F264" s="318"/>
      <c r="G264" s="318"/>
      <c r="H264" s="719"/>
      <c r="I264" s="318"/>
      <c r="J264" s="811"/>
      <c r="K264" s="318"/>
      <c r="L264" s="318"/>
      <c r="M264" s="318"/>
      <c r="N264" s="319">
        <f t="shared" si="203"/>
        <v>52777.4</v>
      </c>
      <c r="O264" s="875"/>
      <c r="P264" s="976">
        <v>721</v>
      </c>
      <c r="Q264" s="974" t="s">
        <v>801</v>
      </c>
      <c r="R264" s="318"/>
      <c r="S264" s="318"/>
      <c r="T264" s="318"/>
      <c r="U264" s="318"/>
      <c r="V264" s="318"/>
      <c r="W264" s="318"/>
      <c r="X264" s="318"/>
      <c r="Y264" s="318"/>
      <c r="Z264" s="318"/>
      <c r="AA264" s="318"/>
      <c r="AB264" s="318"/>
      <c r="AC264" s="318"/>
      <c r="AD264" s="318"/>
      <c r="AE264" s="318"/>
      <c r="AF264" s="318"/>
      <c r="AG264" s="318"/>
      <c r="AH264" s="320"/>
      <c r="AI264" s="320"/>
      <c r="AJ264" s="597">
        <f t="shared" si="202"/>
        <v>0</v>
      </c>
      <c r="AK264" s="266"/>
      <c r="AL264" s="976">
        <v>721</v>
      </c>
      <c r="AM264" s="974" t="s">
        <v>801</v>
      </c>
      <c r="AN264" s="318"/>
      <c r="AO264" s="318"/>
      <c r="AP264" s="318"/>
      <c r="AQ264" s="315"/>
      <c r="AR264" s="875"/>
      <c r="AS264" s="976">
        <v>721</v>
      </c>
      <c r="AT264" s="974" t="s">
        <v>801</v>
      </c>
      <c r="AU264" s="318"/>
      <c r="AV264" s="318"/>
      <c r="AW264" s="1083"/>
      <c r="AX264" s="318"/>
      <c r="AY264" s="318"/>
      <c r="AZ264" s="318"/>
      <c r="BA264" s="318"/>
      <c r="BB264" s="318"/>
      <c r="BC264" s="875"/>
      <c r="BD264" s="1088">
        <f>BB264+AQ264+AJ264+N264</f>
        <v>52777.4</v>
      </c>
      <c r="BE264" s="876"/>
      <c r="BF264" s="874"/>
    </row>
    <row r="265" spans="1:58" s="52" customFormat="1" ht="11.25" x14ac:dyDescent="0.2">
      <c r="A265" s="739">
        <v>72101</v>
      </c>
      <c r="B265" s="969" t="s">
        <v>801</v>
      </c>
      <c r="C265" s="318">
        <v>52777.4</v>
      </c>
      <c r="D265" s="318"/>
      <c r="E265" s="318"/>
      <c r="F265" s="318"/>
      <c r="G265" s="318"/>
      <c r="H265" s="719"/>
      <c r="I265" s="318"/>
      <c r="J265" s="811"/>
      <c r="K265" s="318"/>
      <c r="L265" s="318"/>
      <c r="M265" s="318"/>
      <c r="N265" s="318">
        <f t="shared" si="203"/>
        <v>52777.4</v>
      </c>
      <c r="O265" s="875"/>
      <c r="P265" s="976">
        <v>72101</v>
      </c>
      <c r="Q265" s="974" t="s">
        <v>801</v>
      </c>
      <c r="R265" s="318"/>
      <c r="S265" s="318"/>
      <c r="T265" s="318"/>
      <c r="U265" s="318"/>
      <c r="V265" s="318"/>
      <c r="W265" s="318"/>
      <c r="X265" s="318"/>
      <c r="Y265" s="318"/>
      <c r="Z265" s="318"/>
      <c r="AA265" s="318"/>
      <c r="AB265" s="318"/>
      <c r="AC265" s="318"/>
      <c r="AD265" s="318"/>
      <c r="AE265" s="318"/>
      <c r="AF265" s="318"/>
      <c r="AG265" s="318"/>
      <c r="AH265" s="318"/>
      <c r="AI265" s="318"/>
      <c r="AJ265" s="597">
        <f t="shared" si="202"/>
        <v>0</v>
      </c>
      <c r="AK265" s="266"/>
      <c r="AL265" s="976">
        <v>72101</v>
      </c>
      <c r="AM265" s="974" t="s">
        <v>801</v>
      </c>
      <c r="AN265" s="318"/>
      <c r="AO265" s="318"/>
      <c r="AP265" s="318"/>
      <c r="AQ265" s="315"/>
      <c r="AR265" s="875"/>
      <c r="AS265" s="976">
        <v>72101</v>
      </c>
      <c r="AT265" s="974" t="s">
        <v>801</v>
      </c>
      <c r="AU265" s="318"/>
      <c r="AV265" s="318"/>
      <c r="AW265" s="1083"/>
      <c r="AX265" s="318"/>
      <c r="AY265" s="318"/>
      <c r="AZ265" s="318"/>
      <c r="BA265" s="318"/>
      <c r="BB265" s="318"/>
      <c r="BC265" s="875"/>
      <c r="BD265" s="1088"/>
      <c r="BE265" s="876"/>
      <c r="BF265" s="874"/>
    </row>
    <row r="266" spans="1:58" s="52" customFormat="1" ht="22.5" x14ac:dyDescent="0.2">
      <c r="A266" s="967">
        <v>722</v>
      </c>
      <c r="B266" s="968" t="s">
        <v>810</v>
      </c>
      <c r="C266" s="318">
        <f>SUM(C267)</f>
        <v>0</v>
      </c>
      <c r="D266" s="318"/>
      <c r="E266" s="318"/>
      <c r="F266" s="318"/>
      <c r="G266" s="318"/>
      <c r="H266" s="719"/>
      <c r="I266" s="318"/>
      <c r="J266" s="811"/>
      <c r="K266" s="318"/>
      <c r="L266" s="318"/>
      <c r="M266" s="318"/>
      <c r="N266" s="318">
        <f t="shared" si="203"/>
        <v>0</v>
      </c>
      <c r="O266" s="875"/>
      <c r="P266" s="976">
        <v>722</v>
      </c>
      <c r="Q266" s="974" t="s">
        <v>810</v>
      </c>
      <c r="R266" s="318"/>
      <c r="S266" s="318"/>
      <c r="T266" s="318"/>
      <c r="U266" s="318"/>
      <c r="V266" s="318"/>
      <c r="W266" s="318"/>
      <c r="X266" s="318"/>
      <c r="Y266" s="318"/>
      <c r="Z266" s="318"/>
      <c r="AA266" s="318"/>
      <c r="AB266" s="318"/>
      <c r="AC266" s="318"/>
      <c r="AD266" s="318"/>
      <c r="AE266" s="318"/>
      <c r="AF266" s="318"/>
      <c r="AG266" s="318"/>
      <c r="AH266" s="318"/>
      <c r="AI266" s="318"/>
      <c r="AJ266" s="597">
        <f t="shared" si="202"/>
        <v>0</v>
      </c>
      <c r="AK266" s="266"/>
      <c r="AL266" s="976">
        <v>722</v>
      </c>
      <c r="AM266" s="974" t="s">
        <v>810</v>
      </c>
      <c r="AN266" s="318"/>
      <c r="AO266" s="318"/>
      <c r="AP266" s="318"/>
      <c r="AQ266" s="315"/>
      <c r="AR266" s="875"/>
      <c r="AS266" s="976">
        <v>722</v>
      </c>
      <c r="AT266" s="974" t="s">
        <v>810</v>
      </c>
      <c r="AU266" s="318"/>
      <c r="AV266" s="318"/>
      <c r="AW266" s="1083"/>
      <c r="AX266" s="318"/>
      <c r="AY266" s="318"/>
      <c r="AZ266" s="318"/>
      <c r="BA266" s="318"/>
      <c r="BB266" s="318"/>
      <c r="BC266" s="875"/>
      <c r="BD266" s="1088">
        <f>BB266+AQ266+AJ266+N266</f>
        <v>0</v>
      </c>
      <c r="BE266" s="876"/>
      <c r="BF266" s="874"/>
    </row>
    <row r="267" spans="1:58" s="52" customFormat="1" ht="23.25" thickBot="1" x14ac:dyDescent="0.25">
      <c r="A267" s="739">
        <v>72201</v>
      </c>
      <c r="B267" s="969" t="s">
        <v>810</v>
      </c>
      <c r="C267" s="318"/>
      <c r="D267" s="318"/>
      <c r="E267" s="318"/>
      <c r="F267" s="318"/>
      <c r="G267" s="318"/>
      <c r="H267" s="719"/>
      <c r="I267" s="318"/>
      <c r="J267" s="811"/>
      <c r="K267" s="318"/>
      <c r="L267" s="318"/>
      <c r="M267" s="318"/>
      <c r="N267" s="318">
        <f t="shared" si="203"/>
        <v>0</v>
      </c>
      <c r="O267" s="875"/>
      <c r="P267" s="976">
        <v>72201</v>
      </c>
      <c r="Q267" s="974" t="s">
        <v>810</v>
      </c>
      <c r="R267" s="318"/>
      <c r="S267" s="318"/>
      <c r="T267" s="318"/>
      <c r="U267" s="318"/>
      <c r="V267" s="318"/>
      <c r="W267" s="318"/>
      <c r="X267" s="318"/>
      <c r="Y267" s="318"/>
      <c r="Z267" s="318"/>
      <c r="AA267" s="318"/>
      <c r="AB267" s="318"/>
      <c r="AC267" s="318"/>
      <c r="AD267" s="318"/>
      <c r="AE267" s="318"/>
      <c r="AF267" s="318"/>
      <c r="AG267" s="318"/>
      <c r="AH267" s="318"/>
      <c r="AI267" s="318"/>
      <c r="AJ267" s="597">
        <f t="shared" si="202"/>
        <v>0</v>
      </c>
      <c r="AK267" s="266"/>
      <c r="AL267" s="976">
        <v>72201</v>
      </c>
      <c r="AM267" s="974" t="s">
        <v>810</v>
      </c>
      <c r="AN267" s="318"/>
      <c r="AO267" s="318"/>
      <c r="AP267" s="318"/>
      <c r="AQ267" s="315"/>
      <c r="AR267" s="875"/>
      <c r="AS267" s="976">
        <v>72201</v>
      </c>
      <c r="AT267" s="974" t="s">
        <v>810</v>
      </c>
      <c r="AU267" s="318"/>
      <c r="AV267" s="318"/>
      <c r="AW267" s="1083"/>
      <c r="AX267" s="318"/>
      <c r="AY267" s="318"/>
      <c r="AZ267" s="318"/>
      <c r="BA267" s="318"/>
      <c r="BB267" s="318"/>
      <c r="BC267" s="875"/>
      <c r="BD267" s="1088">
        <f>BB267+AQ267+AJ267+N267</f>
        <v>0</v>
      </c>
      <c r="BE267" s="876"/>
      <c r="BF267" s="874"/>
    </row>
    <row r="268" spans="1:58" s="52" customFormat="1" ht="12" thickBot="1" x14ac:dyDescent="0.25">
      <c r="A268" s="935"/>
      <c r="B268" s="936" t="s">
        <v>828</v>
      </c>
      <c r="C268" s="937">
        <f>+C250+C241+C189+C257+C263+C264+C266</f>
        <v>251322.44999999998</v>
      </c>
      <c r="D268" s="937">
        <f t="shared" ref="D268:N268" si="204">+D250+D241+D189+D257+D263+D264+D266</f>
        <v>0</v>
      </c>
      <c r="E268" s="937">
        <f t="shared" si="204"/>
        <v>0</v>
      </c>
      <c r="F268" s="937">
        <f t="shared" si="204"/>
        <v>0</v>
      </c>
      <c r="G268" s="937">
        <f t="shared" si="204"/>
        <v>0</v>
      </c>
      <c r="H268" s="937">
        <f t="shared" si="204"/>
        <v>0</v>
      </c>
      <c r="I268" s="937">
        <f t="shared" si="204"/>
        <v>0</v>
      </c>
      <c r="J268" s="937">
        <f t="shared" si="204"/>
        <v>0</v>
      </c>
      <c r="K268" s="937">
        <f t="shared" si="204"/>
        <v>0</v>
      </c>
      <c r="L268" s="937">
        <f t="shared" si="204"/>
        <v>0</v>
      </c>
      <c r="M268" s="937">
        <f t="shared" si="204"/>
        <v>0</v>
      </c>
      <c r="N268" s="937">
        <f t="shared" si="204"/>
        <v>251322.44999999998</v>
      </c>
      <c r="O268" s="875"/>
      <c r="P268" s="935"/>
      <c r="Q268" s="936" t="s">
        <v>827</v>
      </c>
      <c r="R268" s="938">
        <f>+R250+R241+R189+R257+R263</f>
        <v>0</v>
      </c>
      <c r="S268" s="938">
        <f t="shared" ref="S268:AJ268" si="205">+S250+S241+S189+S257+S263</f>
        <v>0</v>
      </c>
      <c r="T268" s="938">
        <f t="shared" si="205"/>
        <v>0</v>
      </c>
      <c r="U268" s="938">
        <f t="shared" si="205"/>
        <v>0</v>
      </c>
      <c r="V268" s="938">
        <f t="shared" si="205"/>
        <v>0</v>
      </c>
      <c r="W268" s="938">
        <f t="shared" si="205"/>
        <v>0</v>
      </c>
      <c r="X268" s="938">
        <f t="shared" si="205"/>
        <v>0</v>
      </c>
      <c r="Y268" s="938">
        <f t="shared" si="205"/>
        <v>0</v>
      </c>
      <c r="Z268" s="938">
        <f t="shared" si="205"/>
        <v>0</v>
      </c>
      <c r="AA268" s="938">
        <f t="shared" si="205"/>
        <v>0</v>
      </c>
      <c r="AB268" s="938">
        <f t="shared" si="205"/>
        <v>0</v>
      </c>
      <c r="AC268" s="938">
        <f t="shared" si="205"/>
        <v>0</v>
      </c>
      <c r="AD268" s="938">
        <f t="shared" si="205"/>
        <v>0</v>
      </c>
      <c r="AE268" s="938">
        <f t="shared" si="205"/>
        <v>0</v>
      </c>
      <c r="AF268" s="938">
        <f t="shared" si="205"/>
        <v>0</v>
      </c>
      <c r="AG268" s="938">
        <f t="shared" si="205"/>
        <v>0</v>
      </c>
      <c r="AH268" s="938"/>
      <c r="AI268" s="938"/>
      <c r="AJ268" s="938">
        <f t="shared" si="205"/>
        <v>0</v>
      </c>
      <c r="AK268" s="266"/>
      <c r="AL268" s="935"/>
      <c r="AM268" s="936" t="s">
        <v>829</v>
      </c>
      <c r="AN268" s="938">
        <f>+AN250+AN241+AN189+AN257+AN263</f>
        <v>87000</v>
      </c>
      <c r="AO268" s="938">
        <f>+AO250+AO241+AO189+AO257+AO263</f>
        <v>0</v>
      </c>
      <c r="AP268" s="938">
        <f>+AP250+AP241+AP189+AP257+AP263</f>
        <v>0</v>
      </c>
      <c r="AQ268" s="938">
        <f>+AQ250+AQ241+AQ189+AQ257+AQ263</f>
        <v>87000</v>
      </c>
      <c r="AR268" s="875"/>
      <c r="AS268" s="935"/>
      <c r="AT268" s="936" t="s">
        <v>830</v>
      </c>
      <c r="AU268" s="938">
        <f>+AU250+AU241+AU189+AU257+AU263</f>
        <v>0</v>
      </c>
      <c r="AV268" s="938">
        <f t="shared" ref="AV268:BB268" si="206">+AV250+AV241+AV189+AV257+AV263</f>
        <v>0</v>
      </c>
      <c r="AW268" s="1086">
        <f t="shared" si="206"/>
        <v>26999.53</v>
      </c>
      <c r="AX268" s="938">
        <f t="shared" si="206"/>
        <v>414000</v>
      </c>
      <c r="AY268" s="938">
        <f t="shared" si="206"/>
        <v>0</v>
      </c>
      <c r="AZ268" s="938">
        <f t="shared" si="206"/>
        <v>0</v>
      </c>
      <c r="BA268" s="938">
        <f t="shared" si="206"/>
        <v>0</v>
      </c>
      <c r="BB268" s="938">
        <f t="shared" si="206"/>
        <v>440999.53</v>
      </c>
      <c r="BC268" s="875">
        <f>SUM(AU268:BA268)</f>
        <v>440999.53</v>
      </c>
      <c r="BD268" s="273">
        <f>SUM(BD191:BD267)</f>
        <v>779321.98</v>
      </c>
      <c r="BE268" s="876"/>
      <c r="BF268" s="874"/>
    </row>
    <row r="269" spans="1:58" ht="13.5" thickTop="1" x14ac:dyDescent="0.2">
      <c r="BD269" s="601">
        <f>BB268+AQ268+AJ268+N268</f>
        <v>779321.98</v>
      </c>
    </row>
    <row r="270" spans="1:58" x14ac:dyDescent="0.2">
      <c r="A270" s="80"/>
      <c r="B270" s="80"/>
      <c r="C270" s="719">
        <f>C268+C178</f>
        <v>272968.44999999995</v>
      </c>
      <c r="D270" s="719">
        <f t="shared" ref="D270:P270" si="207">D268+D178</f>
        <v>16193.220000000001</v>
      </c>
      <c r="E270" s="719">
        <f t="shared" si="207"/>
        <v>1000</v>
      </c>
      <c r="F270" s="719">
        <f t="shared" si="207"/>
        <v>1535</v>
      </c>
      <c r="G270" s="719">
        <f t="shared" si="207"/>
        <v>6200</v>
      </c>
      <c r="H270" s="719">
        <f t="shared" si="207"/>
        <v>4300</v>
      </c>
      <c r="I270" s="719">
        <f t="shared" si="207"/>
        <v>500</v>
      </c>
      <c r="J270" s="719">
        <f t="shared" si="207"/>
        <v>16522.900000000001</v>
      </c>
      <c r="K270" s="719">
        <f>K268+K178</f>
        <v>1000</v>
      </c>
      <c r="L270" s="719">
        <f t="shared" si="207"/>
        <v>640</v>
      </c>
      <c r="M270" s="719">
        <f t="shared" si="207"/>
        <v>65563</v>
      </c>
      <c r="N270" s="719">
        <f t="shared" si="207"/>
        <v>386422.56999999995</v>
      </c>
      <c r="O270" s="719">
        <f t="shared" si="207"/>
        <v>0</v>
      </c>
      <c r="P270" s="719">
        <f t="shared" si="207"/>
        <v>0</v>
      </c>
      <c r="Q270" s="719"/>
      <c r="R270" s="719">
        <f t="shared" ref="R270:AF270" si="208">R268+R178</f>
        <v>1000</v>
      </c>
      <c r="S270" s="719">
        <f t="shared" si="208"/>
        <v>10000</v>
      </c>
      <c r="T270" s="719">
        <f t="shared" si="208"/>
        <v>1000</v>
      </c>
      <c r="U270" s="719">
        <f t="shared" si="208"/>
        <v>30150</v>
      </c>
      <c r="V270" s="719">
        <f t="shared" si="208"/>
        <v>32666</v>
      </c>
      <c r="W270" s="719">
        <f t="shared" si="208"/>
        <v>2100</v>
      </c>
      <c r="X270" s="719">
        <f t="shared" si="208"/>
        <v>2560</v>
      </c>
      <c r="Y270" s="719">
        <f t="shared" si="208"/>
        <v>25730</v>
      </c>
      <c r="Z270" s="719">
        <f t="shared" si="208"/>
        <v>123650</v>
      </c>
      <c r="AA270" s="719">
        <f>AA268+AA178</f>
        <v>900</v>
      </c>
      <c r="AB270" s="719">
        <f>AB268+AB178</f>
        <v>0</v>
      </c>
      <c r="AC270" s="719">
        <f>AC268+AC178</f>
        <v>59200</v>
      </c>
      <c r="AD270" s="719">
        <f t="shared" si="208"/>
        <v>12600</v>
      </c>
      <c r="AE270" s="719">
        <f t="shared" si="208"/>
        <v>37150</v>
      </c>
      <c r="AF270" s="719">
        <f t="shared" si="208"/>
        <v>22860</v>
      </c>
      <c r="AG270" s="719">
        <f>AG268+AG178</f>
        <v>0</v>
      </c>
      <c r="AH270" s="719"/>
      <c r="AI270" s="719"/>
      <c r="AJ270" s="719">
        <f>AJ268+AJ178</f>
        <v>362531</v>
      </c>
      <c r="AK270" s="719">
        <f>AK268+AK178</f>
        <v>0</v>
      </c>
      <c r="AL270" s="719">
        <f>AL268+AL178</f>
        <v>0</v>
      </c>
      <c r="AM270" s="719"/>
      <c r="AN270" s="719">
        <f t="shared" ref="AN270:AS270" si="209">AN268+AN178</f>
        <v>110000</v>
      </c>
      <c r="AO270" s="719">
        <f t="shared" si="209"/>
        <v>14500</v>
      </c>
      <c r="AP270" s="719">
        <f t="shared" si="209"/>
        <v>11454.9</v>
      </c>
      <c r="AQ270" s="719">
        <f t="shared" si="209"/>
        <v>135954.9</v>
      </c>
      <c r="AR270" s="719">
        <f t="shared" si="209"/>
        <v>0</v>
      </c>
      <c r="AS270" s="719">
        <f t="shared" si="209"/>
        <v>0</v>
      </c>
      <c r="AT270" s="719"/>
      <c r="AU270" s="719">
        <f t="shared" ref="AU270:BB270" si="210">AU268+AU178</f>
        <v>3362.5</v>
      </c>
      <c r="AV270" s="719">
        <f t="shared" si="210"/>
        <v>0</v>
      </c>
      <c r="AW270" s="724">
        <f t="shared" si="210"/>
        <v>111576</v>
      </c>
      <c r="AX270" s="719">
        <f t="shared" si="210"/>
        <v>428497.56</v>
      </c>
      <c r="AY270" s="719">
        <f t="shared" si="210"/>
        <v>49490.02</v>
      </c>
      <c r="AZ270" s="719">
        <f t="shared" si="210"/>
        <v>5800</v>
      </c>
      <c r="BA270" s="719">
        <f t="shared" si="210"/>
        <v>15340</v>
      </c>
      <c r="BB270" s="719">
        <f t="shared" si="210"/>
        <v>614066.08000000007</v>
      </c>
    </row>
    <row r="271" spans="1:58" x14ac:dyDescent="0.2">
      <c r="C271" s="861">
        <f>C270-C87</f>
        <v>0</v>
      </c>
      <c r="D271" s="861">
        <f t="shared" ref="D271:N271" si="211">D270-D87</f>
        <v>0</v>
      </c>
      <c r="E271" s="861">
        <f t="shared" si="211"/>
        <v>0</v>
      </c>
      <c r="F271" s="861">
        <f t="shared" si="211"/>
        <v>0</v>
      </c>
      <c r="G271" s="861">
        <f t="shared" si="211"/>
        <v>0</v>
      </c>
      <c r="H271" s="861">
        <f t="shared" si="211"/>
        <v>0</v>
      </c>
      <c r="I271" s="861">
        <f t="shared" si="211"/>
        <v>0</v>
      </c>
      <c r="J271" s="861">
        <f t="shared" si="211"/>
        <v>0</v>
      </c>
      <c r="K271" s="861">
        <f t="shared" si="211"/>
        <v>0</v>
      </c>
      <c r="L271" s="861">
        <f t="shared" si="211"/>
        <v>0</v>
      </c>
      <c r="M271" s="861">
        <f t="shared" si="211"/>
        <v>0</v>
      </c>
      <c r="N271" s="861">
        <f t="shared" si="211"/>
        <v>0</v>
      </c>
      <c r="O271" s="861"/>
      <c r="P271" s="861">
        <f>P270-P87</f>
        <v>0</v>
      </c>
      <c r="Q271" s="861"/>
      <c r="R271" s="861">
        <f t="shared" ref="R271:AF271" si="212">R270-R87</f>
        <v>0</v>
      </c>
      <c r="S271" s="861">
        <f t="shared" si="212"/>
        <v>0</v>
      </c>
      <c r="T271" s="861">
        <f t="shared" si="212"/>
        <v>0</v>
      </c>
      <c r="U271" s="861">
        <f t="shared" si="212"/>
        <v>0</v>
      </c>
      <c r="V271" s="861">
        <f t="shared" si="212"/>
        <v>0</v>
      </c>
      <c r="W271" s="861">
        <f t="shared" si="212"/>
        <v>0</v>
      </c>
      <c r="X271" s="861">
        <f t="shared" si="212"/>
        <v>0</v>
      </c>
      <c r="Y271" s="861">
        <f t="shared" si="212"/>
        <v>0</v>
      </c>
      <c r="Z271" s="861">
        <f t="shared" si="212"/>
        <v>-73012.25</v>
      </c>
      <c r="AA271" s="861">
        <f t="shared" si="212"/>
        <v>0</v>
      </c>
      <c r="AB271" s="861">
        <f t="shared" si="212"/>
        <v>0</v>
      </c>
      <c r="AC271" s="861">
        <f>AC270-AC87</f>
        <v>0</v>
      </c>
      <c r="AD271" s="861">
        <f t="shared" si="212"/>
        <v>0</v>
      </c>
      <c r="AE271" s="861">
        <f t="shared" si="212"/>
        <v>0</v>
      </c>
      <c r="AF271" s="861">
        <f t="shared" si="212"/>
        <v>-1900</v>
      </c>
      <c r="AG271" s="861">
        <f>AG270-AG87</f>
        <v>0</v>
      </c>
      <c r="AH271" s="861"/>
      <c r="AI271" s="861"/>
      <c r="AJ271" s="861">
        <f>AJ270-AJ87</f>
        <v>-74912.25</v>
      </c>
      <c r="AK271" s="861"/>
      <c r="AL271" s="861">
        <f>AL270-AL87</f>
        <v>0</v>
      </c>
      <c r="AM271" s="861"/>
      <c r="AN271" s="861">
        <f>AN270-AN87</f>
        <v>0</v>
      </c>
      <c r="AO271" s="861">
        <f>AO270-AO87</f>
        <v>0</v>
      </c>
      <c r="AP271" s="861">
        <f>AP270-AP87</f>
        <v>0</v>
      </c>
      <c r="AQ271" s="861">
        <f>AQ270-AQ87</f>
        <v>0</v>
      </c>
      <c r="AR271" s="861"/>
      <c r="AS271" s="861">
        <f>AS270-AS87</f>
        <v>0</v>
      </c>
      <c r="AT271" s="861"/>
      <c r="AU271" s="861">
        <f t="shared" ref="AU271:BB271" si="213">AU270-AU87</f>
        <v>0</v>
      </c>
      <c r="AV271" s="861">
        <f t="shared" si="213"/>
        <v>0</v>
      </c>
      <c r="AW271" s="182">
        <f t="shared" si="213"/>
        <v>0</v>
      </c>
      <c r="AX271" s="861">
        <f t="shared" si="213"/>
        <v>0</v>
      </c>
      <c r="AY271" s="861">
        <f t="shared" si="213"/>
        <v>0</v>
      </c>
      <c r="AZ271" s="861">
        <f t="shared" si="213"/>
        <v>0</v>
      </c>
      <c r="BA271" s="861">
        <f t="shared" si="213"/>
        <v>0</v>
      </c>
      <c r="BB271" s="861">
        <f t="shared" si="213"/>
        <v>0</v>
      </c>
    </row>
    <row r="272" spans="1:58" s="80" customFormat="1" ht="10.5" customHeight="1" x14ac:dyDescent="0.2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266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S272" s="52"/>
      <c r="AT272" s="52"/>
      <c r="AU272" s="52"/>
      <c r="AV272" s="52"/>
      <c r="AW272" s="114"/>
      <c r="AX272" s="52"/>
      <c r="AY272" s="52"/>
      <c r="AZ272" s="52"/>
      <c r="BA272" s="52"/>
      <c r="BB272" s="52"/>
    </row>
    <row r="273" spans="1:56" s="52" customFormat="1" ht="11.25" x14ac:dyDescent="0.2">
      <c r="R273" s="219"/>
      <c r="AW273" s="114"/>
    </row>
    <row r="274" spans="1:56" s="52" customFormat="1" ht="11.25" x14ac:dyDescent="0.2">
      <c r="R274" s="219"/>
      <c r="AW274" s="114"/>
    </row>
    <row r="275" spans="1:56" s="52" customFormat="1" ht="11.25" x14ac:dyDescent="0.2">
      <c r="R275" s="219"/>
      <c r="AW275" s="114"/>
    </row>
    <row r="276" spans="1:56" s="52" customFormat="1" ht="11.25" x14ac:dyDescent="0.2">
      <c r="R276" s="227"/>
      <c r="AW276" s="114"/>
    </row>
    <row r="277" spans="1:56" s="52" customFormat="1" x14ac:dyDescent="0.2">
      <c r="A277" s="1114" t="s">
        <v>268</v>
      </c>
      <c r="B277" s="1114"/>
      <c r="C277" s="1114"/>
      <c r="D277" s="1114"/>
      <c r="E277" s="1114"/>
      <c r="F277" s="1114"/>
      <c r="G277" s="1114"/>
      <c r="H277" s="1114"/>
      <c r="I277" s="1114"/>
      <c r="J277" s="1114"/>
      <c r="K277" s="1114"/>
      <c r="L277" s="1114"/>
      <c r="M277" s="1114"/>
      <c r="N277" s="1114"/>
      <c r="P277" s="1114" t="s">
        <v>268</v>
      </c>
      <c r="Q277" s="1114"/>
      <c r="R277" s="1114"/>
      <c r="S277" s="1114"/>
      <c r="T277" s="1114"/>
      <c r="U277" s="1114"/>
      <c r="V277" s="1114"/>
      <c r="W277" s="1114"/>
      <c r="X277" s="1114"/>
      <c r="Y277" s="1114"/>
      <c r="Z277" s="1114"/>
      <c r="AA277" s="1114"/>
      <c r="AB277" s="1114"/>
      <c r="AC277" s="1114"/>
      <c r="AD277" s="1114"/>
      <c r="AE277" s="1114"/>
      <c r="AF277" s="1114"/>
      <c r="AG277" s="1114"/>
      <c r="AH277" s="1114"/>
      <c r="AI277" s="1114"/>
      <c r="AJ277" s="1114"/>
      <c r="AL277" s="1114" t="s">
        <v>268</v>
      </c>
      <c r="AM277" s="1114"/>
      <c r="AN277" s="1114"/>
      <c r="AO277" s="1114"/>
      <c r="AP277" s="1114"/>
      <c r="AQ277" s="1114"/>
      <c r="AS277" s="1114" t="s">
        <v>268</v>
      </c>
      <c r="AT277" s="1114"/>
      <c r="AU277" s="1114"/>
      <c r="AV277" s="1114"/>
      <c r="AW277" s="1114"/>
      <c r="AX277" s="1114"/>
      <c r="AY277" s="1114"/>
      <c r="AZ277" s="30"/>
      <c r="BA277" s="30"/>
      <c r="BB277" s="30"/>
    </row>
    <row r="278" spans="1:56" s="52" customFormat="1" x14ac:dyDescent="0.2">
      <c r="A278" s="1114" t="s">
        <v>832</v>
      </c>
      <c r="B278" s="1114"/>
      <c r="C278" s="1114"/>
      <c r="D278" s="1114"/>
      <c r="E278" s="1114"/>
      <c r="F278" s="1114"/>
      <c r="G278" s="1114"/>
      <c r="H278" s="1114"/>
      <c r="I278" s="1114"/>
      <c r="J278" s="1114"/>
      <c r="K278" s="1114"/>
      <c r="L278" s="1114"/>
      <c r="M278" s="1114"/>
      <c r="N278" s="1114"/>
      <c r="P278" s="1114" t="s">
        <v>832</v>
      </c>
      <c r="Q278" s="1114"/>
      <c r="R278" s="1114"/>
      <c r="S278" s="1114"/>
      <c r="T278" s="1114"/>
      <c r="U278" s="1114"/>
      <c r="V278" s="1114"/>
      <c r="W278" s="1114"/>
      <c r="X278" s="1114"/>
      <c r="Y278" s="1114"/>
      <c r="Z278" s="1114"/>
      <c r="AA278" s="1114"/>
      <c r="AB278" s="1114"/>
      <c r="AC278" s="1114"/>
      <c r="AD278" s="1114"/>
      <c r="AE278" s="1114"/>
      <c r="AF278" s="1114"/>
      <c r="AG278" s="1114"/>
      <c r="AH278" s="1114"/>
      <c r="AI278" s="1114"/>
      <c r="AJ278" s="1114"/>
      <c r="AL278" s="1114" t="s">
        <v>837</v>
      </c>
      <c r="AM278" s="1114"/>
      <c r="AN278" s="1114"/>
      <c r="AO278" s="1114"/>
      <c r="AP278" s="1114"/>
      <c r="AQ278" s="1114"/>
      <c r="AS278" s="1114" t="s">
        <v>838</v>
      </c>
      <c r="AT278" s="1114"/>
      <c r="AU278" s="1114"/>
      <c r="AV278" s="1114"/>
      <c r="AW278" s="1114"/>
      <c r="AX278" s="1114"/>
      <c r="AY278" s="1114"/>
      <c r="AZ278" s="30"/>
      <c r="BA278" s="30"/>
      <c r="BB278" s="30"/>
    </row>
    <row r="279" spans="1:56" s="52" customFormat="1" x14ac:dyDescent="0.2">
      <c r="A279" s="1191" t="s">
        <v>72</v>
      </c>
      <c r="B279" s="1191"/>
      <c r="C279" s="1191"/>
      <c r="D279" s="1191"/>
      <c r="E279" s="1191"/>
      <c r="F279" s="1191"/>
      <c r="G279" s="1191"/>
      <c r="H279" s="1191"/>
      <c r="I279" s="1191"/>
      <c r="J279" s="1191"/>
      <c r="K279" s="1191"/>
      <c r="L279" s="1191"/>
      <c r="M279" s="1191"/>
      <c r="N279" s="1191"/>
      <c r="P279" s="1191" t="s">
        <v>72</v>
      </c>
      <c r="Q279" s="1191"/>
      <c r="R279" s="1191"/>
      <c r="S279" s="1191"/>
      <c r="T279" s="1191"/>
      <c r="U279" s="1191"/>
      <c r="V279" s="1191"/>
      <c r="W279" s="1191"/>
      <c r="X279" s="1191"/>
      <c r="Y279" s="1191"/>
      <c r="Z279" s="1191"/>
      <c r="AA279" s="1191"/>
      <c r="AB279" s="1191"/>
      <c r="AC279" s="1191"/>
      <c r="AD279" s="1191"/>
      <c r="AE279" s="1191"/>
      <c r="AF279" s="1191"/>
      <c r="AG279" s="1191"/>
      <c r="AH279" s="1191"/>
      <c r="AI279" s="1191"/>
      <c r="AJ279" s="1191"/>
      <c r="AL279" s="1191" t="s">
        <v>72</v>
      </c>
      <c r="AM279" s="1191"/>
      <c r="AN279" s="1191"/>
      <c r="AO279" s="1191"/>
      <c r="AP279" s="1191"/>
      <c r="AQ279" s="1191"/>
      <c r="AS279" s="1191" t="s">
        <v>72</v>
      </c>
      <c r="AT279" s="1191"/>
      <c r="AU279" s="1191"/>
      <c r="AV279" s="1191"/>
      <c r="AW279" s="1191"/>
      <c r="AX279" s="1191"/>
      <c r="AY279" s="1191"/>
      <c r="AZ279" s="30"/>
      <c r="BA279" s="30"/>
      <c r="BB279" s="30"/>
    </row>
    <row r="280" spans="1:56" s="52" customFormat="1" x14ac:dyDescent="0.2">
      <c r="A280" s="51" t="s">
        <v>458</v>
      </c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P280" s="51" t="s">
        <v>458</v>
      </c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L280" s="51" t="s">
        <v>290</v>
      </c>
      <c r="AM280" s="30"/>
      <c r="AN280" s="30"/>
      <c r="AO280" s="30"/>
      <c r="AP280" s="30"/>
      <c r="AQ280" s="30"/>
      <c r="AS280" s="51" t="s">
        <v>290</v>
      </c>
      <c r="AT280" s="30"/>
      <c r="AU280" s="30"/>
      <c r="AV280" s="30"/>
      <c r="AW280" s="182"/>
      <c r="AX280" s="30"/>
      <c r="AY280" s="30"/>
      <c r="AZ280" s="30"/>
      <c r="BA280" s="30"/>
      <c r="BB280" s="30"/>
    </row>
    <row r="281" spans="1:56" s="52" customFormat="1" ht="13.5" thickBot="1" x14ac:dyDescent="0.25">
      <c r="A281" s="51" t="s">
        <v>459</v>
      </c>
      <c r="B281" s="252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P281" s="51" t="s">
        <v>453</v>
      </c>
      <c r="Q281" s="252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L281" s="51" t="s">
        <v>455</v>
      </c>
      <c r="AM281" s="252"/>
      <c r="AN281" s="30"/>
      <c r="AO281" s="30"/>
      <c r="AP281" s="30"/>
      <c r="AQ281" s="30"/>
      <c r="AS281" s="51" t="s">
        <v>457</v>
      </c>
      <c r="AT281" s="252"/>
      <c r="AU281" s="30"/>
      <c r="AV281" s="30"/>
      <c r="AW281" s="182"/>
      <c r="AX281" s="30"/>
      <c r="AY281" s="30"/>
      <c r="AZ281" s="30"/>
      <c r="BA281" s="30"/>
      <c r="BB281" s="30"/>
    </row>
    <row r="282" spans="1:56" s="52" customFormat="1" ht="46.5" thickTop="1" thickBot="1" x14ac:dyDescent="0.25">
      <c r="A282" s="258" t="s">
        <v>88</v>
      </c>
      <c r="B282" s="259" t="s">
        <v>89</v>
      </c>
      <c r="C282" s="404" t="s">
        <v>282</v>
      </c>
      <c r="D282" s="405" t="s">
        <v>283</v>
      </c>
      <c r="E282" s="405" t="s">
        <v>244</v>
      </c>
      <c r="F282" s="405" t="s">
        <v>346</v>
      </c>
      <c r="G282" s="405" t="s">
        <v>248</v>
      </c>
      <c r="H282" s="405" t="s">
        <v>699</v>
      </c>
      <c r="I282" s="405" t="s">
        <v>250</v>
      </c>
      <c r="J282" s="405" t="s">
        <v>438</v>
      </c>
      <c r="K282" s="405" t="s">
        <v>637</v>
      </c>
      <c r="L282" s="405" t="s">
        <v>661</v>
      </c>
      <c r="M282" s="405" t="s">
        <v>526</v>
      </c>
      <c r="N282" s="399" t="s">
        <v>31</v>
      </c>
      <c r="P282" s="258" t="s">
        <v>88</v>
      </c>
      <c r="Q282" s="259" t="s">
        <v>89</v>
      </c>
      <c r="R282" s="260" t="s">
        <v>575</v>
      </c>
      <c r="S282" s="261" t="s">
        <v>576</v>
      </c>
      <c r="T282" s="261" t="s">
        <v>528</v>
      </c>
      <c r="U282" s="261" t="s">
        <v>529</v>
      </c>
      <c r="V282" s="261" t="s">
        <v>207</v>
      </c>
      <c r="W282" s="261" t="s">
        <v>182</v>
      </c>
      <c r="X282" s="261" t="s">
        <v>577</v>
      </c>
      <c r="Y282" s="398" t="s">
        <v>578</v>
      </c>
      <c r="Z282" s="261" t="s">
        <v>553</v>
      </c>
      <c r="AA282" s="261" t="s">
        <v>618</v>
      </c>
      <c r="AB282" s="261" t="s">
        <v>514</v>
      </c>
      <c r="AC282" s="261" t="s">
        <v>532</v>
      </c>
      <c r="AD282" s="198" t="s">
        <v>623</v>
      </c>
      <c r="AE282" s="398" t="s">
        <v>533</v>
      </c>
      <c r="AF282" s="398" t="s">
        <v>729</v>
      </c>
      <c r="AG282" s="261" t="s">
        <v>441</v>
      </c>
      <c r="AH282" s="629"/>
      <c r="AI282" s="629"/>
      <c r="AJ282" s="403" t="s">
        <v>684</v>
      </c>
      <c r="AL282" s="258" t="s">
        <v>88</v>
      </c>
      <c r="AM282" s="259" t="s">
        <v>89</v>
      </c>
      <c r="AN282" s="260" t="s">
        <v>183</v>
      </c>
      <c r="AO282" s="260" t="s">
        <v>706</v>
      </c>
      <c r="AP282" s="261" t="s">
        <v>460</v>
      </c>
      <c r="AQ282" s="403" t="s">
        <v>684</v>
      </c>
      <c r="AS282" s="258" t="s">
        <v>88</v>
      </c>
      <c r="AT282" s="259" t="s">
        <v>89</v>
      </c>
      <c r="AU282" s="260" t="s">
        <v>280</v>
      </c>
      <c r="AV282" s="260" t="s">
        <v>648</v>
      </c>
      <c r="AW282" s="261" t="s">
        <v>534</v>
      </c>
      <c r="AX282" s="261" t="s">
        <v>535</v>
      </c>
      <c r="AY282" s="262" t="s">
        <v>536</v>
      </c>
      <c r="AZ282" s="262" t="s">
        <v>443</v>
      </c>
      <c r="BA282" s="262" t="s">
        <v>651</v>
      </c>
      <c r="BB282" s="274" t="s">
        <v>31</v>
      </c>
    </row>
    <row r="283" spans="1:56" s="52" customFormat="1" ht="11.25" x14ac:dyDescent="0.2">
      <c r="A283" s="264">
        <v>54</v>
      </c>
      <c r="B283" s="265" t="s">
        <v>107</v>
      </c>
      <c r="C283" s="400">
        <f t="shared" ref="C283:N283" si="214">C284+C304+C309+C323+C328</f>
        <v>0</v>
      </c>
      <c r="D283" s="314">
        <f t="shared" si="214"/>
        <v>0</v>
      </c>
      <c r="E283" s="314">
        <f t="shared" si="214"/>
        <v>0</v>
      </c>
      <c r="F283" s="314">
        <f t="shared" si="214"/>
        <v>0</v>
      </c>
      <c r="G283" s="314">
        <f t="shared" si="214"/>
        <v>0</v>
      </c>
      <c r="H283" s="314">
        <f t="shared" si="214"/>
        <v>0</v>
      </c>
      <c r="I283" s="314">
        <f t="shared" si="214"/>
        <v>0</v>
      </c>
      <c r="J283" s="314">
        <f t="shared" si="214"/>
        <v>0</v>
      </c>
      <c r="K283" s="314">
        <f t="shared" si="214"/>
        <v>0</v>
      </c>
      <c r="L283" s="314">
        <f t="shared" si="214"/>
        <v>0</v>
      </c>
      <c r="M283" s="314">
        <f t="shared" si="214"/>
        <v>0</v>
      </c>
      <c r="N283" s="400">
        <f t="shared" si="214"/>
        <v>0</v>
      </c>
      <c r="P283" s="264">
        <v>54</v>
      </c>
      <c r="Q283" s="265" t="s">
        <v>107</v>
      </c>
      <c r="R283" s="314">
        <f>R284+R304+R309+R323+R328</f>
        <v>0</v>
      </c>
      <c r="S283" s="314">
        <f t="shared" ref="S283:AG283" si="215">S284+S304+S309+S323+S328</f>
        <v>0</v>
      </c>
      <c r="T283" s="314">
        <f t="shared" si="215"/>
        <v>0</v>
      </c>
      <c r="U283" s="314">
        <f t="shared" si="215"/>
        <v>0</v>
      </c>
      <c r="V283" s="314">
        <f t="shared" si="215"/>
        <v>0</v>
      </c>
      <c r="W283" s="314">
        <f t="shared" si="215"/>
        <v>0</v>
      </c>
      <c r="X283" s="314">
        <f t="shared" si="215"/>
        <v>0</v>
      </c>
      <c r="Y283" s="314">
        <f t="shared" si="215"/>
        <v>0</v>
      </c>
      <c r="Z283" s="314">
        <f t="shared" si="215"/>
        <v>0</v>
      </c>
      <c r="AA283" s="314">
        <f t="shared" si="215"/>
        <v>0</v>
      </c>
      <c r="AB283" s="314">
        <f t="shared" si="215"/>
        <v>0</v>
      </c>
      <c r="AC283" s="314">
        <f t="shared" si="215"/>
        <v>0</v>
      </c>
      <c r="AD283" s="314">
        <f t="shared" si="215"/>
        <v>0</v>
      </c>
      <c r="AE283" s="314">
        <f t="shared" si="215"/>
        <v>0</v>
      </c>
      <c r="AF283" s="314">
        <f t="shared" si="215"/>
        <v>0</v>
      </c>
      <c r="AG283" s="314">
        <f t="shared" si="215"/>
        <v>0</v>
      </c>
      <c r="AH283" s="314"/>
      <c r="AI283" s="314"/>
      <c r="AJ283" s="642">
        <f t="shared" ref="AJ283:AJ314" si="216">SUM(R283:AG283)</f>
        <v>0</v>
      </c>
      <c r="AL283" s="264">
        <v>54</v>
      </c>
      <c r="AM283" s="265" t="s">
        <v>107</v>
      </c>
      <c r="AN283" s="314">
        <f>AN284+AN304+AN309+AN323+AN328</f>
        <v>0</v>
      </c>
      <c r="AO283" s="314">
        <f>AO284+AO304+AO309+AO323+AO328</f>
        <v>0</v>
      </c>
      <c r="AP283" s="314">
        <f>AP284+AP304+AP309+AP323+AP328</f>
        <v>0</v>
      </c>
      <c r="AQ283" s="314">
        <f>AQ284+AQ304+AQ309+AQ323+AQ328</f>
        <v>0</v>
      </c>
      <c r="AS283" s="264">
        <v>54</v>
      </c>
      <c r="AT283" s="265" t="s">
        <v>107</v>
      </c>
      <c r="AU283" s="314">
        <f t="shared" ref="AU283:AZ283" si="217">AU284+AU304+AU309+AU323+AU328</f>
        <v>0</v>
      </c>
      <c r="AV283" s="314">
        <f t="shared" si="217"/>
        <v>0</v>
      </c>
      <c r="AW283" s="1079">
        <f t="shared" si="217"/>
        <v>0</v>
      </c>
      <c r="AX283" s="314">
        <f t="shared" si="217"/>
        <v>0</v>
      </c>
      <c r="AY283" s="407">
        <f t="shared" si="217"/>
        <v>0</v>
      </c>
      <c r="AZ283" s="407">
        <f t="shared" si="217"/>
        <v>0</v>
      </c>
      <c r="BA283" s="407"/>
      <c r="BB283" s="407">
        <f>BB284+BB304+BB309+BB323+BB328</f>
        <v>0</v>
      </c>
      <c r="BD283" s="998">
        <f t="shared" ref="BD283:BD314" si="218">BB283+AQ283+AJ283+N283</f>
        <v>0</v>
      </c>
    </row>
    <row r="284" spans="1:56" s="52" customFormat="1" ht="11.25" x14ac:dyDescent="0.2">
      <c r="A284" s="267">
        <v>541</v>
      </c>
      <c r="B284" s="121" t="s">
        <v>108</v>
      </c>
      <c r="C284" s="597">
        <f>SUM(C285:C303)</f>
        <v>0</v>
      </c>
      <c r="D284" s="597">
        <f t="shared" ref="D284:N284" si="219">SUM(D285:D303)</f>
        <v>0</v>
      </c>
      <c r="E284" s="597">
        <f t="shared" si="219"/>
        <v>0</v>
      </c>
      <c r="F284" s="597">
        <f t="shared" si="219"/>
        <v>0</v>
      </c>
      <c r="G284" s="597">
        <f t="shared" si="219"/>
        <v>0</v>
      </c>
      <c r="H284" s="597">
        <f t="shared" si="219"/>
        <v>0</v>
      </c>
      <c r="I284" s="597">
        <f t="shared" si="219"/>
        <v>0</v>
      </c>
      <c r="J284" s="597">
        <f t="shared" si="219"/>
        <v>0</v>
      </c>
      <c r="K284" s="597">
        <f t="shared" si="219"/>
        <v>0</v>
      </c>
      <c r="L284" s="597">
        <f t="shared" si="219"/>
        <v>0</v>
      </c>
      <c r="M284" s="597">
        <f t="shared" si="219"/>
        <v>0</v>
      </c>
      <c r="N284" s="401">
        <f t="shared" si="219"/>
        <v>0</v>
      </c>
      <c r="P284" s="267">
        <v>541</v>
      </c>
      <c r="Q284" s="121" t="s">
        <v>108</v>
      </c>
      <c r="R284" s="315">
        <f>SUM(R285:R303)</f>
        <v>0</v>
      </c>
      <c r="S284" s="315">
        <f t="shared" ref="S284:AG284" si="220">SUM(S285:S303)</f>
        <v>0</v>
      </c>
      <c r="T284" s="315">
        <f t="shared" si="220"/>
        <v>0</v>
      </c>
      <c r="U284" s="315">
        <f t="shared" si="220"/>
        <v>0</v>
      </c>
      <c r="V284" s="315">
        <f t="shared" si="220"/>
        <v>0</v>
      </c>
      <c r="W284" s="315">
        <f t="shared" si="220"/>
        <v>0</v>
      </c>
      <c r="X284" s="315">
        <f t="shared" si="220"/>
        <v>0</v>
      </c>
      <c r="Y284" s="315">
        <f t="shared" si="220"/>
        <v>0</v>
      </c>
      <c r="Z284" s="315">
        <f t="shared" si="220"/>
        <v>0</v>
      </c>
      <c r="AA284" s="315">
        <f t="shared" si="220"/>
        <v>0</v>
      </c>
      <c r="AB284" s="315">
        <f t="shared" si="220"/>
        <v>0</v>
      </c>
      <c r="AC284" s="315">
        <f t="shared" si="220"/>
        <v>0</v>
      </c>
      <c r="AD284" s="315">
        <f t="shared" si="220"/>
        <v>0</v>
      </c>
      <c r="AE284" s="315">
        <f t="shared" si="220"/>
        <v>0</v>
      </c>
      <c r="AF284" s="315">
        <f t="shared" si="220"/>
        <v>0</v>
      </c>
      <c r="AG284" s="597">
        <f t="shared" si="220"/>
        <v>0</v>
      </c>
      <c r="AH284" s="597"/>
      <c r="AI284" s="597"/>
      <c r="AJ284" s="597">
        <f t="shared" si="216"/>
        <v>0</v>
      </c>
      <c r="AL284" s="267">
        <v>541</v>
      </c>
      <c r="AM284" s="121" t="s">
        <v>108</v>
      </c>
      <c r="AN284" s="315">
        <f>SUM(AN285:AN303)</f>
        <v>0</v>
      </c>
      <c r="AO284" s="315">
        <f>SUM(AO285:AO303)</f>
        <v>0</v>
      </c>
      <c r="AP284" s="315">
        <f>SUM(AP285:AP303)</f>
        <v>0</v>
      </c>
      <c r="AQ284" s="315">
        <f>SUM(AQ285:AQ303)</f>
        <v>0</v>
      </c>
      <c r="AS284" s="267">
        <v>541</v>
      </c>
      <c r="AT284" s="121" t="s">
        <v>108</v>
      </c>
      <c r="AU284" s="315">
        <f t="shared" ref="AU284:BB284" si="221">SUM(AU285:AU303)</f>
        <v>0</v>
      </c>
      <c r="AV284" s="315">
        <f t="shared" si="221"/>
        <v>0</v>
      </c>
      <c r="AW284" s="1080">
        <f t="shared" si="221"/>
        <v>0</v>
      </c>
      <c r="AX284" s="315">
        <f t="shared" si="221"/>
        <v>0</v>
      </c>
      <c r="AY284" s="315">
        <f t="shared" si="221"/>
        <v>0</v>
      </c>
      <c r="AZ284" s="315">
        <f t="shared" si="221"/>
        <v>0</v>
      </c>
      <c r="BA284" s="315">
        <f t="shared" si="221"/>
        <v>0</v>
      </c>
      <c r="BB284" s="315">
        <f t="shared" si="221"/>
        <v>0</v>
      </c>
      <c r="BD284" s="998">
        <f t="shared" si="218"/>
        <v>0</v>
      </c>
    </row>
    <row r="285" spans="1:56" s="52" customFormat="1" ht="11.25" x14ac:dyDescent="0.2">
      <c r="A285" s="115">
        <v>54101</v>
      </c>
      <c r="B285" s="116" t="s">
        <v>291</v>
      </c>
      <c r="C285" s="206"/>
      <c r="D285" s="206">
        <v>0</v>
      </c>
      <c r="E285" s="206">
        <v>0</v>
      </c>
      <c r="F285" s="206">
        <v>0</v>
      </c>
      <c r="G285" s="206">
        <v>0</v>
      </c>
      <c r="H285" s="719"/>
      <c r="I285" s="206">
        <v>0</v>
      </c>
      <c r="J285" s="206">
        <v>0</v>
      </c>
      <c r="K285" s="206"/>
      <c r="L285" s="206"/>
      <c r="M285" s="206">
        <v>0</v>
      </c>
      <c r="N285" s="406">
        <f t="shared" ref="N285:N303" si="222">SUM(C285:M285)</f>
        <v>0</v>
      </c>
      <c r="P285" s="115">
        <v>54101</v>
      </c>
      <c r="Q285" s="116" t="s">
        <v>291</v>
      </c>
      <c r="R285" s="206">
        <v>0</v>
      </c>
      <c r="S285" s="206">
        <v>0</v>
      </c>
      <c r="T285" s="206">
        <v>0</v>
      </c>
      <c r="U285" s="206">
        <v>0</v>
      </c>
      <c r="V285" s="206">
        <v>0</v>
      </c>
      <c r="W285" s="206"/>
      <c r="X285" s="206">
        <v>0</v>
      </c>
      <c r="Y285" s="393">
        <v>0</v>
      </c>
      <c r="Z285" s="206">
        <v>0</v>
      </c>
      <c r="AA285" s="206">
        <v>0</v>
      </c>
      <c r="AB285" s="206">
        <v>0</v>
      </c>
      <c r="AC285" s="206"/>
      <c r="AD285" s="206">
        <v>0</v>
      </c>
      <c r="AE285" s="393">
        <v>0</v>
      </c>
      <c r="AF285" s="732"/>
      <c r="AG285" s="206">
        <v>0</v>
      </c>
      <c r="AH285" s="206"/>
      <c r="AI285" s="206"/>
      <c r="AJ285" s="206">
        <f t="shared" si="216"/>
        <v>0</v>
      </c>
      <c r="AL285" s="115">
        <v>54101</v>
      </c>
      <c r="AM285" s="116" t="s">
        <v>291</v>
      </c>
      <c r="AN285" s="206">
        <v>0</v>
      </c>
      <c r="AO285" s="393"/>
      <c r="AP285" s="393">
        <v>0</v>
      </c>
      <c r="AQ285" s="315">
        <f t="shared" ref="AQ285:AQ303" si="223">SUM(AN285:AP285)</f>
        <v>0</v>
      </c>
      <c r="AS285" s="115">
        <v>54101</v>
      </c>
      <c r="AT285" s="116" t="s">
        <v>291</v>
      </c>
      <c r="AU285" s="206"/>
      <c r="AV285" s="206"/>
      <c r="AW285" s="1081"/>
      <c r="AX285" s="206"/>
      <c r="AY285" s="206"/>
      <c r="AZ285" s="206"/>
      <c r="BA285" s="632"/>
      <c r="BB285" s="316">
        <f t="shared" ref="BB285:BB303" si="224">SUM(AU285:AZ285)</f>
        <v>0</v>
      </c>
      <c r="BD285" s="998">
        <f t="shared" si="218"/>
        <v>0</v>
      </c>
    </row>
    <row r="286" spans="1:56" s="52" customFormat="1" ht="11.25" x14ac:dyDescent="0.2">
      <c r="A286" s="115">
        <v>54103</v>
      </c>
      <c r="B286" s="116" t="s">
        <v>292</v>
      </c>
      <c r="C286" s="206"/>
      <c r="D286" s="206">
        <v>0</v>
      </c>
      <c r="E286" s="206">
        <v>0</v>
      </c>
      <c r="F286" s="206">
        <v>0</v>
      </c>
      <c r="G286" s="206">
        <v>0</v>
      </c>
      <c r="H286" s="719"/>
      <c r="I286" s="206">
        <v>0</v>
      </c>
      <c r="J286" s="206">
        <v>0</v>
      </c>
      <c r="K286" s="206"/>
      <c r="L286" s="206"/>
      <c r="M286" s="206">
        <v>0</v>
      </c>
      <c r="N286" s="406">
        <f t="shared" si="222"/>
        <v>0</v>
      </c>
      <c r="P286" s="115">
        <v>54103</v>
      </c>
      <c r="Q286" s="116" t="s">
        <v>292</v>
      </c>
      <c r="R286" s="206">
        <v>0</v>
      </c>
      <c r="S286" s="206">
        <v>0</v>
      </c>
      <c r="T286" s="206">
        <v>0</v>
      </c>
      <c r="U286" s="206">
        <v>0</v>
      </c>
      <c r="V286" s="206">
        <v>0</v>
      </c>
      <c r="W286" s="206"/>
      <c r="X286" s="206">
        <v>0</v>
      </c>
      <c r="Y286" s="393">
        <v>0</v>
      </c>
      <c r="Z286" s="206">
        <v>0</v>
      </c>
      <c r="AA286" s="206">
        <v>0</v>
      </c>
      <c r="AB286" s="206">
        <v>0</v>
      </c>
      <c r="AC286" s="206"/>
      <c r="AD286" s="206">
        <v>0</v>
      </c>
      <c r="AE286" s="393">
        <v>0</v>
      </c>
      <c r="AF286" s="393"/>
      <c r="AG286" s="206">
        <v>0</v>
      </c>
      <c r="AH286" s="206"/>
      <c r="AI286" s="206"/>
      <c r="AJ286" s="206">
        <f t="shared" si="216"/>
        <v>0</v>
      </c>
      <c r="AL286" s="115">
        <v>54103</v>
      </c>
      <c r="AM286" s="116" t="s">
        <v>292</v>
      </c>
      <c r="AN286" s="206">
        <v>0</v>
      </c>
      <c r="AO286" s="393"/>
      <c r="AP286" s="393">
        <v>0</v>
      </c>
      <c r="AQ286" s="315">
        <f t="shared" si="223"/>
        <v>0</v>
      </c>
      <c r="AS286" s="115">
        <v>54103</v>
      </c>
      <c r="AT286" s="116" t="s">
        <v>292</v>
      </c>
      <c r="AU286" s="206"/>
      <c r="AV286" s="206"/>
      <c r="AW286" s="1081"/>
      <c r="AX286" s="206"/>
      <c r="AY286" s="206"/>
      <c r="AZ286" s="206"/>
      <c r="BA286" s="632"/>
      <c r="BB286" s="316">
        <f t="shared" si="224"/>
        <v>0</v>
      </c>
      <c r="BD286" s="998">
        <f t="shared" si="218"/>
        <v>0</v>
      </c>
    </row>
    <row r="287" spans="1:56" s="52" customFormat="1" ht="11.25" x14ac:dyDescent="0.2">
      <c r="A287" s="115">
        <v>54104</v>
      </c>
      <c r="B287" s="116" t="s">
        <v>293</v>
      </c>
      <c r="C287" s="206"/>
      <c r="D287" s="206">
        <v>0</v>
      </c>
      <c r="E287" s="206">
        <v>0</v>
      </c>
      <c r="F287" s="206">
        <v>0</v>
      </c>
      <c r="G287" s="206">
        <v>0</v>
      </c>
      <c r="H287" s="719"/>
      <c r="I287" s="206">
        <v>0</v>
      </c>
      <c r="J287" s="206">
        <v>0</v>
      </c>
      <c r="K287" s="206"/>
      <c r="L287" s="206"/>
      <c r="M287" s="206">
        <v>0</v>
      </c>
      <c r="N287" s="406">
        <f t="shared" si="222"/>
        <v>0</v>
      </c>
      <c r="P287" s="115">
        <v>54104</v>
      </c>
      <c r="Q287" s="116" t="s">
        <v>293</v>
      </c>
      <c r="R287" s="206">
        <v>0</v>
      </c>
      <c r="S287" s="206">
        <v>0</v>
      </c>
      <c r="T287" s="206">
        <v>0</v>
      </c>
      <c r="U287" s="206">
        <v>0</v>
      </c>
      <c r="V287" s="206">
        <v>0</v>
      </c>
      <c r="W287" s="206"/>
      <c r="X287" s="206">
        <v>0</v>
      </c>
      <c r="Y287" s="393"/>
      <c r="Z287" s="206">
        <v>0</v>
      </c>
      <c r="AA287" s="206">
        <v>0</v>
      </c>
      <c r="AB287" s="206">
        <v>0</v>
      </c>
      <c r="AC287" s="206"/>
      <c r="AD287" s="206"/>
      <c r="AE287" s="393">
        <v>0</v>
      </c>
      <c r="AF287" s="393"/>
      <c r="AG287" s="206">
        <v>0</v>
      </c>
      <c r="AH287" s="206"/>
      <c r="AI287" s="206"/>
      <c r="AJ287" s="206">
        <f t="shared" si="216"/>
        <v>0</v>
      </c>
      <c r="AL287" s="115">
        <v>54104</v>
      </c>
      <c r="AM287" s="116" t="s">
        <v>293</v>
      </c>
      <c r="AN287" s="206">
        <v>0</v>
      </c>
      <c r="AO287" s="393"/>
      <c r="AP287" s="393">
        <v>0</v>
      </c>
      <c r="AQ287" s="315">
        <f t="shared" si="223"/>
        <v>0</v>
      </c>
      <c r="AS287" s="115">
        <v>54104</v>
      </c>
      <c r="AT287" s="116" t="s">
        <v>293</v>
      </c>
      <c r="AU287" s="206"/>
      <c r="AV287" s="206"/>
      <c r="AW287" s="1081"/>
      <c r="AX287" s="206"/>
      <c r="AY287" s="206"/>
      <c r="AZ287" s="206"/>
      <c r="BA287" s="632"/>
      <c r="BB287" s="316">
        <f t="shared" si="224"/>
        <v>0</v>
      </c>
      <c r="BD287" s="998">
        <f t="shared" si="218"/>
        <v>0</v>
      </c>
    </row>
    <row r="288" spans="1:56" s="52" customFormat="1" ht="11.25" x14ac:dyDescent="0.2">
      <c r="A288" s="115">
        <v>54105</v>
      </c>
      <c r="B288" s="116" t="s">
        <v>294</v>
      </c>
      <c r="C288" s="598"/>
      <c r="D288" s="317"/>
      <c r="E288" s="317"/>
      <c r="F288" s="317"/>
      <c r="G288" s="317"/>
      <c r="H288" s="720"/>
      <c r="I288" s="317"/>
      <c r="J288" s="317"/>
      <c r="K288" s="317"/>
      <c r="L288" s="317"/>
      <c r="M288" s="317"/>
      <c r="N288" s="406">
        <f t="shared" si="222"/>
        <v>0</v>
      </c>
      <c r="P288" s="115">
        <v>54105</v>
      </c>
      <c r="Q288" s="116" t="s">
        <v>294</v>
      </c>
      <c r="R288" s="317">
        <f>R107*0.5</f>
        <v>0</v>
      </c>
      <c r="S288" s="317"/>
      <c r="T288" s="317"/>
      <c r="U288" s="317"/>
      <c r="V288" s="317"/>
      <c r="W288" s="317"/>
      <c r="X288" s="317"/>
      <c r="Y288" s="317"/>
      <c r="Z288" s="317"/>
      <c r="AA288" s="317"/>
      <c r="AB288" s="317"/>
      <c r="AC288" s="317"/>
      <c r="AD288" s="317"/>
      <c r="AE288" s="317"/>
      <c r="AF288" s="317"/>
      <c r="AG288" s="317"/>
      <c r="AH288" s="317"/>
      <c r="AI288" s="317"/>
      <c r="AJ288" s="317">
        <f t="shared" si="216"/>
        <v>0</v>
      </c>
      <c r="AL288" s="115">
        <v>54105</v>
      </c>
      <c r="AM288" s="116" t="s">
        <v>294</v>
      </c>
      <c r="AN288" s="317">
        <v>0</v>
      </c>
      <c r="AO288" s="644"/>
      <c r="AP288" s="644">
        <v>0</v>
      </c>
      <c r="AQ288" s="315">
        <f t="shared" si="223"/>
        <v>0</v>
      </c>
      <c r="AS288" s="115">
        <v>54105</v>
      </c>
      <c r="AT288" s="116" t="s">
        <v>294</v>
      </c>
      <c r="AU288" s="317"/>
      <c r="AV288" s="317"/>
      <c r="AW288" s="1082"/>
      <c r="AX288" s="317"/>
      <c r="AY288" s="317"/>
      <c r="AZ288" s="317"/>
      <c r="BA288" s="633"/>
      <c r="BB288" s="316">
        <f t="shared" si="224"/>
        <v>0</v>
      </c>
      <c r="BD288" s="998">
        <f t="shared" si="218"/>
        <v>0</v>
      </c>
    </row>
    <row r="289" spans="1:56" s="52" customFormat="1" ht="11.25" x14ac:dyDescent="0.2">
      <c r="A289" s="115">
        <v>54106</v>
      </c>
      <c r="B289" s="116" t="s">
        <v>295</v>
      </c>
      <c r="C289" s="206"/>
      <c r="D289" s="206"/>
      <c r="E289" s="206"/>
      <c r="F289" s="206"/>
      <c r="G289" s="206"/>
      <c r="H289" s="719"/>
      <c r="I289" s="206"/>
      <c r="J289" s="206"/>
      <c r="K289" s="206"/>
      <c r="L289" s="206"/>
      <c r="M289" s="206"/>
      <c r="N289" s="406">
        <f t="shared" si="222"/>
        <v>0</v>
      </c>
      <c r="P289" s="115">
        <v>54106</v>
      </c>
      <c r="Q289" s="116" t="s">
        <v>295</v>
      </c>
      <c r="R289" s="206">
        <v>0</v>
      </c>
      <c r="S289" s="206"/>
      <c r="T289" s="206"/>
      <c r="U289" s="206"/>
      <c r="V289" s="206"/>
      <c r="W289" s="206"/>
      <c r="X289" s="206"/>
      <c r="Y289" s="393"/>
      <c r="Z289" s="206"/>
      <c r="AA289" s="206"/>
      <c r="AB289" s="206"/>
      <c r="AC289" s="206"/>
      <c r="AD289" s="206"/>
      <c r="AE289" s="393"/>
      <c r="AF289" s="393"/>
      <c r="AG289" s="206"/>
      <c r="AH289" s="206"/>
      <c r="AI289" s="206"/>
      <c r="AJ289" s="206">
        <f t="shared" si="216"/>
        <v>0</v>
      </c>
      <c r="AL289" s="115">
        <v>54106</v>
      </c>
      <c r="AM289" s="116" t="s">
        <v>295</v>
      </c>
      <c r="AN289" s="206">
        <v>0</v>
      </c>
      <c r="AO289" s="393"/>
      <c r="AP289" s="393">
        <v>0</v>
      </c>
      <c r="AQ289" s="315">
        <f t="shared" si="223"/>
        <v>0</v>
      </c>
      <c r="AS289" s="115">
        <v>54106</v>
      </c>
      <c r="AT289" s="116" t="s">
        <v>295</v>
      </c>
      <c r="AU289" s="206"/>
      <c r="AV289" s="206"/>
      <c r="AW289" s="1081"/>
      <c r="AX289" s="206"/>
      <c r="AY289" s="206"/>
      <c r="AZ289" s="206"/>
      <c r="BA289" s="632"/>
      <c r="BB289" s="316">
        <f t="shared" si="224"/>
        <v>0</v>
      </c>
      <c r="BD289" s="998">
        <f t="shared" si="218"/>
        <v>0</v>
      </c>
    </row>
    <row r="290" spans="1:56" s="52" customFormat="1" ht="11.25" x14ac:dyDescent="0.2">
      <c r="A290" s="115">
        <v>54107</v>
      </c>
      <c r="B290" s="116" t="s">
        <v>420</v>
      </c>
      <c r="C290" s="318"/>
      <c r="D290" s="318"/>
      <c r="E290" s="318"/>
      <c r="F290" s="318"/>
      <c r="G290" s="318"/>
      <c r="H290" s="719"/>
      <c r="I290" s="318"/>
      <c r="J290" s="318"/>
      <c r="K290" s="318"/>
      <c r="L290" s="318"/>
      <c r="M290" s="318"/>
      <c r="N290" s="406">
        <f t="shared" si="222"/>
        <v>0</v>
      </c>
      <c r="P290" s="115">
        <v>54107</v>
      </c>
      <c r="Q290" s="116" t="s">
        <v>420</v>
      </c>
      <c r="R290" s="318">
        <v>0</v>
      </c>
      <c r="S290" s="318"/>
      <c r="T290" s="318"/>
      <c r="U290" s="318"/>
      <c r="V290" s="318"/>
      <c r="W290" s="318"/>
      <c r="X290" s="318"/>
      <c r="Y290" s="394"/>
      <c r="Z290" s="318"/>
      <c r="AA290" s="318"/>
      <c r="AB290" s="318"/>
      <c r="AC290" s="318"/>
      <c r="AD290" s="318"/>
      <c r="AE290" s="394"/>
      <c r="AF290" s="732"/>
      <c r="AG290" s="643"/>
      <c r="AH290" s="643"/>
      <c r="AI290" s="643"/>
      <c r="AJ290" s="641">
        <f t="shared" si="216"/>
        <v>0</v>
      </c>
      <c r="AL290" s="115">
        <v>54107</v>
      </c>
      <c r="AM290" s="116" t="s">
        <v>420</v>
      </c>
      <c r="AN290" s="318">
        <v>0</v>
      </c>
      <c r="AO290" s="394"/>
      <c r="AP290" s="394">
        <v>0</v>
      </c>
      <c r="AQ290" s="315">
        <f t="shared" si="223"/>
        <v>0</v>
      </c>
      <c r="AS290" s="115">
        <v>54107</v>
      </c>
      <c r="AT290" s="116" t="s">
        <v>420</v>
      </c>
      <c r="AU290" s="318"/>
      <c r="AV290" s="318"/>
      <c r="AW290" s="1083"/>
      <c r="AX290" s="318"/>
      <c r="AY290" s="318"/>
      <c r="AZ290" s="318"/>
      <c r="BA290" s="630"/>
      <c r="BB290" s="316">
        <f t="shared" si="224"/>
        <v>0</v>
      </c>
      <c r="BD290" s="998">
        <f t="shared" si="218"/>
        <v>0</v>
      </c>
    </row>
    <row r="291" spans="1:56" s="52" customFormat="1" ht="11.25" x14ac:dyDescent="0.2">
      <c r="A291" s="115">
        <v>54108</v>
      </c>
      <c r="B291" s="116" t="s">
        <v>297</v>
      </c>
      <c r="C291" s="318"/>
      <c r="D291" s="318"/>
      <c r="E291" s="318"/>
      <c r="F291" s="318"/>
      <c r="G291" s="318"/>
      <c r="H291" s="719"/>
      <c r="I291" s="318"/>
      <c r="J291" s="318"/>
      <c r="K291" s="318"/>
      <c r="L291" s="318"/>
      <c r="M291" s="318"/>
      <c r="N291" s="406">
        <f t="shared" si="222"/>
        <v>0</v>
      </c>
      <c r="P291" s="115">
        <v>54108</v>
      </c>
      <c r="Q291" s="116" t="s">
        <v>297</v>
      </c>
      <c r="R291" s="318"/>
      <c r="S291" s="318"/>
      <c r="T291" s="318"/>
      <c r="U291" s="318"/>
      <c r="V291" s="318"/>
      <c r="W291" s="318"/>
      <c r="X291" s="318"/>
      <c r="Y291" s="394"/>
      <c r="Z291" s="318"/>
      <c r="AA291" s="318"/>
      <c r="AB291" s="318"/>
      <c r="AC291" s="318"/>
      <c r="AD291" s="318"/>
      <c r="AE291" s="394"/>
      <c r="AF291" s="394"/>
      <c r="AG291" s="318"/>
      <c r="AH291" s="318"/>
      <c r="AI291" s="318"/>
      <c r="AJ291" s="318">
        <f t="shared" si="216"/>
        <v>0</v>
      </c>
      <c r="AL291" s="115">
        <v>54108</v>
      </c>
      <c r="AM291" s="116" t="s">
        <v>297</v>
      </c>
      <c r="AN291" s="318"/>
      <c r="AO291" s="394"/>
      <c r="AP291" s="394"/>
      <c r="AQ291" s="315">
        <f t="shared" si="223"/>
        <v>0</v>
      </c>
      <c r="AS291" s="115">
        <v>54108</v>
      </c>
      <c r="AT291" s="116" t="s">
        <v>297</v>
      </c>
      <c r="AU291" s="318"/>
      <c r="AV291" s="318"/>
      <c r="AW291" s="1083"/>
      <c r="AX291" s="318"/>
      <c r="AY291" s="318"/>
      <c r="AZ291" s="318"/>
      <c r="BA291" s="630"/>
      <c r="BB291" s="316">
        <f t="shared" si="224"/>
        <v>0</v>
      </c>
      <c r="BD291" s="998">
        <f t="shared" si="218"/>
        <v>0</v>
      </c>
    </row>
    <row r="292" spans="1:56" s="52" customFormat="1" ht="11.25" x14ac:dyDescent="0.2">
      <c r="A292" s="115">
        <v>54109</v>
      </c>
      <c r="B292" s="116" t="s">
        <v>298</v>
      </c>
      <c r="C292" s="318"/>
      <c r="D292" s="318"/>
      <c r="E292" s="318"/>
      <c r="F292" s="318"/>
      <c r="G292" s="318"/>
      <c r="H292" s="719"/>
      <c r="I292" s="318"/>
      <c r="J292" s="318"/>
      <c r="K292" s="318"/>
      <c r="L292" s="318"/>
      <c r="M292" s="318"/>
      <c r="N292" s="406">
        <f t="shared" si="222"/>
        <v>0</v>
      </c>
      <c r="P292" s="115">
        <v>54109</v>
      </c>
      <c r="Q292" s="116" t="s">
        <v>298</v>
      </c>
      <c r="R292" s="318">
        <v>0</v>
      </c>
      <c r="S292" s="318"/>
      <c r="T292" s="318"/>
      <c r="U292" s="318"/>
      <c r="V292" s="318"/>
      <c r="W292" s="318"/>
      <c r="X292" s="318"/>
      <c r="Y292" s="394"/>
      <c r="Z292" s="318"/>
      <c r="AA292" s="318"/>
      <c r="AB292" s="318"/>
      <c r="AC292" s="318"/>
      <c r="AD292" s="318"/>
      <c r="AE292" s="394"/>
      <c r="AF292" s="394"/>
      <c r="AG292" s="318"/>
      <c r="AH292" s="318"/>
      <c r="AI292" s="318"/>
      <c r="AJ292" s="318">
        <f t="shared" si="216"/>
        <v>0</v>
      </c>
      <c r="AL292" s="115">
        <v>54109</v>
      </c>
      <c r="AM292" s="116" t="s">
        <v>298</v>
      </c>
      <c r="AN292" s="318"/>
      <c r="AO292" s="394"/>
      <c r="AP292" s="394">
        <v>0</v>
      </c>
      <c r="AQ292" s="315">
        <f t="shared" si="223"/>
        <v>0</v>
      </c>
      <c r="AS292" s="115">
        <v>54109</v>
      </c>
      <c r="AT292" s="116" t="s">
        <v>298</v>
      </c>
      <c r="AU292" s="318"/>
      <c r="AV292" s="318"/>
      <c r="AW292" s="1083"/>
      <c r="AX292" s="318"/>
      <c r="AY292" s="318"/>
      <c r="AZ292" s="318"/>
      <c r="BA292" s="630"/>
      <c r="BB292" s="316">
        <f t="shared" si="224"/>
        <v>0</v>
      </c>
      <c r="BD292" s="998">
        <f t="shared" si="218"/>
        <v>0</v>
      </c>
    </row>
    <row r="293" spans="1:56" s="52" customFormat="1" ht="11.25" x14ac:dyDescent="0.2">
      <c r="A293" s="115">
        <v>54110</v>
      </c>
      <c r="B293" s="116" t="s">
        <v>391</v>
      </c>
      <c r="C293" s="318"/>
      <c r="D293" s="318"/>
      <c r="E293" s="318"/>
      <c r="F293" s="318"/>
      <c r="G293" s="318"/>
      <c r="H293" s="719"/>
      <c r="I293" s="318"/>
      <c r="J293" s="318"/>
      <c r="K293" s="318"/>
      <c r="L293" s="318"/>
      <c r="M293" s="318"/>
      <c r="N293" s="406">
        <f t="shared" si="222"/>
        <v>0</v>
      </c>
      <c r="P293" s="115">
        <v>54110</v>
      </c>
      <c r="Q293" s="116" t="s">
        <v>391</v>
      </c>
      <c r="R293" s="318"/>
      <c r="S293" s="318"/>
      <c r="T293" s="318"/>
      <c r="U293" s="318"/>
      <c r="V293" s="318"/>
      <c r="W293" s="318"/>
      <c r="X293" s="318"/>
      <c r="Y293" s="394"/>
      <c r="Z293" s="318"/>
      <c r="AA293" s="318"/>
      <c r="AB293" s="318"/>
      <c r="AC293" s="318"/>
      <c r="AD293" s="318"/>
      <c r="AE293" s="394"/>
      <c r="AF293" s="394"/>
      <c r="AG293" s="318"/>
      <c r="AH293" s="318"/>
      <c r="AI293" s="318"/>
      <c r="AJ293" s="318">
        <f t="shared" si="216"/>
        <v>0</v>
      </c>
      <c r="AL293" s="115">
        <v>54110</v>
      </c>
      <c r="AM293" s="116" t="s">
        <v>391</v>
      </c>
      <c r="AN293" s="318"/>
      <c r="AO293" s="394"/>
      <c r="AP293" s="394"/>
      <c r="AQ293" s="315">
        <f t="shared" si="223"/>
        <v>0</v>
      </c>
      <c r="AS293" s="115">
        <v>54110</v>
      </c>
      <c r="AT293" s="116" t="s">
        <v>391</v>
      </c>
      <c r="AU293" s="318"/>
      <c r="AV293" s="318"/>
      <c r="AW293" s="1083"/>
      <c r="AX293" s="318"/>
      <c r="AY293" s="318"/>
      <c r="AZ293" s="318"/>
      <c r="BA293" s="630"/>
      <c r="BB293" s="316">
        <f t="shared" si="224"/>
        <v>0</v>
      </c>
      <c r="BD293" s="998">
        <f t="shared" si="218"/>
        <v>0</v>
      </c>
    </row>
    <row r="294" spans="1:56" s="52" customFormat="1" ht="11.25" x14ac:dyDescent="0.2">
      <c r="A294" s="115">
        <v>54111</v>
      </c>
      <c r="B294" s="116" t="s">
        <v>299</v>
      </c>
      <c r="C294" s="318"/>
      <c r="D294" s="318"/>
      <c r="E294" s="318"/>
      <c r="F294" s="318"/>
      <c r="G294" s="318"/>
      <c r="H294" s="719"/>
      <c r="I294" s="318"/>
      <c r="J294" s="318"/>
      <c r="K294" s="318"/>
      <c r="L294" s="318"/>
      <c r="M294" s="318"/>
      <c r="N294" s="406">
        <f t="shared" si="222"/>
        <v>0</v>
      </c>
      <c r="P294" s="115">
        <v>54111</v>
      </c>
      <c r="Q294" s="116" t="s">
        <v>299</v>
      </c>
      <c r="R294" s="318"/>
      <c r="S294" s="318"/>
      <c r="T294" s="318"/>
      <c r="U294" s="318"/>
      <c r="V294" s="318"/>
      <c r="W294" s="318"/>
      <c r="X294" s="318"/>
      <c r="Y294" s="394"/>
      <c r="Z294" s="318"/>
      <c r="AA294" s="318"/>
      <c r="AB294" s="318"/>
      <c r="AC294" s="318"/>
      <c r="AD294" s="318"/>
      <c r="AE294" s="394"/>
      <c r="AF294" s="394"/>
      <c r="AG294" s="318"/>
      <c r="AH294" s="318"/>
      <c r="AI294" s="318"/>
      <c r="AJ294" s="318">
        <f t="shared" si="216"/>
        <v>0</v>
      </c>
      <c r="AL294" s="115">
        <v>54111</v>
      </c>
      <c r="AM294" s="116" t="s">
        <v>299</v>
      </c>
      <c r="AN294" s="318"/>
      <c r="AO294" s="394"/>
      <c r="AP294" s="394"/>
      <c r="AQ294" s="315">
        <f t="shared" si="223"/>
        <v>0</v>
      </c>
      <c r="AS294" s="115">
        <v>54111</v>
      </c>
      <c r="AT294" s="116" t="s">
        <v>299</v>
      </c>
      <c r="AU294" s="318"/>
      <c r="AV294" s="318"/>
      <c r="AW294" s="1083"/>
      <c r="AX294" s="318"/>
      <c r="AY294" s="318"/>
      <c r="AZ294" s="318"/>
      <c r="BA294" s="630"/>
      <c r="BB294" s="316">
        <f t="shared" si="224"/>
        <v>0</v>
      </c>
      <c r="BD294" s="998">
        <f t="shared" si="218"/>
        <v>0</v>
      </c>
    </row>
    <row r="295" spans="1:56" s="52" customFormat="1" ht="11.25" x14ac:dyDescent="0.2">
      <c r="A295" s="115">
        <v>54112</v>
      </c>
      <c r="B295" s="116" t="s">
        <v>300</v>
      </c>
      <c r="C295" s="318"/>
      <c r="D295" s="318"/>
      <c r="E295" s="318"/>
      <c r="F295" s="318"/>
      <c r="G295" s="318"/>
      <c r="H295" s="719"/>
      <c r="I295" s="318"/>
      <c r="J295" s="318"/>
      <c r="K295" s="318"/>
      <c r="L295" s="318"/>
      <c r="M295" s="318"/>
      <c r="N295" s="406">
        <f t="shared" si="222"/>
        <v>0</v>
      </c>
      <c r="P295" s="115">
        <v>54112</v>
      </c>
      <c r="Q295" s="116" t="s">
        <v>300</v>
      </c>
      <c r="R295" s="318"/>
      <c r="S295" s="318"/>
      <c r="T295" s="318"/>
      <c r="U295" s="318"/>
      <c r="V295" s="318"/>
      <c r="W295" s="318"/>
      <c r="X295" s="318"/>
      <c r="Y295" s="394"/>
      <c r="Z295" s="318"/>
      <c r="AA295" s="318"/>
      <c r="AB295" s="318"/>
      <c r="AC295" s="318"/>
      <c r="AD295" s="318"/>
      <c r="AE295" s="394"/>
      <c r="AF295" s="394"/>
      <c r="AG295" s="318"/>
      <c r="AH295" s="318"/>
      <c r="AI295" s="318"/>
      <c r="AJ295" s="318">
        <f t="shared" si="216"/>
        <v>0</v>
      </c>
      <c r="AL295" s="115">
        <v>54112</v>
      </c>
      <c r="AM295" s="116" t="s">
        <v>300</v>
      </c>
      <c r="AN295" s="318"/>
      <c r="AO295" s="394"/>
      <c r="AP295" s="394"/>
      <c r="AQ295" s="315">
        <f t="shared" si="223"/>
        <v>0</v>
      </c>
      <c r="AS295" s="115">
        <v>54112</v>
      </c>
      <c r="AT295" s="116" t="s">
        <v>300</v>
      </c>
      <c r="AU295" s="318"/>
      <c r="AV295" s="318"/>
      <c r="AW295" s="1083"/>
      <c r="AX295" s="318"/>
      <c r="AY295" s="318"/>
      <c r="AZ295" s="318"/>
      <c r="BA295" s="630"/>
      <c r="BB295" s="316">
        <f t="shared" si="224"/>
        <v>0</v>
      </c>
      <c r="BD295" s="998">
        <f t="shared" si="218"/>
        <v>0</v>
      </c>
    </row>
    <row r="296" spans="1:56" s="52" customFormat="1" ht="11.25" x14ac:dyDescent="0.2">
      <c r="A296" s="115">
        <v>54114</v>
      </c>
      <c r="B296" s="116" t="s">
        <v>301</v>
      </c>
      <c r="C296" s="318"/>
      <c r="D296" s="318"/>
      <c r="E296" s="318"/>
      <c r="F296" s="318"/>
      <c r="G296" s="318"/>
      <c r="H296" s="719"/>
      <c r="I296" s="318"/>
      <c r="J296" s="318"/>
      <c r="K296" s="318"/>
      <c r="L296" s="318"/>
      <c r="M296" s="318"/>
      <c r="N296" s="406">
        <f t="shared" si="222"/>
        <v>0</v>
      </c>
      <c r="P296" s="115">
        <v>54114</v>
      </c>
      <c r="Q296" s="116" t="s">
        <v>301</v>
      </c>
      <c r="R296" s="318">
        <v>0</v>
      </c>
      <c r="S296" s="318"/>
      <c r="T296" s="318"/>
      <c r="U296" s="318"/>
      <c r="V296" s="318"/>
      <c r="W296" s="318"/>
      <c r="X296" s="318"/>
      <c r="Y296" s="318"/>
      <c r="Z296" s="318"/>
      <c r="AA296" s="318"/>
      <c r="AB296" s="318"/>
      <c r="AC296" s="318"/>
      <c r="AD296" s="318"/>
      <c r="AE296" s="318"/>
      <c r="AF296" s="318"/>
      <c r="AG296" s="318"/>
      <c r="AH296" s="318"/>
      <c r="AI296" s="318"/>
      <c r="AJ296" s="318">
        <f t="shared" si="216"/>
        <v>0</v>
      </c>
      <c r="AL296" s="115">
        <v>54114</v>
      </c>
      <c r="AM296" s="116" t="s">
        <v>301</v>
      </c>
      <c r="AN296" s="318">
        <v>0</v>
      </c>
      <c r="AO296" s="394"/>
      <c r="AP296" s="394">
        <v>0</v>
      </c>
      <c r="AQ296" s="315">
        <f t="shared" si="223"/>
        <v>0</v>
      </c>
      <c r="AS296" s="115">
        <v>54114</v>
      </c>
      <c r="AT296" s="116" t="s">
        <v>301</v>
      </c>
      <c r="AU296" s="318"/>
      <c r="AV296" s="318"/>
      <c r="AW296" s="1083"/>
      <c r="AX296" s="318"/>
      <c r="AY296" s="318"/>
      <c r="AZ296" s="318"/>
      <c r="BA296" s="630"/>
      <c r="BB296" s="316">
        <f t="shared" si="224"/>
        <v>0</v>
      </c>
      <c r="BD296" s="998">
        <f t="shared" si="218"/>
        <v>0</v>
      </c>
    </row>
    <row r="297" spans="1:56" s="52" customFormat="1" ht="11.25" x14ac:dyDescent="0.2">
      <c r="A297" s="115">
        <v>54115</v>
      </c>
      <c r="B297" s="116" t="s">
        <v>302</v>
      </c>
      <c r="C297" s="318"/>
      <c r="D297" s="318"/>
      <c r="E297" s="318"/>
      <c r="F297" s="318"/>
      <c r="G297" s="318"/>
      <c r="H297" s="719"/>
      <c r="I297" s="318"/>
      <c r="J297" s="318"/>
      <c r="K297" s="318"/>
      <c r="L297" s="318"/>
      <c r="M297" s="318"/>
      <c r="N297" s="406">
        <f t="shared" si="222"/>
        <v>0</v>
      </c>
      <c r="P297" s="115">
        <v>54115</v>
      </c>
      <c r="Q297" s="116" t="s">
        <v>302</v>
      </c>
      <c r="R297" s="318">
        <f>R117*0.5</f>
        <v>0</v>
      </c>
      <c r="S297" s="318"/>
      <c r="T297" s="318"/>
      <c r="U297" s="318"/>
      <c r="V297" s="318"/>
      <c r="W297" s="318"/>
      <c r="X297" s="318"/>
      <c r="Y297" s="318"/>
      <c r="Z297" s="318"/>
      <c r="AA297" s="318"/>
      <c r="AB297" s="318"/>
      <c r="AC297" s="318"/>
      <c r="AD297" s="318"/>
      <c r="AE297" s="318"/>
      <c r="AF297" s="318"/>
      <c r="AG297" s="318"/>
      <c r="AH297" s="318"/>
      <c r="AI297" s="318"/>
      <c r="AJ297" s="318">
        <f t="shared" si="216"/>
        <v>0</v>
      </c>
      <c r="AL297" s="115">
        <v>54115</v>
      </c>
      <c r="AM297" s="116" t="s">
        <v>302</v>
      </c>
      <c r="AN297" s="318">
        <v>0</v>
      </c>
      <c r="AO297" s="394"/>
      <c r="AP297" s="394">
        <v>0</v>
      </c>
      <c r="AQ297" s="315">
        <f t="shared" si="223"/>
        <v>0</v>
      </c>
      <c r="AS297" s="115">
        <v>54115</v>
      </c>
      <c r="AT297" s="116" t="s">
        <v>302</v>
      </c>
      <c r="AU297" s="318"/>
      <c r="AV297" s="318"/>
      <c r="AW297" s="1083"/>
      <c r="AX297" s="318"/>
      <c r="AY297" s="318"/>
      <c r="AZ297" s="318"/>
      <c r="BA297" s="630"/>
      <c r="BB297" s="316">
        <f t="shared" si="224"/>
        <v>0</v>
      </c>
      <c r="BD297" s="998">
        <f t="shared" si="218"/>
        <v>0</v>
      </c>
    </row>
    <row r="298" spans="1:56" s="52" customFormat="1" ht="11.25" x14ac:dyDescent="0.2">
      <c r="A298" s="115">
        <v>54116</v>
      </c>
      <c r="B298" s="116" t="s">
        <v>303</v>
      </c>
      <c r="C298" s="318"/>
      <c r="D298" s="318"/>
      <c r="E298" s="318"/>
      <c r="F298" s="318"/>
      <c r="G298" s="318"/>
      <c r="H298" s="719"/>
      <c r="I298" s="318"/>
      <c r="J298" s="318"/>
      <c r="K298" s="318"/>
      <c r="L298" s="318"/>
      <c r="M298" s="318"/>
      <c r="N298" s="406">
        <f t="shared" si="222"/>
        <v>0</v>
      </c>
      <c r="P298" s="115">
        <v>54116</v>
      </c>
      <c r="Q298" s="116" t="s">
        <v>303</v>
      </c>
      <c r="R298" s="318"/>
      <c r="S298" s="318"/>
      <c r="T298" s="318"/>
      <c r="U298" s="318"/>
      <c r="V298" s="318"/>
      <c r="W298" s="318"/>
      <c r="X298" s="318"/>
      <c r="Y298" s="394"/>
      <c r="Z298" s="318"/>
      <c r="AA298" s="318"/>
      <c r="AB298" s="318"/>
      <c r="AC298" s="318"/>
      <c r="AD298" s="318"/>
      <c r="AE298" s="394"/>
      <c r="AF298" s="394"/>
      <c r="AG298" s="318"/>
      <c r="AH298" s="318"/>
      <c r="AI298" s="318"/>
      <c r="AJ298" s="318">
        <f t="shared" si="216"/>
        <v>0</v>
      </c>
      <c r="AL298" s="115">
        <v>54116</v>
      </c>
      <c r="AM298" s="116" t="s">
        <v>303</v>
      </c>
      <c r="AN298" s="318"/>
      <c r="AO298" s="394"/>
      <c r="AP298" s="394"/>
      <c r="AQ298" s="315">
        <f t="shared" si="223"/>
        <v>0</v>
      </c>
      <c r="AS298" s="115">
        <v>54116</v>
      </c>
      <c r="AT298" s="116" t="s">
        <v>303</v>
      </c>
      <c r="AU298" s="318"/>
      <c r="AV298" s="318"/>
      <c r="AW298" s="1083"/>
      <c r="AX298" s="318"/>
      <c r="AY298" s="318"/>
      <c r="AZ298" s="318"/>
      <c r="BA298" s="630"/>
      <c r="BB298" s="316">
        <f t="shared" si="224"/>
        <v>0</v>
      </c>
      <c r="BD298" s="998">
        <f t="shared" si="218"/>
        <v>0</v>
      </c>
    </row>
    <row r="299" spans="1:56" s="52" customFormat="1" ht="11.25" x14ac:dyDescent="0.2">
      <c r="A299" s="115">
        <v>54117</v>
      </c>
      <c r="B299" s="116" t="s">
        <v>304</v>
      </c>
      <c r="C299" s="318"/>
      <c r="D299" s="318"/>
      <c r="E299" s="318"/>
      <c r="F299" s="318"/>
      <c r="G299" s="318"/>
      <c r="H299" s="719"/>
      <c r="I299" s="318"/>
      <c r="J299" s="318"/>
      <c r="K299" s="318"/>
      <c r="L299" s="318"/>
      <c r="M299" s="318"/>
      <c r="N299" s="406">
        <f t="shared" si="222"/>
        <v>0</v>
      </c>
      <c r="P299" s="115">
        <v>54117</v>
      </c>
      <c r="Q299" s="116" t="s">
        <v>304</v>
      </c>
      <c r="R299" s="318"/>
      <c r="S299" s="318"/>
      <c r="T299" s="318"/>
      <c r="U299" s="318"/>
      <c r="V299" s="318"/>
      <c r="W299" s="318"/>
      <c r="X299" s="318"/>
      <c r="Y299" s="394"/>
      <c r="Z299" s="318"/>
      <c r="AA299" s="318"/>
      <c r="AB299" s="318"/>
      <c r="AC299" s="318"/>
      <c r="AD299" s="318"/>
      <c r="AE299" s="394"/>
      <c r="AF299" s="394"/>
      <c r="AG299" s="318"/>
      <c r="AH299" s="318"/>
      <c r="AI299" s="318"/>
      <c r="AJ299" s="318">
        <f t="shared" si="216"/>
        <v>0</v>
      </c>
      <c r="AL299" s="115">
        <v>54117</v>
      </c>
      <c r="AM299" s="116" t="s">
        <v>304</v>
      </c>
      <c r="AN299" s="318"/>
      <c r="AO299" s="394"/>
      <c r="AP299" s="394"/>
      <c r="AQ299" s="315">
        <f t="shared" si="223"/>
        <v>0</v>
      </c>
      <c r="AS299" s="115">
        <v>54117</v>
      </c>
      <c r="AT299" s="116" t="s">
        <v>304</v>
      </c>
      <c r="AU299" s="318"/>
      <c r="AV299" s="318"/>
      <c r="AW299" s="1083"/>
      <c r="AX299" s="318"/>
      <c r="AY299" s="318"/>
      <c r="AZ299" s="318"/>
      <c r="BA299" s="630"/>
      <c r="BB299" s="316">
        <f t="shared" si="224"/>
        <v>0</v>
      </c>
      <c r="BD299" s="998">
        <f t="shared" si="218"/>
        <v>0</v>
      </c>
    </row>
    <row r="300" spans="1:56" s="52" customFormat="1" ht="11.25" x14ac:dyDescent="0.2">
      <c r="A300" s="115">
        <v>54118</v>
      </c>
      <c r="B300" s="116" t="s">
        <v>461</v>
      </c>
      <c r="C300" s="318"/>
      <c r="D300" s="318"/>
      <c r="E300" s="318"/>
      <c r="F300" s="318"/>
      <c r="G300" s="318"/>
      <c r="H300" s="719"/>
      <c r="I300" s="318"/>
      <c r="J300" s="318"/>
      <c r="K300" s="318"/>
      <c r="L300" s="318"/>
      <c r="M300" s="318"/>
      <c r="N300" s="406">
        <f t="shared" si="222"/>
        <v>0</v>
      </c>
      <c r="P300" s="115">
        <v>54118</v>
      </c>
      <c r="Q300" s="116" t="s">
        <v>305</v>
      </c>
      <c r="R300" s="318"/>
      <c r="S300" s="318"/>
      <c r="T300" s="318"/>
      <c r="U300" s="318"/>
      <c r="V300" s="318"/>
      <c r="W300" s="318"/>
      <c r="X300" s="318"/>
      <c r="Y300" s="394"/>
      <c r="Z300" s="318"/>
      <c r="AA300" s="318"/>
      <c r="AB300" s="318"/>
      <c r="AC300" s="318"/>
      <c r="AD300" s="318"/>
      <c r="AE300" s="394"/>
      <c r="AF300" s="394"/>
      <c r="AG300" s="318"/>
      <c r="AH300" s="318"/>
      <c r="AI300" s="318"/>
      <c r="AJ300" s="318">
        <f t="shared" si="216"/>
        <v>0</v>
      </c>
      <c r="AL300" s="115">
        <v>54118</v>
      </c>
      <c r="AM300" s="116" t="s">
        <v>305</v>
      </c>
      <c r="AN300" s="318"/>
      <c r="AO300" s="394"/>
      <c r="AP300" s="394"/>
      <c r="AQ300" s="315">
        <f t="shared" si="223"/>
        <v>0</v>
      </c>
      <c r="AS300" s="115">
        <v>54118</v>
      </c>
      <c r="AT300" s="116" t="s">
        <v>305</v>
      </c>
      <c r="AU300" s="318"/>
      <c r="AV300" s="318"/>
      <c r="AW300" s="1083"/>
      <c r="AX300" s="318"/>
      <c r="AY300" s="318"/>
      <c r="AZ300" s="318"/>
      <c r="BA300" s="630"/>
      <c r="BB300" s="316">
        <f t="shared" si="224"/>
        <v>0</v>
      </c>
      <c r="BD300" s="998">
        <f t="shared" si="218"/>
        <v>0</v>
      </c>
    </row>
    <row r="301" spans="1:56" s="52" customFormat="1" ht="11.25" x14ac:dyDescent="0.2">
      <c r="A301" s="115">
        <v>54119</v>
      </c>
      <c r="B301" s="116" t="s">
        <v>306</v>
      </c>
      <c r="C301" s="318"/>
      <c r="D301" s="318"/>
      <c r="E301" s="318"/>
      <c r="F301" s="318"/>
      <c r="G301" s="318"/>
      <c r="H301" s="719"/>
      <c r="I301" s="318"/>
      <c r="J301" s="318"/>
      <c r="K301" s="318"/>
      <c r="L301" s="318"/>
      <c r="M301" s="318"/>
      <c r="N301" s="406">
        <f t="shared" si="222"/>
        <v>0</v>
      </c>
      <c r="P301" s="115">
        <v>54119</v>
      </c>
      <c r="Q301" s="116" t="s">
        <v>306</v>
      </c>
      <c r="R301" s="318"/>
      <c r="S301" s="318"/>
      <c r="T301" s="318"/>
      <c r="U301" s="318"/>
      <c r="V301" s="318"/>
      <c r="W301" s="318"/>
      <c r="X301" s="318"/>
      <c r="Y301" s="394"/>
      <c r="Z301" s="318"/>
      <c r="AA301" s="318"/>
      <c r="AB301" s="318"/>
      <c r="AC301" s="318"/>
      <c r="AD301" s="318"/>
      <c r="AE301" s="394"/>
      <c r="AF301" s="394"/>
      <c r="AG301" s="318"/>
      <c r="AH301" s="318"/>
      <c r="AI301" s="318"/>
      <c r="AJ301" s="318">
        <f t="shared" si="216"/>
        <v>0</v>
      </c>
      <c r="AL301" s="115">
        <v>54119</v>
      </c>
      <c r="AM301" s="116" t="s">
        <v>306</v>
      </c>
      <c r="AN301" s="318"/>
      <c r="AO301" s="394"/>
      <c r="AP301" s="394"/>
      <c r="AQ301" s="315">
        <f t="shared" si="223"/>
        <v>0</v>
      </c>
      <c r="AS301" s="115">
        <v>54119</v>
      </c>
      <c r="AT301" s="116" t="s">
        <v>306</v>
      </c>
      <c r="AU301" s="318"/>
      <c r="AV301" s="318"/>
      <c r="AW301" s="1083"/>
      <c r="AX301" s="318"/>
      <c r="AY301" s="318"/>
      <c r="AZ301" s="318"/>
      <c r="BA301" s="630"/>
      <c r="BB301" s="316">
        <f t="shared" si="224"/>
        <v>0</v>
      </c>
      <c r="BD301" s="998">
        <f t="shared" si="218"/>
        <v>0</v>
      </c>
    </row>
    <row r="302" spans="1:56" s="52" customFormat="1" ht="11.25" x14ac:dyDescent="0.2">
      <c r="A302" s="115">
        <v>54121</v>
      </c>
      <c r="B302" s="116" t="s">
        <v>307</v>
      </c>
      <c r="C302" s="318"/>
      <c r="D302" s="318"/>
      <c r="E302" s="318"/>
      <c r="F302" s="318"/>
      <c r="G302" s="318"/>
      <c r="H302" s="719"/>
      <c r="I302" s="318"/>
      <c r="J302" s="318"/>
      <c r="K302" s="318"/>
      <c r="L302" s="318"/>
      <c r="M302" s="318"/>
      <c r="N302" s="406">
        <f t="shared" si="222"/>
        <v>0</v>
      </c>
      <c r="P302" s="115">
        <v>54121</v>
      </c>
      <c r="Q302" s="116" t="s">
        <v>307</v>
      </c>
      <c r="R302" s="318"/>
      <c r="S302" s="318"/>
      <c r="T302" s="318"/>
      <c r="U302" s="318"/>
      <c r="V302" s="318"/>
      <c r="W302" s="318"/>
      <c r="X302" s="318"/>
      <c r="Y302" s="394"/>
      <c r="Z302" s="318"/>
      <c r="AA302" s="318"/>
      <c r="AB302" s="318"/>
      <c r="AC302" s="318"/>
      <c r="AD302" s="318"/>
      <c r="AE302" s="394"/>
      <c r="AF302" s="394"/>
      <c r="AG302" s="318"/>
      <c r="AH302" s="318"/>
      <c r="AI302" s="318"/>
      <c r="AJ302" s="318">
        <f t="shared" si="216"/>
        <v>0</v>
      </c>
      <c r="AL302" s="115">
        <v>54121</v>
      </c>
      <c r="AM302" s="116" t="s">
        <v>307</v>
      </c>
      <c r="AN302" s="318"/>
      <c r="AO302" s="394"/>
      <c r="AP302" s="394"/>
      <c r="AQ302" s="315">
        <f t="shared" si="223"/>
        <v>0</v>
      </c>
      <c r="AS302" s="115">
        <v>54121</v>
      </c>
      <c r="AT302" s="116" t="s">
        <v>307</v>
      </c>
      <c r="AU302" s="318"/>
      <c r="AV302" s="318"/>
      <c r="AW302" s="1083"/>
      <c r="AX302" s="318"/>
      <c r="AY302" s="318"/>
      <c r="AZ302" s="318"/>
      <c r="BA302" s="630"/>
      <c r="BB302" s="316">
        <f t="shared" si="224"/>
        <v>0</v>
      </c>
      <c r="BD302" s="998">
        <f t="shared" si="218"/>
        <v>0</v>
      </c>
    </row>
    <row r="303" spans="1:56" s="52" customFormat="1" ht="11.25" x14ac:dyDescent="0.2">
      <c r="A303" s="115">
        <v>54199</v>
      </c>
      <c r="B303" s="116" t="s">
        <v>386</v>
      </c>
      <c r="C303" s="318"/>
      <c r="D303" s="318">
        <v>0</v>
      </c>
      <c r="E303" s="318"/>
      <c r="F303" s="318">
        <v>0</v>
      </c>
      <c r="G303" s="318"/>
      <c r="H303" s="719"/>
      <c r="I303" s="318"/>
      <c r="J303" s="318">
        <v>0</v>
      </c>
      <c r="K303" s="318"/>
      <c r="L303" s="318"/>
      <c r="M303" s="318">
        <v>0</v>
      </c>
      <c r="N303" s="406">
        <f t="shared" si="222"/>
        <v>0</v>
      </c>
      <c r="P303" s="115">
        <v>54199</v>
      </c>
      <c r="Q303" s="116" t="s">
        <v>386</v>
      </c>
      <c r="R303" s="318"/>
      <c r="S303" s="318"/>
      <c r="T303" s="318">
        <v>0</v>
      </c>
      <c r="U303" s="318">
        <v>0</v>
      </c>
      <c r="V303" s="318">
        <v>0</v>
      </c>
      <c r="W303" s="318"/>
      <c r="X303" s="318"/>
      <c r="Y303" s="394">
        <v>0</v>
      </c>
      <c r="Z303" s="318">
        <v>0</v>
      </c>
      <c r="AA303" s="318">
        <v>0</v>
      </c>
      <c r="AB303" s="318">
        <v>0</v>
      </c>
      <c r="AC303" s="318"/>
      <c r="AD303" s="318"/>
      <c r="AE303" s="394">
        <v>0</v>
      </c>
      <c r="AF303" s="394"/>
      <c r="AG303" s="318"/>
      <c r="AH303" s="318"/>
      <c r="AI303" s="318"/>
      <c r="AJ303" s="318">
        <f t="shared" si="216"/>
        <v>0</v>
      </c>
      <c r="AL303" s="115">
        <v>54199</v>
      </c>
      <c r="AM303" s="116" t="s">
        <v>386</v>
      </c>
      <c r="AN303" s="318">
        <v>0</v>
      </c>
      <c r="AO303" s="394"/>
      <c r="AP303" s="394"/>
      <c r="AQ303" s="315">
        <f t="shared" si="223"/>
        <v>0</v>
      </c>
      <c r="AS303" s="115">
        <v>54199</v>
      </c>
      <c r="AT303" s="116" t="s">
        <v>386</v>
      </c>
      <c r="AU303" s="318">
        <v>0</v>
      </c>
      <c r="AV303" s="318">
        <v>0</v>
      </c>
      <c r="AW303" s="1083">
        <v>0</v>
      </c>
      <c r="AX303" s="318">
        <v>0</v>
      </c>
      <c r="AY303" s="318">
        <v>0</v>
      </c>
      <c r="AZ303" s="318">
        <v>0</v>
      </c>
      <c r="BA303" s="318">
        <v>0</v>
      </c>
      <c r="BB303" s="316">
        <f t="shared" si="224"/>
        <v>0</v>
      </c>
      <c r="BD303" s="998">
        <f t="shared" si="218"/>
        <v>0</v>
      </c>
    </row>
    <row r="304" spans="1:56" s="52" customFormat="1" ht="11.25" x14ac:dyDescent="0.2">
      <c r="A304" s="267">
        <v>542</v>
      </c>
      <c r="B304" s="121" t="s">
        <v>109</v>
      </c>
      <c r="C304" s="319">
        <f t="shared" ref="C304:N304" si="225">SUM(C305:C308)</f>
        <v>0</v>
      </c>
      <c r="D304" s="319">
        <f t="shared" si="225"/>
        <v>0</v>
      </c>
      <c r="E304" s="319">
        <f t="shared" si="225"/>
        <v>0</v>
      </c>
      <c r="F304" s="319">
        <f t="shared" si="225"/>
        <v>0</v>
      </c>
      <c r="G304" s="319">
        <f t="shared" si="225"/>
        <v>0</v>
      </c>
      <c r="H304" s="319">
        <f t="shared" si="225"/>
        <v>0</v>
      </c>
      <c r="I304" s="319">
        <f t="shared" si="225"/>
        <v>0</v>
      </c>
      <c r="J304" s="319">
        <f t="shared" si="225"/>
        <v>0</v>
      </c>
      <c r="K304" s="319">
        <f t="shared" si="225"/>
        <v>0</v>
      </c>
      <c r="L304" s="319">
        <f t="shared" si="225"/>
        <v>0</v>
      </c>
      <c r="M304" s="319">
        <f t="shared" si="225"/>
        <v>0</v>
      </c>
      <c r="N304" s="402">
        <f t="shared" si="225"/>
        <v>0</v>
      </c>
      <c r="P304" s="267">
        <v>542</v>
      </c>
      <c r="Q304" s="121" t="s">
        <v>109</v>
      </c>
      <c r="R304" s="319">
        <f>SUM(R305:R308)</f>
        <v>0</v>
      </c>
      <c r="S304" s="319">
        <f t="shared" ref="S304:AG304" si="226">SUM(S305:S308)</f>
        <v>0</v>
      </c>
      <c r="T304" s="319">
        <f t="shared" si="226"/>
        <v>0</v>
      </c>
      <c r="U304" s="319">
        <f t="shared" si="226"/>
        <v>0</v>
      </c>
      <c r="V304" s="319">
        <f t="shared" si="226"/>
        <v>0</v>
      </c>
      <c r="W304" s="319">
        <f t="shared" si="226"/>
        <v>0</v>
      </c>
      <c r="X304" s="319">
        <f t="shared" si="226"/>
        <v>0</v>
      </c>
      <c r="Y304" s="319">
        <f t="shared" si="226"/>
        <v>0</v>
      </c>
      <c r="Z304" s="319">
        <f t="shared" si="226"/>
        <v>0</v>
      </c>
      <c r="AA304" s="319">
        <f t="shared" si="226"/>
        <v>0</v>
      </c>
      <c r="AB304" s="319">
        <f t="shared" si="226"/>
        <v>0</v>
      </c>
      <c r="AC304" s="319">
        <f t="shared" si="226"/>
        <v>0</v>
      </c>
      <c r="AD304" s="319">
        <f t="shared" si="226"/>
        <v>0</v>
      </c>
      <c r="AE304" s="319">
        <f t="shared" si="226"/>
        <v>0</v>
      </c>
      <c r="AF304" s="319">
        <f t="shared" si="226"/>
        <v>0</v>
      </c>
      <c r="AG304" s="319">
        <f t="shared" si="226"/>
        <v>0</v>
      </c>
      <c r="AH304" s="319"/>
      <c r="AI304" s="319"/>
      <c r="AJ304" s="319">
        <f t="shared" si="216"/>
        <v>0</v>
      </c>
      <c r="AL304" s="267">
        <v>542</v>
      </c>
      <c r="AM304" s="121" t="s">
        <v>109</v>
      </c>
      <c r="AN304" s="319">
        <f>SUM(AN305:AN308)</f>
        <v>0</v>
      </c>
      <c r="AO304" s="319">
        <f>SUM(AO305:AO308)</f>
        <v>0</v>
      </c>
      <c r="AP304" s="319">
        <f>SUM(AP305:AP308)</f>
        <v>0</v>
      </c>
      <c r="AQ304" s="319">
        <f>SUM(AQ305:AQ308)</f>
        <v>0</v>
      </c>
      <c r="AS304" s="267">
        <v>542</v>
      </c>
      <c r="AT304" s="121" t="s">
        <v>109</v>
      </c>
      <c r="AU304" s="319">
        <f t="shared" ref="AU304:BB304" si="227">SUM(AU305:AU308)</f>
        <v>0</v>
      </c>
      <c r="AV304" s="319">
        <f t="shared" si="227"/>
        <v>0</v>
      </c>
      <c r="AW304" s="1084">
        <f t="shared" si="227"/>
        <v>0</v>
      </c>
      <c r="AX304" s="319">
        <f t="shared" si="227"/>
        <v>0</v>
      </c>
      <c r="AY304" s="319">
        <f t="shared" si="227"/>
        <v>0</v>
      </c>
      <c r="AZ304" s="319">
        <f t="shared" si="227"/>
        <v>0</v>
      </c>
      <c r="BA304" s="319">
        <f t="shared" si="227"/>
        <v>0</v>
      </c>
      <c r="BB304" s="319">
        <f t="shared" si="227"/>
        <v>0</v>
      </c>
      <c r="BD304" s="998">
        <f t="shared" si="218"/>
        <v>0</v>
      </c>
    </row>
    <row r="305" spans="1:56" s="52" customFormat="1" ht="11.25" x14ac:dyDescent="0.2">
      <c r="A305" s="115">
        <v>54201</v>
      </c>
      <c r="B305" s="116" t="s">
        <v>311</v>
      </c>
      <c r="C305" s="719"/>
      <c r="D305" s="318"/>
      <c r="E305" s="318"/>
      <c r="F305" s="318"/>
      <c r="G305" s="318"/>
      <c r="H305" s="719"/>
      <c r="I305" s="318"/>
      <c r="J305" s="318"/>
      <c r="K305" s="318"/>
      <c r="L305" s="318"/>
      <c r="M305" s="318"/>
      <c r="N305" s="406">
        <f>SUM(C305:M305)</f>
        <v>0</v>
      </c>
      <c r="P305" s="115">
        <v>54201</v>
      </c>
      <c r="Q305" s="116" t="s">
        <v>311</v>
      </c>
      <c r="R305" s="318"/>
      <c r="S305" s="318"/>
      <c r="T305" s="318"/>
      <c r="U305" s="318"/>
      <c r="V305" s="318"/>
      <c r="W305" s="318"/>
      <c r="X305" s="318"/>
      <c r="Y305" s="394"/>
      <c r="Z305" s="318"/>
      <c r="AA305" s="318"/>
      <c r="AB305" s="318"/>
      <c r="AC305" s="318"/>
      <c r="AD305" s="318"/>
      <c r="AE305" s="394"/>
      <c r="AF305" s="394"/>
      <c r="AG305" s="318"/>
      <c r="AH305" s="318"/>
      <c r="AI305" s="318"/>
      <c r="AJ305" s="318">
        <f t="shared" si="216"/>
        <v>0</v>
      </c>
      <c r="AL305" s="115">
        <v>54201</v>
      </c>
      <c r="AM305" s="116" t="s">
        <v>311</v>
      </c>
      <c r="AN305" s="318"/>
      <c r="AO305" s="394"/>
      <c r="AP305" s="394"/>
      <c r="AQ305" s="315">
        <f>SUM(AN305:AP305)</f>
        <v>0</v>
      </c>
      <c r="AS305" s="115">
        <v>54201</v>
      </c>
      <c r="AT305" s="116" t="s">
        <v>311</v>
      </c>
      <c r="AU305" s="318"/>
      <c r="AV305" s="318"/>
      <c r="AW305" s="1083"/>
      <c r="AX305" s="318"/>
      <c r="AY305" s="318"/>
      <c r="AZ305" s="318"/>
      <c r="BA305" s="630"/>
      <c r="BB305" s="316">
        <f>SUM(AU305:AZ305)</f>
        <v>0</v>
      </c>
      <c r="BD305" s="998">
        <f t="shared" si="218"/>
        <v>0</v>
      </c>
    </row>
    <row r="306" spans="1:56" s="52" customFormat="1" ht="11.25" x14ac:dyDescent="0.2">
      <c r="A306" s="115">
        <v>54202</v>
      </c>
      <c r="B306" s="116" t="s">
        <v>310</v>
      </c>
      <c r="C306" s="719"/>
      <c r="D306" s="318"/>
      <c r="E306" s="318"/>
      <c r="F306" s="318"/>
      <c r="G306" s="318"/>
      <c r="H306" s="719"/>
      <c r="I306" s="318"/>
      <c r="J306" s="318"/>
      <c r="K306" s="318"/>
      <c r="L306" s="318"/>
      <c r="M306" s="318"/>
      <c r="N306" s="406">
        <f>SUM(C306:M306)</f>
        <v>0</v>
      </c>
      <c r="P306" s="115">
        <v>54202</v>
      </c>
      <c r="Q306" s="116" t="s">
        <v>310</v>
      </c>
      <c r="R306" s="318"/>
      <c r="S306" s="318"/>
      <c r="T306" s="318"/>
      <c r="U306" s="318"/>
      <c r="V306" s="318"/>
      <c r="W306" s="318"/>
      <c r="X306" s="318"/>
      <c r="Y306" s="394"/>
      <c r="Z306" s="318"/>
      <c r="AA306" s="318"/>
      <c r="AB306" s="318"/>
      <c r="AC306" s="318"/>
      <c r="AD306" s="318"/>
      <c r="AE306" s="394"/>
      <c r="AF306" s="394"/>
      <c r="AG306" s="318"/>
      <c r="AH306" s="318"/>
      <c r="AI306" s="318"/>
      <c r="AJ306" s="318">
        <f t="shared" si="216"/>
        <v>0</v>
      </c>
      <c r="AL306" s="115">
        <v>54202</v>
      </c>
      <c r="AM306" s="116" t="s">
        <v>310</v>
      </c>
      <c r="AN306" s="318"/>
      <c r="AO306" s="394"/>
      <c r="AP306" s="394"/>
      <c r="AQ306" s="315">
        <f>SUM(AN306:AP306)</f>
        <v>0</v>
      </c>
      <c r="AS306" s="115">
        <v>54202</v>
      </c>
      <c r="AT306" s="116" t="s">
        <v>310</v>
      </c>
      <c r="AU306" s="318"/>
      <c r="AV306" s="318"/>
      <c r="AW306" s="1083"/>
      <c r="AX306" s="318"/>
      <c r="AY306" s="318"/>
      <c r="AZ306" s="318"/>
      <c r="BA306" s="630"/>
      <c r="BB306" s="316">
        <f>SUM(AU306:AZ306)</f>
        <v>0</v>
      </c>
      <c r="BD306" s="998">
        <f t="shared" si="218"/>
        <v>0</v>
      </c>
    </row>
    <row r="307" spans="1:56" s="52" customFormat="1" ht="11.25" x14ac:dyDescent="0.2">
      <c r="A307" s="115">
        <v>54203</v>
      </c>
      <c r="B307" s="116" t="s">
        <v>312</v>
      </c>
      <c r="C307" s="719"/>
      <c r="D307" s="318"/>
      <c r="E307" s="318"/>
      <c r="F307" s="318"/>
      <c r="G307" s="318"/>
      <c r="H307" s="719"/>
      <c r="I307" s="318"/>
      <c r="J307" s="318"/>
      <c r="K307" s="318"/>
      <c r="L307" s="318"/>
      <c r="M307" s="318"/>
      <c r="N307" s="530">
        <f>SUM(C307:M307)</f>
        <v>0</v>
      </c>
      <c r="P307" s="115">
        <v>54203</v>
      </c>
      <c r="Q307" s="116" t="s">
        <v>312</v>
      </c>
      <c r="R307" s="318"/>
      <c r="S307" s="318"/>
      <c r="T307" s="318"/>
      <c r="U307" s="318"/>
      <c r="V307" s="318"/>
      <c r="W307" s="318"/>
      <c r="X307" s="318"/>
      <c r="Y307" s="394"/>
      <c r="Z307" s="318"/>
      <c r="AA307" s="318"/>
      <c r="AB307" s="318"/>
      <c r="AC307" s="318"/>
      <c r="AD307" s="318"/>
      <c r="AE307" s="394"/>
      <c r="AF307" s="394"/>
      <c r="AG307" s="318"/>
      <c r="AH307" s="318"/>
      <c r="AI307" s="318"/>
      <c r="AJ307" s="318">
        <f t="shared" si="216"/>
        <v>0</v>
      </c>
      <c r="AL307" s="115">
        <v>54203</v>
      </c>
      <c r="AM307" s="116" t="s">
        <v>312</v>
      </c>
      <c r="AN307" s="318"/>
      <c r="AO307" s="394"/>
      <c r="AP307" s="394"/>
      <c r="AQ307" s="315">
        <f>SUM(AN307:AP307)</f>
        <v>0</v>
      </c>
      <c r="AS307" s="115">
        <v>54203</v>
      </c>
      <c r="AT307" s="116" t="s">
        <v>312</v>
      </c>
      <c r="AU307" s="318"/>
      <c r="AV307" s="318"/>
      <c r="AW307" s="1083"/>
      <c r="AX307" s="318"/>
      <c r="AY307" s="318"/>
      <c r="AZ307" s="318"/>
      <c r="BA307" s="630"/>
      <c r="BB307" s="316">
        <f>SUM(AU307:AZ307)</f>
        <v>0</v>
      </c>
      <c r="BD307" s="998">
        <f t="shared" si="218"/>
        <v>0</v>
      </c>
    </row>
    <row r="308" spans="1:56" s="52" customFormat="1" ht="11.25" x14ac:dyDescent="0.2">
      <c r="A308" s="115">
        <v>54204</v>
      </c>
      <c r="B308" s="116" t="s">
        <v>313</v>
      </c>
      <c r="C308" s="318"/>
      <c r="D308" s="318"/>
      <c r="E308" s="318"/>
      <c r="F308" s="318"/>
      <c r="G308" s="318"/>
      <c r="H308" s="719"/>
      <c r="I308" s="318"/>
      <c r="J308" s="318"/>
      <c r="K308" s="318"/>
      <c r="L308" s="318"/>
      <c r="M308" s="318"/>
      <c r="N308" s="406">
        <f>SUM(C308:M308)</f>
        <v>0</v>
      </c>
      <c r="P308" s="115">
        <v>54204</v>
      </c>
      <c r="Q308" s="116" t="s">
        <v>313</v>
      </c>
      <c r="R308" s="318"/>
      <c r="S308" s="318"/>
      <c r="T308" s="318"/>
      <c r="U308" s="318"/>
      <c r="V308" s="318"/>
      <c r="W308" s="318"/>
      <c r="X308" s="318"/>
      <c r="Y308" s="394"/>
      <c r="Z308" s="318"/>
      <c r="AA308" s="318"/>
      <c r="AB308" s="318"/>
      <c r="AC308" s="318"/>
      <c r="AD308" s="318"/>
      <c r="AE308" s="394"/>
      <c r="AF308" s="394"/>
      <c r="AG308" s="318"/>
      <c r="AH308" s="318"/>
      <c r="AI308" s="318"/>
      <c r="AJ308" s="318">
        <f t="shared" si="216"/>
        <v>0</v>
      </c>
      <c r="AL308" s="115">
        <v>54204</v>
      </c>
      <c r="AM308" s="116" t="s">
        <v>313</v>
      </c>
      <c r="AN308" s="318"/>
      <c r="AO308" s="394"/>
      <c r="AP308" s="394"/>
      <c r="AQ308" s="315">
        <f>SUM(AN308:AP308)</f>
        <v>0</v>
      </c>
      <c r="AS308" s="115">
        <v>54204</v>
      </c>
      <c r="AT308" s="116" t="s">
        <v>313</v>
      </c>
      <c r="AU308" s="318"/>
      <c r="AV308" s="318"/>
      <c r="AW308" s="1083"/>
      <c r="AX308" s="318"/>
      <c r="AY308" s="318"/>
      <c r="AZ308" s="318"/>
      <c r="BA308" s="630"/>
      <c r="BB308" s="316">
        <f>SUM(AU308:AZ308)</f>
        <v>0</v>
      </c>
      <c r="BD308" s="998">
        <f t="shared" si="218"/>
        <v>0</v>
      </c>
    </row>
    <row r="309" spans="1:56" s="52" customFormat="1" ht="11.25" x14ac:dyDescent="0.2">
      <c r="A309" s="267">
        <v>543</v>
      </c>
      <c r="B309" s="121" t="s">
        <v>110</v>
      </c>
      <c r="C309" s="319">
        <f t="shared" ref="C309:N309" si="228">SUM(C310:C322)</f>
        <v>0</v>
      </c>
      <c r="D309" s="319">
        <f t="shared" si="228"/>
        <v>0</v>
      </c>
      <c r="E309" s="319">
        <f t="shared" si="228"/>
        <v>0</v>
      </c>
      <c r="F309" s="319">
        <f t="shared" si="228"/>
        <v>0</v>
      </c>
      <c r="G309" s="319">
        <f t="shared" si="228"/>
        <v>0</v>
      </c>
      <c r="H309" s="319">
        <f t="shared" si="228"/>
        <v>0</v>
      </c>
      <c r="I309" s="319">
        <f t="shared" si="228"/>
        <v>0</v>
      </c>
      <c r="J309" s="319">
        <f t="shared" si="228"/>
        <v>0</v>
      </c>
      <c r="K309" s="319">
        <f t="shared" si="228"/>
        <v>0</v>
      </c>
      <c r="L309" s="319">
        <f t="shared" si="228"/>
        <v>0</v>
      </c>
      <c r="M309" s="319">
        <f t="shared" si="228"/>
        <v>0</v>
      </c>
      <c r="N309" s="402">
        <f t="shared" si="228"/>
        <v>0</v>
      </c>
      <c r="P309" s="267">
        <v>543</v>
      </c>
      <c r="Q309" s="121" t="s">
        <v>110</v>
      </c>
      <c r="R309" s="319">
        <f>SUM(R310:R322)</f>
        <v>0</v>
      </c>
      <c r="S309" s="319">
        <f t="shared" ref="S309:AG309" si="229">SUM(S310:S322)</f>
        <v>0</v>
      </c>
      <c r="T309" s="319">
        <f t="shared" si="229"/>
        <v>0</v>
      </c>
      <c r="U309" s="319">
        <f t="shared" si="229"/>
        <v>0</v>
      </c>
      <c r="V309" s="319">
        <f t="shared" si="229"/>
        <v>0</v>
      </c>
      <c r="W309" s="319">
        <f t="shared" si="229"/>
        <v>0</v>
      </c>
      <c r="X309" s="319">
        <f t="shared" si="229"/>
        <v>0</v>
      </c>
      <c r="Y309" s="319">
        <f t="shared" si="229"/>
        <v>0</v>
      </c>
      <c r="Z309" s="319">
        <f t="shared" si="229"/>
        <v>0</v>
      </c>
      <c r="AA309" s="319">
        <f t="shared" si="229"/>
        <v>0</v>
      </c>
      <c r="AB309" s="319">
        <f t="shared" si="229"/>
        <v>0</v>
      </c>
      <c r="AC309" s="319">
        <f t="shared" si="229"/>
        <v>0</v>
      </c>
      <c r="AD309" s="319">
        <f t="shared" si="229"/>
        <v>0</v>
      </c>
      <c r="AE309" s="319">
        <f t="shared" si="229"/>
        <v>0</v>
      </c>
      <c r="AF309" s="319">
        <f t="shared" si="229"/>
        <v>0</v>
      </c>
      <c r="AG309" s="319">
        <f t="shared" si="229"/>
        <v>0</v>
      </c>
      <c r="AH309" s="319"/>
      <c r="AI309" s="319"/>
      <c r="AJ309" s="319">
        <f t="shared" si="216"/>
        <v>0</v>
      </c>
      <c r="AL309" s="267">
        <v>543</v>
      </c>
      <c r="AM309" s="121" t="s">
        <v>110</v>
      </c>
      <c r="AN309" s="319">
        <f>SUM(AN310:AN322)</f>
        <v>0</v>
      </c>
      <c r="AO309" s="319">
        <f>SUM(AO310:AO322)</f>
        <v>0</v>
      </c>
      <c r="AP309" s="319">
        <f>SUM(AP310:AP322)</f>
        <v>0</v>
      </c>
      <c r="AQ309" s="319">
        <f>SUM(AQ310:AQ322)</f>
        <v>0</v>
      </c>
      <c r="AS309" s="267">
        <v>543</v>
      </c>
      <c r="AT309" s="121" t="s">
        <v>110</v>
      </c>
      <c r="AU309" s="319">
        <f t="shared" ref="AU309:BB309" si="230">SUM(AU310:AU322)</f>
        <v>0</v>
      </c>
      <c r="AV309" s="319">
        <f t="shared" si="230"/>
        <v>0</v>
      </c>
      <c r="AW309" s="1084">
        <f t="shared" si="230"/>
        <v>0</v>
      </c>
      <c r="AX309" s="319">
        <f t="shared" si="230"/>
        <v>0</v>
      </c>
      <c r="AY309" s="319">
        <f t="shared" si="230"/>
        <v>0</v>
      </c>
      <c r="AZ309" s="319">
        <f t="shared" si="230"/>
        <v>0</v>
      </c>
      <c r="BA309" s="319">
        <f t="shared" si="230"/>
        <v>0</v>
      </c>
      <c r="BB309" s="319">
        <f t="shared" si="230"/>
        <v>0</v>
      </c>
      <c r="BD309" s="998">
        <f t="shared" si="218"/>
        <v>0</v>
      </c>
    </row>
    <row r="310" spans="1:56" s="52" customFormat="1" ht="11.25" x14ac:dyDescent="0.2">
      <c r="A310" s="115">
        <v>54301</v>
      </c>
      <c r="B310" s="116" t="s">
        <v>314</v>
      </c>
      <c r="C310" s="318"/>
      <c r="D310" s="318"/>
      <c r="E310" s="318"/>
      <c r="F310" s="318"/>
      <c r="G310" s="318"/>
      <c r="H310" s="719"/>
      <c r="I310" s="318"/>
      <c r="J310" s="318"/>
      <c r="K310" s="318"/>
      <c r="L310" s="318"/>
      <c r="M310" s="318"/>
      <c r="N310" s="406">
        <f t="shared" ref="N310:N322" si="231">SUM(C310:M310)</f>
        <v>0</v>
      </c>
      <c r="P310" s="115">
        <v>54301</v>
      </c>
      <c r="Q310" s="116" t="s">
        <v>314</v>
      </c>
      <c r="R310" s="318"/>
      <c r="S310" s="318"/>
      <c r="T310" s="318"/>
      <c r="U310" s="318"/>
      <c r="V310" s="318"/>
      <c r="W310" s="318"/>
      <c r="X310" s="318"/>
      <c r="Y310" s="394"/>
      <c r="Z310" s="318"/>
      <c r="AA310" s="318"/>
      <c r="AB310" s="318"/>
      <c r="AC310" s="318"/>
      <c r="AD310" s="318"/>
      <c r="AE310" s="394"/>
      <c r="AF310" s="394"/>
      <c r="AG310" s="318"/>
      <c r="AH310" s="318"/>
      <c r="AI310" s="318"/>
      <c r="AJ310" s="318">
        <f t="shared" si="216"/>
        <v>0</v>
      </c>
      <c r="AL310" s="115">
        <v>54301</v>
      </c>
      <c r="AM310" s="116" t="s">
        <v>314</v>
      </c>
      <c r="AN310" s="318"/>
      <c r="AO310" s="394"/>
      <c r="AP310" s="394"/>
      <c r="AQ310" s="315">
        <f t="shared" ref="AQ310:AQ322" si="232">SUM(AN310:AP310)</f>
        <v>0</v>
      </c>
      <c r="AS310" s="115">
        <v>54301</v>
      </c>
      <c r="AT310" s="116" t="s">
        <v>314</v>
      </c>
      <c r="AU310" s="318"/>
      <c r="AV310" s="318"/>
      <c r="AW310" s="1083"/>
      <c r="AX310" s="318"/>
      <c r="AY310" s="318"/>
      <c r="AZ310" s="318"/>
      <c r="BA310" s="630"/>
      <c r="BB310" s="316">
        <f t="shared" ref="BB310:BB322" si="233">SUM(AU310:AZ310)</f>
        <v>0</v>
      </c>
      <c r="BD310" s="998">
        <f t="shared" si="218"/>
        <v>0</v>
      </c>
    </row>
    <row r="311" spans="1:56" s="52" customFormat="1" ht="11.25" x14ac:dyDescent="0.2">
      <c r="A311" s="115">
        <v>54302</v>
      </c>
      <c r="B311" s="116" t="s">
        <v>315</v>
      </c>
      <c r="C311" s="318"/>
      <c r="D311" s="318"/>
      <c r="E311" s="318"/>
      <c r="F311" s="318"/>
      <c r="G311" s="318"/>
      <c r="H311" s="719"/>
      <c r="I311" s="318"/>
      <c r="J311" s="318"/>
      <c r="K311" s="318"/>
      <c r="L311" s="318"/>
      <c r="M311" s="318"/>
      <c r="N311" s="406">
        <f t="shared" si="231"/>
        <v>0</v>
      </c>
      <c r="P311" s="115">
        <v>54302</v>
      </c>
      <c r="Q311" s="116" t="s">
        <v>315</v>
      </c>
      <c r="R311" s="318"/>
      <c r="S311" s="318"/>
      <c r="T311" s="318"/>
      <c r="U311" s="318"/>
      <c r="V311" s="318"/>
      <c r="W311" s="318"/>
      <c r="X311" s="318"/>
      <c r="Y311" s="394"/>
      <c r="Z311" s="318"/>
      <c r="AA311" s="318"/>
      <c r="AB311" s="318"/>
      <c r="AC311" s="318"/>
      <c r="AD311" s="318"/>
      <c r="AE311" s="394"/>
      <c r="AF311" s="394"/>
      <c r="AG311" s="318"/>
      <c r="AH311" s="318"/>
      <c r="AI311" s="318"/>
      <c r="AJ311" s="318">
        <f t="shared" si="216"/>
        <v>0</v>
      </c>
      <c r="AL311" s="115">
        <v>54302</v>
      </c>
      <c r="AM311" s="116" t="s">
        <v>315</v>
      </c>
      <c r="AN311" s="318"/>
      <c r="AO311" s="394"/>
      <c r="AP311" s="394"/>
      <c r="AQ311" s="315">
        <f t="shared" si="232"/>
        <v>0</v>
      </c>
      <c r="AS311" s="115">
        <v>54302</v>
      </c>
      <c r="AT311" s="116" t="s">
        <v>315</v>
      </c>
      <c r="AU311" s="318"/>
      <c r="AV311" s="318"/>
      <c r="AW311" s="1083"/>
      <c r="AX311" s="508"/>
      <c r="AY311" s="318"/>
      <c r="AZ311" s="318"/>
      <c r="BA311" s="630"/>
      <c r="BB311" s="574">
        <f t="shared" si="233"/>
        <v>0</v>
      </c>
      <c r="BD311" s="998">
        <f t="shared" si="218"/>
        <v>0</v>
      </c>
    </row>
    <row r="312" spans="1:56" s="52" customFormat="1" ht="11.25" x14ac:dyDescent="0.2">
      <c r="A312" s="115">
        <v>54303</v>
      </c>
      <c r="B312" s="116" t="s">
        <v>316</v>
      </c>
      <c r="C312" s="318"/>
      <c r="D312" s="318"/>
      <c r="E312" s="318"/>
      <c r="F312" s="318"/>
      <c r="G312" s="318"/>
      <c r="H312" s="719"/>
      <c r="I312" s="318"/>
      <c r="J312" s="318"/>
      <c r="K312" s="318"/>
      <c r="L312" s="318"/>
      <c r="M312" s="318"/>
      <c r="N312" s="406">
        <f t="shared" si="231"/>
        <v>0</v>
      </c>
      <c r="P312" s="115">
        <v>54303</v>
      </c>
      <c r="Q312" s="116" t="s">
        <v>316</v>
      </c>
      <c r="R312" s="318"/>
      <c r="S312" s="318"/>
      <c r="T312" s="318"/>
      <c r="U312" s="318"/>
      <c r="V312" s="318"/>
      <c r="W312" s="318"/>
      <c r="X312" s="318"/>
      <c r="Y312" s="394"/>
      <c r="Z312" s="318"/>
      <c r="AA312" s="318"/>
      <c r="AB312" s="318"/>
      <c r="AC312" s="318"/>
      <c r="AD312" s="318"/>
      <c r="AE312" s="394"/>
      <c r="AF312" s="394"/>
      <c r="AG312" s="318"/>
      <c r="AH312" s="318"/>
      <c r="AI312" s="318"/>
      <c r="AJ312" s="318">
        <f t="shared" si="216"/>
        <v>0</v>
      </c>
      <c r="AL312" s="115">
        <v>54303</v>
      </c>
      <c r="AM312" s="116" t="s">
        <v>316</v>
      </c>
      <c r="AN312" s="318"/>
      <c r="AO312" s="394"/>
      <c r="AP312" s="394"/>
      <c r="AQ312" s="315">
        <f t="shared" si="232"/>
        <v>0</v>
      </c>
      <c r="AS312" s="115">
        <v>54303</v>
      </c>
      <c r="AT312" s="116" t="s">
        <v>316</v>
      </c>
      <c r="AU312" s="318"/>
      <c r="AV312" s="318"/>
      <c r="AW312" s="1083"/>
      <c r="AX312" s="318"/>
      <c r="AY312" s="318"/>
      <c r="AZ312" s="318"/>
      <c r="BA312" s="630"/>
      <c r="BB312" s="316">
        <f t="shared" si="233"/>
        <v>0</v>
      </c>
      <c r="BD312" s="998">
        <f t="shared" si="218"/>
        <v>0</v>
      </c>
    </row>
    <row r="313" spans="1:56" s="52" customFormat="1" ht="11.25" x14ac:dyDescent="0.2">
      <c r="A313" s="115">
        <v>54304</v>
      </c>
      <c r="B313" s="116" t="s">
        <v>317</v>
      </c>
      <c r="C313" s="318"/>
      <c r="D313" s="318"/>
      <c r="E313" s="318"/>
      <c r="F313" s="318"/>
      <c r="G313" s="318"/>
      <c r="H313" s="719"/>
      <c r="I313" s="318"/>
      <c r="J313" s="318"/>
      <c r="K313" s="318"/>
      <c r="L313" s="318"/>
      <c r="M313" s="318"/>
      <c r="N313" s="406">
        <f t="shared" si="231"/>
        <v>0</v>
      </c>
      <c r="P313" s="115">
        <v>54304</v>
      </c>
      <c r="Q313" s="116" t="s">
        <v>317</v>
      </c>
      <c r="R313" s="318"/>
      <c r="S313" s="318"/>
      <c r="T313" s="318"/>
      <c r="U313" s="318"/>
      <c r="V313" s="318"/>
      <c r="W313" s="318"/>
      <c r="X313" s="318"/>
      <c r="Y313" s="394"/>
      <c r="Z313" s="318"/>
      <c r="AA313" s="318"/>
      <c r="AB313" s="318"/>
      <c r="AC313" s="318"/>
      <c r="AD313" s="318"/>
      <c r="AE313" s="394"/>
      <c r="AF313" s="394"/>
      <c r="AG313" s="318"/>
      <c r="AH313" s="318"/>
      <c r="AI313" s="318"/>
      <c r="AJ313" s="318">
        <f t="shared" si="216"/>
        <v>0</v>
      </c>
      <c r="AL313" s="115">
        <v>54304</v>
      </c>
      <c r="AM313" s="116" t="s">
        <v>317</v>
      </c>
      <c r="AN313" s="318"/>
      <c r="AO313" s="394"/>
      <c r="AP313" s="394"/>
      <c r="AQ313" s="315">
        <f t="shared" si="232"/>
        <v>0</v>
      </c>
      <c r="AS313" s="115">
        <v>54304</v>
      </c>
      <c r="AT313" s="116" t="s">
        <v>317</v>
      </c>
      <c r="AU313" s="318"/>
      <c r="AV313" s="318"/>
      <c r="AW313" s="1083"/>
      <c r="AX313" s="318"/>
      <c r="AY313" s="318"/>
      <c r="AZ313" s="318"/>
      <c r="BA313" s="630"/>
      <c r="BB313" s="316">
        <f t="shared" si="233"/>
        <v>0</v>
      </c>
      <c r="BD313" s="998">
        <f t="shared" si="218"/>
        <v>0</v>
      </c>
    </row>
    <row r="314" spans="1:56" s="52" customFormat="1" ht="11.25" x14ac:dyDescent="0.2">
      <c r="A314" s="115">
        <v>54305</v>
      </c>
      <c r="B314" s="116" t="s">
        <v>318</v>
      </c>
      <c r="C314" s="318"/>
      <c r="D314" s="318"/>
      <c r="E314" s="318"/>
      <c r="F314" s="318"/>
      <c r="G314" s="318"/>
      <c r="H314" s="719"/>
      <c r="I314" s="318"/>
      <c r="J314" s="318">
        <v>0</v>
      </c>
      <c r="K314" s="318"/>
      <c r="L314" s="318"/>
      <c r="M314" s="318">
        <v>0</v>
      </c>
      <c r="N314" s="406">
        <f t="shared" si="231"/>
        <v>0</v>
      </c>
      <c r="P314" s="115">
        <v>54305</v>
      </c>
      <c r="Q314" s="116" t="s">
        <v>318</v>
      </c>
      <c r="R314" s="318"/>
      <c r="S314" s="318"/>
      <c r="T314" s="318"/>
      <c r="U314" s="318"/>
      <c r="V314" s="318"/>
      <c r="W314" s="318"/>
      <c r="X314" s="318"/>
      <c r="Y314" s="394"/>
      <c r="Z314" s="318"/>
      <c r="AA314" s="318"/>
      <c r="AB314" s="318"/>
      <c r="AC314" s="318"/>
      <c r="AD314" s="318"/>
      <c r="AE314" s="394"/>
      <c r="AF314" s="394"/>
      <c r="AG314" s="318"/>
      <c r="AH314" s="318"/>
      <c r="AI314" s="318"/>
      <c r="AJ314" s="318">
        <f t="shared" si="216"/>
        <v>0</v>
      </c>
      <c r="AL314" s="115">
        <v>54305</v>
      </c>
      <c r="AM314" s="116" t="s">
        <v>318</v>
      </c>
      <c r="AN314" s="318"/>
      <c r="AO314" s="394"/>
      <c r="AP314" s="394"/>
      <c r="AQ314" s="315">
        <f t="shared" si="232"/>
        <v>0</v>
      </c>
      <c r="AS314" s="115">
        <v>54305</v>
      </c>
      <c r="AT314" s="116" t="s">
        <v>318</v>
      </c>
      <c r="AU314" s="318"/>
      <c r="AV314" s="318"/>
      <c r="AW314" s="1083"/>
      <c r="AX314" s="318"/>
      <c r="AY314" s="318"/>
      <c r="AZ314" s="318"/>
      <c r="BA314" s="630"/>
      <c r="BB314" s="316">
        <f t="shared" si="233"/>
        <v>0</v>
      </c>
      <c r="BD314" s="998">
        <f t="shared" si="218"/>
        <v>0</v>
      </c>
    </row>
    <row r="315" spans="1:56" s="52" customFormat="1" ht="11.25" x14ac:dyDescent="0.2">
      <c r="A315" s="115">
        <v>54306</v>
      </c>
      <c r="B315" s="116" t="s">
        <v>319</v>
      </c>
      <c r="C315" s="318"/>
      <c r="D315" s="318"/>
      <c r="E315" s="318"/>
      <c r="F315" s="318"/>
      <c r="G315" s="318"/>
      <c r="H315" s="719"/>
      <c r="I315" s="318"/>
      <c r="J315" s="318"/>
      <c r="K315" s="318"/>
      <c r="L315" s="318"/>
      <c r="M315" s="318"/>
      <c r="N315" s="406">
        <f t="shared" si="231"/>
        <v>0</v>
      </c>
      <c r="P315" s="115">
        <v>54306</v>
      </c>
      <c r="Q315" s="116" t="s">
        <v>319</v>
      </c>
      <c r="R315" s="318"/>
      <c r="S315" s="318"/>
      <c r="T315" s="318"/>
      <c r="U315" s="318"/>
      <c r="V315" s="318"/>
      <c r="W315" s="318"/>
      <c r="X315" s="318"/>
      <c r="Y315" s="394"/>
      <c r="Z315" s="318"/>
      <c r="AA315" s="318"/>
      <c r="AB315" s="318"/>
      <c r="AC315" s="318"/>
      <c r="AD315" s="318"/>
      <c r="AE315" s="394"/>
      <c r="AF315" s="394"/>
      <c r="AG315" s="318"/>
      <c r="AH315" s="318"/>
      <c r="AI315" s="318"/>
      <c r="AJ315" s="318">
        <f t="shared" ref="AJ315:AJ349" si="234">SUM(R315:AG315)</f>
        <v>0</v>
      </c>
      <c r="AL315" s="115">
        <v>54306</v>
      </c>
      <c r="AM315" s="116" t="s">
        <v>319</v>
      </c>
      <c r="AN315" s="318"/>
      <c r="AO315" s="394"/>
      <c r="AP315" s="394"/>
      <c r="AQ315" s="315">
        <f t="shared" si="232"/>
        <v>0</v>
      </c>
      <c r="AS315" s="115">
        <v>54306</v>
      </c>
      <c r="AT315" s="116" t="s">
        <v>319</v>
      </c>
      <c r="AU315" s="318"/>
      <c r="AV315" s="318"/>
      <c r="AW315" s="1083"/>
      <c r="AX315" s="318"/>
      <c r="AY315" s="318"/>
      <c r="AZ315" s="318"/>
      <c r="BA315" s="630"/>
      <c r="BB315" s="316">
        <f t="shared" si="233"/>
        <v>0</v>
      </c>
      <c r="BD315" s="998">
        <f t="shared" ref="BD315:BD346" si="235">BB315+AQ315+AJ315+N315</f>
        <v>0</v>
      </c>
    </row>
    <row r="316" spans="1:56" s="52" customFormat="1" ht="11.25" x14ac:dyDescent="0.2">
      <c r="A316" s="115">
        <v>54307</v>
      </c>
      <c r="B316" s="116" t="s">
        <v>320</v>
      </c>
      <c r="C316" s="318"/>
      <c r="D316" s="318"/>
      <c r="E316" s="318"/>
      <c r="F316" s="318"/>
      <c r="G316" s="318"/>
      <c r="H316" s="719"/>
      <c r="I316" s="318"/>
      <c r="J316" s="318"/>
      <c r="K316" s="318"/>
      <c r="L316" s="318"/>
      <c r="M316" s="318"/>
      <c r="N316" s="406">
        <f t="shared" si="231"/>
        <v>0</v>
      </c>
      <c r="P316" s="115">
        <v>54307</v>
      </c>
      <c r="Q316" s="116" t="s">
        <v>320</v>
      </c>
      <c r="R316" s="318"/>
      <c r="S316" s="318"/>
      <c r="T316" s="318"/>
      <c r="U316" s="318"/>
      <c r="V316" s="318"/>
      <c r="W316" s="318"/>
      <c r="X316" s="318"/>
      <c r="Y316" s="394"/>
      <c r="Z316" s="318"/>
      <c r="AA316" s="318"/>
      <c r="AB316" s="318"/>
      <c r="AC316" s="318"/>
      <c r="AD316" s="318"/>
      <c r="AE316" s="394"/>
      <c r="AF316" s="394"/>
      <c r="AG316" s="318"/>
      <c r="AH316" s="318"/>
      <c r="AI316" s="318"/>
      <c r="AJ316" s="318">
        <f t="shared" si="234"/>
        <v>0</v>
      </c>
      <c r="AL316" s="115">
        <v>54307</v>
      </c>
      <c r="AM316" s="116" t="s">
        <v>320</v>
      </c>
      <c r="AN316" s="318"/>
      <c r="AO316" s="394"/>
      <c r="AP316" s="394"/>
      <c r="AQ316" s="315">
        <f t="shared" si="232"/>
        <v>0</v>
      </c>
      <c r="AS316" s="115">
        <v>54307</v>
      </c>
      <c r="AT316" s="116" t="s">
        <v>320</v>
      </c>
      <c r="AU316" s="318"/>
      <c r="AV316" s="318"/>
      <c r="AW316" s="1083"/>
      <c r="AX316" s="318"/>
      <c r="AY316" s="318"/>
      <c r="AZ316" s="318"/>
      <c r="BA316" s="630"/>
      <c r="BB316" s="316">
        <f t="shared" si="233"/>
        <v>0</v>
      </c>
      <c r="BD316" s="998">
        <f t="shared" si="235"/>
        <v>0</v>
      </c>
    </row>
    <row r="317" spans="1:56" s="52" customFormat="1" ht="11.25" x14ac:dyDescent="0.2">
      <c r="A317" s="115">
        <v>54309</v>
      </c>
      <c r="B317" s="116" t="s">
        <v>321</v>
      </c>
      <c r="C317" s="318"/>
      <c r="D317" s="318"/>
      <c r="E317" s="318"/>
      <c r="F317" s="318"/>
      <c r="G317" s="318"/>
      <c r="H317" s="719"/>
      <c r="I317" s="318"/>
      <c r="J317" s="318"/>
      <c r="K317" s="318"/>
      <c r="L317" s="318"/>
      <c r="M317" s="318"/>
      <c r="N317" s="406">
        <f t="shared" si="231"/>
        <v>0</v>
      </c>
      <c r="P317" s="115">
        <v>54309</v>
      </c>
      <c r="Q317" s="116" t="s">
        <v>321</v>
      </c>
      <c r="R317" s="318"/>
      <c r="S317" s="318"/>
      <c r="T317" s="318"/>
      <c r="U317" s="318"/>
      <c r="V317" s="318"/>
      <c r="W317" s="318"/>
      <c r="X317" s="318"/>
      <c r="Y317" s="394"/>
      <c r="Z317" s="318"/>
      <c r="AA317" s="318"/>
      <c r="AB317" s="318"/>
      <c r="AC317" s="318"/>
      <c r="AD317" s="318"/>
      <c r="AE317" s="394"/>
      <c r="AF317" s="394"/>
      <c r="AG317" s="318"/>
      <c r="AH317" s="318"/>
      <c r="AI317" s="318"/>
      <c r="AJ317" s="318">
        <f t="shared" si="234"/>
        <v>0</v>
      </c>
      <c r="AL317" s="115">
        <v>54309</v>
      </c>
      <c r="AM317" s="116" t="s">
        <v>321</v>
      </c>
      <c r="AN317" s="318"/>
      <c r="AO317" s="394"/>
      <c r="AP317" s="394"/>
      <c r="AQ317" s="315">
        <f t="shared" si="232"/>
        <v>0</v>
      </c>
      <c r="AS317" s="115">
        <v>54309</v>
      </c>
      <c r="AT317" s="116" t="s">
        <v>321</v>
      </c>
      <c r="AU317" s="318"/>
      <c r="AV317" s="318"/>
      <c r="AW317" s="1083"/>
      <c r="AX317" s="318"/>
      <c r="AY317" s="318"/>
      <c r="AZ317" s="318"/>
      <c r="BA317" s="630"/>
      <c r="BB317" s="316">
        <f t="shared" si="233"/>
        <v>0</v>
      </c>
      <c r="BD317" s="998">
        <f t="shared" si="235"/>
        <v>0</v>
      </c>
    </row>
    <row r="318" spans="1:56" s="52" customFormat="1" ht="11.25" x14ac:dyDescent="0.2">
      <c r="A318" s="115">
        <v>54310</v>
      </c>
      <c r="B318" s="116" t="s">
        <v>322</v>
      </c>
      <c r="C318" s="318"/>
      <c r="D318" s="318"/>
      <c r="E318" s="318"/>
      <c r="F318" s="318"/>
      <c r="G318" s="318"/>
      <c r="H318" s="719"/>
      <c r="I318" s="318"/>
      <c r="J318" s="318"/>
      <c r="K318" s="318"/>
      <c r="L318" s="318"/>
      <c r="M318" s="318"/>
      <c r="N318" s="406">
        <f t="shared" si="231"/>
        <v>0</v>
      </c>
      <c r="P318" s="115">
        <v>54310</v>
      </c>
      <c r="Q318" s="116" t="s">
        <v>322</v>
      </c>
      <c r="R318" s="318"/>
      <c r="S318" s="318"/>
      <c r="T318" s="318"/>
      <c r="U318" s="318"/>
      <c r="V318" s="318"/>
      <c r="W318" s="318"/>
      <c r="X318" s="318"/>
      <c r="Y318" s="394"/>
      <c r="Z318" s="318"/>
      <c r="AA318" s="318"/>
      <c r="AB318" s="318"/>
      <c r="AC318" s="318"/>
      <c r="AD318" s="318"/>
      <c r="AE318" s="394"/>
      <c r="AF318" s="394"/>
      <c r="AG318" s="318"/>
      <c r="AH318" s="318"/>
      <c r="AI318" s="318"/>
      <c r="AJ318" s="318">
        <f t="shared" si="234"/>
        <v>0</v>
      </c>
      <c r="AL318" s="115">
        <v>54310</v>
      </c>
      <c r="AM318" s="116" t="s">
        <v>322</v>
      </c>
      <c r="AN318" s="318"/>
      <c r="AO318" s="394"/>
      <c r="AP318" s="394"/>
      <c r="AQ318" s="315">
        <f t="shared" si="232"/>
        <v>0</v>
      </c>
      <c r="AS318" s="115">
        <v>54310</v>
      </c>
      <c r="AT318" s="116" t="s">
        <v>322</v>
      </c>
      <c r="AU318" s="318"/>
      <c r="AV318" s="318"/>
      <c r="AW318" s="1083"/>
      <c r="AX318" s="318"/>
      <c r="AY318" s="318"/>
      <c r="AZ318" s="318"/>
      <c r="BA318" s="630"/>
      <c r="BB318" s="316">
        <f t="shared" si="233"/>
        <v>0</v>
      </c>
      <c r="BD318" s="998">
        <f t="shared" si="235"/>
        <v>0</v>
      </c>
    </row>
    <row r="319" spans="1:56" s="52" customFormat="1" ht="11.25" x14ac:dyDescent="0.2">
      <c r="A319" s="115">
        <v>54311</v>
      </c>
      <c r="B319" s="116" t="s">
        <v>323</v>
      </c>
      <c r="C319" s="318"/>
      <c r="D319" s="318"/>
      <c r="E319" s="318"/>
      <c r="F319" s="318"/>
      <c r="G319" s="318"/>
      <c r="H319" s="719"/>
      <c r="I319" s="318"/>
      <c r="J319" s="318"/>
      <c r="K319" s="318"/>
      <c r="L319" s="318"/>
      <c r="M319" s="318"/>
      <c r="N319" s="406">
        <f t="shared" si="231"/>
        <v>0</v>
      </c>
      <c r="P319" s="115">
        <v>54311</v>
      </c>
      <c r="Q319" s="116" t="s">
        <v>323</v>
      </c>
      <c r="R319" s="318"/>
      <c r="S319" s="318"/>
      <c r="T319" s="318"/>
      <c r="U319" s="318"/>
      <c r="V319" s="318"/>
      <c r="W319" s="318"/>
      <c r="X319" s="318"/>
      <c r="Y319" s="394"/>
      <c r="Z319" s="318"/>
      <c r="AA319" s="318"/>
      <c r="AB319" s="318"/>
      <c r="AC319" s="318"/>
      <c r="AD319" s="318"/>
      <c r="AE319" s="394"/>
      <c r="AF319" s="394"/>
      <c r="AG319" s="318"/>
      <c r="AH319" s="318"/>
      <c r="AI319" s="318"/>
      <c r="AJ319" s="318">
        <f t="shared" si="234"/>
        <v>0</v>
      </c>
      <c r="AL319" s="115">
        <v>54311</v>
      </c>
      <c r="AM319" s="116" t="s">
        <v>323</v>
      </c>
      <c r="AN319" s="318"/>
      <c r="AO319" s="394"/>
      <c r="AP319" s="394"/>
      <c r="AQ319" s="315">
        <f t="shared" si="232"/>
        <v>0</v>
      </c>
      <c r="AS319" s="115">
        <v>54311</v>
      </c>
      <c r="AT319" s="116" t="s">
        <v>323</v>
      </c>
      <c r="AU319" s="318"/>
      <c r="AV319" s="318"/>
      <c r="AW319" s="1083"/>
      <c r="AX319" s="318"/>
      <c r="AY319" s="318"/>
      <c r="AZ319" s="318"/>
      <c r="BA319" s="630"/>
      <c r="BB319" s="316">
        <f t="shared" si="233"/>
        <v>0</v>
      </c>
      <c r="BD319" s="998">
        <f t="shared" si="235"/>
        <v>0</v>
      </c>
    </row>
    <row r="320" spans="1:56" s="52" customFormat="1" ht="11.25" x14ac:dyDescent="0.2">
      <c r="A320" s="115">
        <v>54313</v>
      </c>
      <c r="B320" s="116" t="s">
        <v>324</v>
      </c>
      <c r="C320" s="318"/>
      <c r="D320" s="318"/>
      <c r="E320" s="318"/>
      <c r="F320" s="318"/>
      <c r="G320" s="318"/>
      <c r="H320" s="719"/>
      <c r="I320" s="318"/>
      <c r="J320" s="318"/>
      <c r="K320" s="318"/>
      <c r="L320" s="318"/>
      <c r="M320" s="318"/>
      <c r="N320" s="406">
        <f t="shared" si="231"/>
        <v>0</v>
      </c>
      <c r="P320" s="115">
        <v>54313</v>
      </c>
      <c r="Q320" s="116" t="s">
        <v>324</v>
      </c>
      <c r="R320" s="318"/>
      <c r="S320" s="318"/>
      <c r="T320" s="318"/>
      <c r="U320" s="318"/>
      <c r="V320" s="318"/>
      <c r="W320" s="318"/>
      <c r="X320" s="318"/>
      <c r="Y320" s="394"/>
      <c r="Z320" s="318"/>
      <c r="AA320" s="318"/>
      <c r="AB320" s="318"/>
      <c r="AC320" s="318"/>
      <c r="AD320" s="318"/>
      <c r="AE320" s="394"/>
      <c r="AF320" s="394"/>
      <c r="AG320" s="318"/>
      <c r="AH320" s="318"/>
      <c r="AI320" s="318"/>
      <c r="AJ320" s="318">
        <f t="shared" si="234"/>
        <v>0</v>
      </c>
      <c r="AL320" s="115">
        <v>54313</v>
      </c>
      <c r="AM320" s="116" t="s">
        <v>324</v>
      </c>
      <c r="AN320" s="318"/>
      <c r="AO320" s="394"/>
      <c r="AP320" s="394"/>
      <c r="AQ320" s="315">
        <f t="shared" si="232"/>
        <v>0</v>
      </c>
      <c r="AS320" s="115">
        <v>54313</v>
      </c>
      <c r="AT320" s="116" t="s">
        <v>324</v>
      </c>
      <c r="AU320" s="318"/>
      <c r="AV320" s="318"/>
      <c r="AW320" s="1083"/>
      <c r="AX320" s="318"/>
      <c r="AY320" s="318"/>
      <c r="AZ320" s="318"/>
      <c r="BA320" s="630"/>
      <c r="BB320" s="316">
        <f t="shared" si="233"/>
        <v>0</v>
      </c>
      <c r="BD320" s="998">
        <f t="shared" si="235"/>
        <v>0</v>
      </c>
    </row>
    <row r="321" spans="1:56" s="52" customFormat="1" ht="11.25" x14ac:dyDescent="0.2">
      <c r="A321" s="115">
        <v>54314</v>
      </c>
      <c r="B321" s="116" t="s">
        <v>325</v>
      </c>
      <c r="C321" s="318"/>
      <c r="D321" s="318"/>
      <c r="E321" s="318"/>
      <c r="F321" s="318"/>
      <c r="G321" s="318"/>
      <c r="H321" s="719"/>
      <c r="I321" s="318"/>
      <c r="J321" s="318"/>
      <c r="K321" s="318"/>
      <c r="L321" s="318"/>
      <c r="M321" s="318"/>
      <c r="N321" s="406">
        <f t="shared" si="231"/>
        <v>0</v>
      </c>
      <c r="P321" s="115">
        <v>54314</v>
      </c>
      <c r="Q321" s="116" t="s">
        <v>325</v>
      </c>
      <c r="R321" s="318"/>
      <c r="S321" s="318"/>
      <c r="T321" s="318"/>
      <c r="U321" s="318"/>
      <c r="V321" s="318"/>
      <c r="W321" s="318"/>
      <c r="X321" s="318"/>
      <c r="Y321" s="394"/>
      <c r="Z321" s="318"/>
      <c r="AA321" s="318"/>
      <c r="AB321" s="318"/>
      <c r="AC321" s="318"/>
      <c r="AD321" s="318"/>
      <c r="AE321" s="394"/>
      <c r="AF321" s="394"/>
      <c r="AG321" s="318"/>
      <c r="AH321" s="318"/>
      <c r="AI321" s="318"/>
      <c r="AJ321" s="318">
        <f t="shared" si="234"/>
        <v>0</v>
      </c>
      <c r="AL321" s="115">
        <v>54314</v>
      </c>
      <c r="AM321" s="116" t="s">
        <v>325</v>
      </c>
      <c r="AN321" s="318"/>
      <c r="AO321" s="394"/>
      <c r="AP321" s="394"/>
      <c r="AQ321" s="315">
        <f t="shared" si="232"/>
        <v>0</v>
      </c>
      <c r="AS321" s="115">
        <v>54314</v>
      </c>
      <c r="AT321" s="116" t="s">
        <v>325</v>
      </c>
      <c r="AU321" s="318"/>
      <c r="AV321" s="318"/>
      <c r="AW321" s="1083"/>
      <c r="AX321" s="318"/>
      <c r="AY321" s="318"/>
      <c r="AZ321" s="318"/>
      <c r="BA321" s="630"/>
      <c r="BB321" s="316">
        <f t="shared" si="233"/>
        <v>0</v>
      </c>
      <c r="BD321" s="998">
        <f t="shared" si="235"/>
        <v>0</v>
      </c>
    </row>
    <row r="322" spans="1:56" s="52" customFormat="1" ht="11.25" x14ac:dyDescent="0.2">
      <c r="A322" s="115">
        <v>54399</v>
      </c>
      <c r="B322" s="116" t="s">
        <v>326</v>
      </c>
      <c r="C322" s="318"/>
      <c r="D322" s="318"/>
      <c r="E322" s="318"/>
      <c r="F322" s="318"/>
      <c r="G322" s="318"/>
      <c r="H322" s="719"/>
      <c r="I322" s="318"/>
      <c r="J322" s="318"/>
      <c r="K322" s="318"/>
      <c r="L322" s="318"/>
      <c r="M322" s="318"/>
      <c r="N322" s="406">
        <f t="shared" si="231"/>
        <v>0</v>
      </c>
      <c r="P322" s="115">
        <v>54399</v>
      </c>
      <c r="Q322" s="116" t="s">
        <v>326</v>
      </c>
      <c r="R322" s="318"/>
      <c r="S322" s="318"/>
      <c r="T322" s="318"/>
      <c r="U322" s="318"/>
      <c r="V322" s="318"/>
      <c r="W322" s="318"/>
      <c r="X322" s="318"/>
      <c r="Y322" s="394"/>
      <c r="Z322" s="318"/>
      <c r="AA322" s="318"/>
      <c r="AB322" s="318"/>
      <c r="AC322" s="318"/>
      <c r="AD322" s="318"/>
      <c r="AE322" s="394"/>
      <c r="AF322" s="394"/>
      <c r="AG322" s="318"/>
      <c r="AH322" s="318"/>
      <c r="AI322" s="318"/>
      <c r="AJ322" s="318">
        <f t="shared" si="234"/>
        <v>0</v>
      </c>
      <c r="AL322" s="115">
        <v>54399</v>
      </c>
      <c r="AM322" s="116" t="s">
        <v>326</v>
      </c>
      <c r="AN322" s="318"/>
      <c r="AO322" s="394"/>
      <c r="AP322" s="394"/>
      <c r="AQ322" s="315">
        <f t="shared" si="232"/>
        <v>0</v>
      </c>
      <c r="AS322" s="115">
        <v>54399</v>
      </c>
      <c r="AT322" s="116" t="s">
        <v>326</v>
      </c>
      <c r="AU322" s="318"/>
      <c r="AV322" s="318"/>
      <c r="AW322" s="1083"/>
      <c r="AX322" s="724"/>
      <c r="AY322" s="318"/>
      <c r="AZ322" s="318"/>
      <c r="BA322" s="630"/>
      <c r="BB322" s="316">
        <f t="shared" si="233"/>
        <v>0</v>
      </c>
      <c r="BD322" s="876">
        <f t="shared" si="235"/>
        <v>0</v>
      </c>
    </row>
    <row r="323" spans="1:56" s="52" customFormat="1" ht="11.25" x14ac:dyDescent="0.2">
      <c r="A323" s="267">
        <v>544</v>
      </c>
      <c r="B323" s="121" t="s">
        <v>111</v>
      </c>
      <c r="C323" s="319">
        <f>SUM(C324:C327)</f>
        <v>0</v>
      </c>
      <c r="D323" s="319">
        <f>SUM(D324:D327)</f>
        <v>0</v>
      </c>
      <c r="E323" s="319">
        <f>SUM(E324:E327)</f>
        <v>0</v>
      </c>
      <c r="F323" s="319">
        <f>SUM(F324:F327)</f>
        <v>0</v>
      </c>
      <c r="G323" s="319">
        <f>SUM(G324:G327)</f>
        <v>0</v>
      </c>
      <c r="H323" s="719"/>
      <c r="I323" s="319">
        <f t="shared" ref="I323:N323" si="236">SUM(I324:I327)</f>
        <v>0</v>
      </c>
      <c r="J323" s="319">
        <f t="shared" si="236"/>
        <v>0</v>
      </c>
      <c r="K323" s="319">
        <f t="shared" si="236"/>
        <v>0</v>
      </c>
      <c r="L323" s="319">
        <f t="shared" si="236"/>
        <v>0</v>
      </c>
      <c r="M323" s="319">
        <f t="shared" si="236"/>
        <v>0</v>
      </c>
      <c r="N323" s="402">
        <f t="shared" si="236"/>
        <v>0</v>
      </c>
      <c r="P323" s="267">
        <v>544</v>
      </c>
      <c r="Q323" s="121" t="s">
        <v>111</v>
      </c>
      <c r="R323" s="319">
        <f>SUM(R324:R327)</f>
        <v>0</v>
      </c>
      <c r="S323" s="319">
        <f t="shared" ref="S323:AG323" si="237">SUM(S324:S327)</f>
        <v>0</v>
      </c>
      <c r="T323" s="319">
        <f t="shared" si="237"/>
        <v>0</v>
      </c>
      <c r="U323" s="319">
        <f t="shared" si="237"/>
        <v>0</v>
      </c>
      <c r="V323" s="319">
        <f t="shared" si="237"/>
        <v>0</v>
      </c>
      <c r="W323" s="319">
        <f t="shared" si="237"/>
        <v>0</v>
      </c>
      <c r="X323" s="319">
        <f t="shared" si="237"/>
        <v>0</v>
      </c>
      <c r="Y323" s="319">
        <f t="shared" si="237"/>
        <v>0</v>
      </c>
      <c r="Z323" s="319">
        <f t="shared" si="237"/>
        <v>0</v>
      </c>
      <c r="AA323" s="319">
        <f t="shared" si="237"/>
        <v>0</v>
      </c>
      <c r="AB323" s="319">
        <f t="shared" si="237"/>
        <v>0</v>
      </c>
      <c r="AC323" s="319">
        <f t="shared" si="237"/>
        <v>0</v>
      </c>
      <c r="AD323" s="319">
        <f t="shared" si="237"/>
        <v>0</v>
      </c>
      <c r="AE323" s="319">
        <f t="shared" si="237"/>
        <v>0</v>
      </c>
      <c r="AF323" s="319">
        <f t="shared" si="237"/>
        <v>0</v>
      </c>
      <c r="AG323" s="319">
        <f t="shared" si="237"/>
        <v>0</v>
      </c>
      <c r="AH323" s="319"/>
      <c r="AI323" s="319"/>
      <c r="AJ323" s="319">
        <f t="shared" si="234"/>
        <v>0</v>
      </c>
      <c r="AL323" s="267">
        <v>544</v>
      </c>
      <c r="AM323" s="121" t="s">
        <v>111</v>
      </c>
      <c r="AN323" s="319">
        <f>SUM(AN324:AN327)</f>
        <v>0</v>
      </c>
      <c r="AO323" s="319">
        <f>SUM(AO324:AO327)</f>
        <v>0</v>
      </c>
      <c r="AP323" s="319">
        <f>SUM(AP324:AP327)</f>
        <v>0</v>
      </c>
      <c r="AQ323" s="319">
        <f>SUM(AQ324:AQ327)</f>
        <v>0</v>
      </c>
      <c r="AS323" s="267">
        <v>544</v>
      </c>
      <c r="AT323" s="121" t="s">
        <v>111</v>
      </c>
      <c r="AU323" s="319">
        <f>SUM(AU324:AU327)</f>
        <v>0</v>
      </c>
      <c r="AV323" s="319">
        <f t="shared" ref="AV323:BA323" si="238">SUM(AV324:AV327)</f>
        <v>0</v>
      </c>
      <c r="AW323" s="1084">
        <f t="shared" si="238"/>
        <v>0</v>
      </c>
      <c r="AX323" s="319">
        <f t="shared" si="238"/>
        <v>0</v>
      </c>
      <c r="AY323" s="319">
        <f t="shared" si="238"/>
        <v>0</v>
      </c>
      <c r="AZ323" s="319">
        <f t="shared" si="238"/>
        <v>0</v>
      </c>
      <c r="BA323" s="319">
        <f t="shared" si="238"/>
        <v>0</v>
      </c>
      <c r="BB323" s="860">
        <f>SUM(AW323:AZ323)</f>
        <v>0</v>
      </c>
      <c r="BD323" s="998">
        <f t="shared" si="235"/>
        <v>0</v>
      </c>
    </row>
    <row r="324" spans="1:56" s="52" customFormat="1" ht="11.25" x14ac:dyDescent="0.2">
      <c r="A324" s="115">
        <v>54401</v>
      </c>
      <c r="B324" s="116" t="s">
        <v>327</v>
      </c>
      <c r="C324" s="318"/>
      <c r="D324" s="318"/>
      <c r="E324" s="318"/>
      <c r="F324" s="318"/>
      <c r="G324" s="318"/>
      <c r="H324" s="318"/>
      <c r="I324" s="318">
        <v>0</v>
      </c>
      <c r="J324" s="318">
        <v>0</v>
      </c>
      <c r="K324" s="318"/>
      <c r="L324" s="318"/>
      <c r="M324" s="318">
        <v>0</v>
      </c>
      <c r="N324" s="406">
        <f>SUM(C324:M324)</f>
        <v>0</v>
      </c>
      <c r="P324" s="115">
        <v>54401</v>
      </c>
      <c r="Q324" s="116" t="s">
        <v>327</v>
      </c>
      <c r="R324" s="318"/>
      <c r="S324" s="318"/>
      <c r="T324" s="318"/>
      <c r="U324" s="318"/>
      <c r="V324" s="318"/>
      <c r="W324" s="318"/>
      <c r="X324" s="318">
        <v>0</v>
      </c>
      <c r="Y324" s="394">
        <v>0</v>
      </c>
      <c r="Z324" s="318"/>
      <c r="AA324" s="318"/>
      <c r="AB324" s="318"/>
      <c r="AC324" s="318"/>
      <c r="AD324" s="318">
        <v>0</v>
      </c>
      <c r="AE324" s="394">
        <v>0</v>
      </c>
      <c r="AF324" s="394">
        <v>0</v>
      </c>
      <c r="AG324" s="318">
        <v>0</v>
      </c>
      <c r="AH324" s="318"/>
      <c r="AI324" s="318"/>
      <c r="AJ324" s="318">
        <f t="shared" si="234"/>
        <v>0</v>
      </c>
      <c r="AL324" s="115">
        <v>54401</v>
      </c>
      <c r="AM324" s="116" t="s">
        <v>327</v>
      </c>
      <c r="AN324" s="318"/>
      <c r="AO324" s="394"/>
      <c r="AP324" s="394"/>
      <c r="AQ324" s="315">
        <f>SUM(AN324:AP324)</f>
        <v>0</v>
      </c>
      <c r="AS324" s="115">
        <v>54401</v>
      </c>
      <c r="AT324" s="116" t="s">
        <v>327</v>
      </c>
      <c r="AU324" s="318"/>
      <c r="AV324" s="318"/>
      <c r="AW324" s="1083">
        <v>0</v>
      </c>
      <c r="AX324" s="318">
        <v>0</v>
      </c>
      <c r="AY324" s="318">
        <v>0</v>
      </c>
      <c r="AZ324" s="318">
        <v>0</v>
      </c>
      <c r="BA324" s="630"/>
      <c r="BB324" s="316">
        <f>SUM(AU324:AZ324)</f>
        <v>0</v>
      </c>
      <c r="BD324" s="998">
        <f t="shared" si="235"/>
        <v>0</v>
      </c>
    </row>
    <row r="325" spans="1:56" s="52" customFormat="1" ht="11.25" x14ac:dyDescent="0.2">
      <c r="A325" s="115">
        <v>54402</v>
      </c>
      <c r="B325" s="116" t="s">
        <v>328</v>
      </c>
      <c r="C325" s="318"/>
      <c r="D325" s="318"/>
      <c r="E325" s="318"/>
      <c r="F325" s="318"/>
      <c r="G325" s="318"/>
      <c r="H325" s="318"/>
      <c r="I325" s="318"/>
      <c r="J325" s="318"/>
      <c r="K325" s="318"/>
      <c r="L325" s="318"/>
      <c r="M325" s="318"/>
      <c r="N325" s="406">
        <f>SUM(C325:M325)</f>
        <v>0</v>
      </c>
      <c r="P325" s="115">
        <v>54402</v>
      </c>
      <c r="Q325" s="116" t="s">
        <v>328</v>
      </c>
      <c r="R325" s="318"/>
      <c r="S325" s="318"/>
      <c r="T325" s="318"/>
      <c r="U325" s="318"/>
      <c r="V325" s="318"/>
      <c r="W325" s="318"/>
      <c r="X325" s="318"/>
      <c r="Y325" s="394"/>
      <c r="Z325" s="318"/>
      <c r="AA325" s="318"/>
      <c r="AB325" s="318"/>
      <c r="AC325" s="318"/>
      <c r="AD325" s="318"/>
      <c r="AE325" s="394"/>
      <c r="AF325" s="394"/>
      <c r="AG325" s="318"/>
      <c r="AH325" s="318"/>
      <c r="AI325" s="318"/>
      <c r="AJ325" s="318">
        <f t="shared" si="234"/>
        <v>0</v>
      </c>
      <c r="AL325" s="115">
        <v>54402</v>
      </c>
      <c r="AM325" s="116" t="s">
        <v>328</v>
      </c>
      <c r="AN325" s="318"/>
      <c r="AO325" s="394"/>
      <c r="AP325" s="394"/>
      <c r="AQ325" s="315">
        <f>SUM(AN325:AP325)</f>
        <v>0</v>
      </c>
      <c r="AS325" s="115">
        <v>54402</v>
      </c>
      <c r="AT325" s="116" t="s">
        <v>328</v>
      </c>
      <c r="AU325" s="318"/>
      <c r="AV325" s="318"/>
      <c r="AW325" s="1083"/>
      <c r="AX325" s="318"/>
      <c r="AY325" s="318"/>
      <c r="AZ325" s="318"/>
      <c r="BA325" s="630"/>
      <c r="BB325" s="316">
        <f>SUM(AU325:AZ325)</f>
        <v>0</v>
      </c>
      <c r="BD325" s="998">
        <f t="shared" si="235"/>
        <v>0</v>
      </c>
    </row>
    <row r="326" spans="1:56" s="52" customFormat="1" ht="11.25" x14ac:dyDescent="0.2">
      <c r="A326" s="115">
        <v>54403</v>
      </c>
      <c r="B326" s="116" t="s">
        <v>330</v>
      </c>
      <c r="C326" s="318"/>
      <c r="D326" s="318"/>
      <c r="E326" s="318"/>
      <c r="F326" s="318"/>
      <c r="G326" s="318"/>
      <c r="H326" s="318"/>
      <c r="I326" s="318"/>
      <c r="J326" s="318"/>
      <c r="K326" s="318"/>
      <c r="L326" s="318"/>
      <c r="M326" s="318"/>
      <c r="N326" s="406">
        <f>SUM(C326:M326)</f>
        <v>0</v>
      </c>
      <c r="P326" s="115">
        <v>54403</v>
      </c>
      <c r="Q326" s="116" t="s">
        <v>330</v>
      </c>
      <c r="R326" s="318"/>
      <c r="S326" s="318"/>
      <c r="T326" s="318"/>
      <c r="U326" s="318"/>
      <c r="V326" s="318"/>
      <c r="W326" s="318"/>
      <c r="X326" s="318"/>
      <c r="Y326" s="394"/>
      <c r="Z326" s="318"/>
      <c r="AA326" s="318"/>
      <c r="AB326" s="318"/>
      <c r="AC326" s="318"/>
      <c r="AD326" s="318"/>
      <c r="AE326" s="394"/>
      <c r="AF326" s="394"/>
      <c r="AG326" s="318"/>
      <c r="AH326" s="318"/>
      <c r="AI326" s="318"/>
      <c r="AJ326" s="318">
        <f t="shared" si="234"/>
        <v>0</v>
      </c>
      <c r="AL326" s="115">
        <v>54403</v>
      </c>
      <c r="AM326" s="116" t="s">
        <v>330</v>
      </c>
      <c r="AN326" s="318"/>
      <c r="AO326" s="394"/>
      <c r="AP326" s="394"/>
      <c r="AQ326" s="315">
        <f>SUM(AN326:AP326)</f>
        <v>0</v>
      </c>
      <c r="AS326" s="115">
        <v>54403</v>
      </c>
      <c r="AT326" s="116" t="s">
        <v>330</v>
      </c>
      <c r="AU326" s="318"/>
      <c r="AV326" s="318"/>
      <c r="AW326" s="1083"/>
      <c r="AX326" s="318"/>
      <c r="AY326" s="318"/>
      <c r="AZ326" s="318"/>
      <c r="BA326" s="630"/>
      <c r="BB326" s="316">
        <f>SUM(AU326:AZ326)</f>
        <v>0</v>
      </c>
      <c r="BD326" s="998">
        <f t="shared" si="235"/>
        <v>0</v>
      </c>
    </row>
    <row r="327" spans="1:56" s="52" customFormat="1" ht="11.25" x14ac:dyDescent="0.2">
      <c r="A327" s="115">
        <v>54404</v>
      </c>
      <c r="B327" s="116" t="s">
        <v>329</v>
      </c>
      <c r="C327" s="318"/>
      <c r="D327" s="318"/>
      <c r="E327" s="318"/>
      <c r="F327" s="318"/>
      <c r="G327" s="318"/>
      <c r="H327" s="318"/>
      <c r="I327" s="318"/>
      <c r="J327" s="318"/>
      <c r="K327" s="318"/>
      <c r="L327" s="318"/>
      <c r="M327" s="318"/>
      <c r="N327" s="406">
        <f>SUM(C327:M327)</f>
        <v>0</v>
      </c>
      <c r="P327" s="115">
        <v>54404</v>
      </c>
      <c r="Q327" s="116" t="s">
        <v>329</v>
      </c>
      <c r="R327" s="318"/>
      <c r="S327" s="318"/>
      <c r="T327" s="318"/>
      <c r="U327" s="318"/>
      <c r="V327" s="318"/>
      <c r="W327" s="318"/>
      <c r="X327" s="318"/>
      <c r="Y327" s="394"/>
      <c r="Z327" s="318"/>
      <c r="AA327" s="318"/>
      <c r="AB327" s="318"/>
      <c r="AC327" s="318"/>
      <c r="AD327" s="318"/>
      <c r="AE327" s="394"/>
      <c r="AF327" s="394"/>
      <c r="AG327" s="318"/>
      <c r="AH327" s="318"/>
      <c r="AI327" s="318"/>
      <c r="AJ327" s="318">
        <f t="shared" si="234"/>
        <v>0</v>
      </c>
      <c r="AL327" s="115">
        <v>54404</v>
      </c>
      <c r="AM327" s="116" t="s">
        <v>329</v>
      </c>
      <c r="AN327" s="318"/>
      <c r="AO327" s="394"/>
      <c r="AP327" s="394"/>
      <c r="AQ327" s="315">
        <f>SUM(AN327:AP327)</f>
        <v>0</v>
      </c>
      <c r="AS327" s="115">
        <v>54404</v>
      </c>
      <c r="AT327" s="116" t="s">
        <v>329</v>
      </c>
      <c r="AU327" s="318"/>
      <c r="AV327" s="318"/>
      <c r="AW327" s="1083"/>
      <c r="AX327" s="318"/>
      <c r="AY327" s="318"/>
      <c r="AZ327" s="318"/>
      <c r="BA327" s="630"/>
      <c r="BB327" s="316">
        <f>SUM(AU327:AZ327)</f>
        <v>0</v>
      </c>
      <c r="BD327" s="998">
        <f t="shared" si="235"/>
        <v>0</v>
      </c>
    </row>
    <row r="328" spans="1:56" s="52" customFormat="1" ht="11.25" x14ac:dyDescent="0.2">
      <c r="A328" s="267">
        <v>545</v>
      </c>
      <c r="B328" s="121" t="s">
        <v>331</v>
      </c>
      <c r="C328" s="319">
        <f t="shared" ref="C328:N328" si="239">C329+C330+C331+C332</f>
        <v>0</v>
      </c>
      <c r="D328" s="319">
        <f t="shared" si="239"/>
        <v>0</v>
      </c>
      <c r="E328" s="319">
        <f t="shared" si="239"/>
        <v>0</v>
      </c>
      <c r="F328" s="319">
        <f t="shared" si="239"/>
        <v>0</v>
      </c>
      <c r="G328" s="319">
        <f t="shared" si="239"/>
        <v>0</v>
      </c>
      <c r="H328" s="319">
        <f t="shared" si="239"/>
        <v>0</v>
      </c>
      <c r="I328" s="319">
        <f t="shared" si="239"/>
        <v>0</v>
      </c>
      <c r="J328" s="319">
        <f t="shared" si="239"/>
        <v>0</v>
      </c>
      <c r="K328" s="319">
        <f t="shared" si="239"/>
        <v>0</v>
      </c>
      <c r="L328" s="319">
        <f t="shared" si="239"/>
        <v>0</v>
      </c>
      <c r="M328" s="319">
        <f t="shared" si="239"/>
        <v>0</v>
      </c>
      <c r="N328" s="402">
        <f t="shared" si="239"/>
        <v>0</v>
      </c>
      <c r="P328" s="267">
        <v>545</v>
      </c>
      <c r="Q328" s="121" t="s">
        <v>331</v>
      </c>
      <c r="R328" s="319">
        <f>R329+R330+R331+R332</f>
        <v>0</v>
      </c>
      <c r="S328" s="319">
        <f t="shared" ref="S328:AG328" si="240">S329+S330+S331+S332</f>
        <v>0</v>
      </c>
      <c r="T328" s="319">
        <f t="shared" si="240"/>
        <v>0</v>
      </c>
      <c r="U328" s="319">
        <f t="shared" si="240"/>
        <v>0</v>
      </c>
      <c r="V328" s="319">
        <f t="shared" si="240"/>
        <v>0</v>
      </c>
      <c r="W328" s="319">
        <f t="shared" si="240"/>
        <v>0</v>
      </c>
      <c r="X328" s="319">
        <f t="shared" si="240"/>
        <v>0</v>
      </c>
      <c r="Y328" s="319">
        <f t="shared" si="240"/>
        <v>0</v>
      </c>
      <c r="Z328" s="319">
        <f t="shared" si="240"/>
        <v>0</v>
      </c>
      <c r="AA328" s="319">
        <f t="shared" si="240"/>
        <v>0</v>
      </c>
      <c r="AB328" s="319">
        <f t="shared" si="240"/>
        <v>0</v>
      </c>
      <c r="AC328" s="319">
        <f t="shared" si="240"/>
        <v>0</v>
      </c>
      <c r="AD328" s="319">
        <f t="shared" si="240"/>
        <v>0</v>
      </c>
      <c r="AE328" s="319">
        <f t="shared" si="240"/>
        <v>0</v>
      </c>
      <c r="AF328" s="319">
        <f t="shared" si="240"/>
        <v>0</v>
      </c>
      <c r="AG328" s="319">
        <f t="shared" si="240"/>
        <v>0</v>
      </c>
      <c r="AH328" s="319"/>
      <c r="AI328" s="319"/>
      <c r="AJ328" s="319">
        <f t="shared" si="234"/>
        <v>0</v>
      </c>
      <c r="AL328" s="267">
        <v>545</v>
      </c>
      <c r="AM328" s="121" t="s">
        <v>331</v>
      </c>
      <c r="AN328" s="319">
        <f>AN329+AN330+AN331+AN332</f>
        <v>0</v>
      </c>
      <c r="AO328" s="319">
        <f>AO329+AO330+AO331+AO332</f>
        <v>0</v>
      </c>
      <c r="AP328" s="319">
        <f>AP329+AP330+AP331+AP332</f>
        <v>0</v>
      </c>
      <c r="AQ328" s="319">
        <f>AQ329+AQ330+AQ331+AQ332</f>
        <v>0</v>
      </c>
      <c r="AS328" s="267">
        <v>545</v>
      </c>
      <c r="AT328" s="121" t="s">
        <v>331</v>
      </c>
      <c r="AU328" s="319">
        <f t="shared" ref="AU328:BB328" si="241">AU329+AU330+AU331+AU332</f>
        <v>0</v>
      </c>
      <c r="AV328" s="319">
        <f t="shared" si="241"/>
        <v>0</v>
      </c>
      <c r="AW328" s="1084">
        <f t="shared" si="241"/>
        <v>0</v>
      </c>
      <c r="AX328" s="319">
        <f t="shared" si="241"/>
        <v>0</v>
      </c>
      <c r="AY328" s="319">
        <f t="shared" si="241"/>
        <v>0</v>
      </c>
      <c r="AZ328" s="319">
        <f t="shared" si="241"/>
        <v>0</v>
      </c>
      <c r="BA328" s="319">
        <f t="shared" si="241"/>
        <v>0</v>
      </c>
      <c r="BB328" s="319">
        <f t="shared" si="241"/>
        <v>0</v>
      </c>
      <c r="BD328" s="998">
        <f t="shared" si="235"/>
        <v>0</v>
      </c>
    </row>
    <row r="329" spans="1:56" s="52" customFormat="1" ht="11.25" x14ac:dyDescent="0.2">
      <c r="A329" s="115">
        <v>54503</v>
      </c>
      <c r="B329" s="116" t="s">
        <v>462</v>
      </c>
      <c r="C329" s="318"/>
      <c r="D329" s="318"/>
      <c r="E329" s="318"/>
      <c r="F329" s="318"/>
      <c r="G329" s="318"/>
      <c r="H329" s="318"/>
      <c r="I329" s="318"/>
      <c r="J329" s="318"/>
      <c r="K329" s="318"/>
      <c r="L329" s="318"/>
      <c r="M329" s="318"/>
      <c r="N329" s="406">
        <f>SUM(C329:M329)</f>
        <v>0</v>
      </c>
      <c r="P329" s="115">
        <v>54503</v>
      </c>
      <c r="Q329" s="116" t="s">
        <v>462</v>
      </c>
      <c r="R329" s="318"/>
      <c r="S329" s="318"/>
      <c r="T329" s="318"/>
      <c r="U329" s="318"/>
      <c r="V329" s="318"/>
      <c r="W329" s="318"/>
      <c r="X329" s="318"/>
      <c r="Y329" s="394"/>
      <c r="Z329" s="318"/>
      <c r="AA329" s="318"/>
      <c r="AB329" s="318"/>
      <c r="AC329" s="318"/>
      <c r="AD329" s="318"/>
      <c r="AE329" s="394"/>
      <c r="AF329" s="394"/>
      <c r="AG329" s="318"/>
      <c r="AH329" s="318"/>
      <c r="AI329" s="318"/>
      <c r="AJ329" s="318">
        <f t="shared" si="234"/>
        <v>0</v>
      </c>
      <c r="AL329" s="115">
        <v>54503</v>
      </c>
      <c r="AM329" s="116" t="s">
        <v>462</v>
      </c>
      <c r="AN329" s="318"/>
      <c r="AO329" s="394"/>
      <c r="AP329" s="394"/>
      <c r="AQ329" s="315">
        <f>SUM(AN329:AP329)</f>
        <v>0</v>
      </c>
      <c r="AS329" s="117">
        <v>54503</v>
      </c>
      <c r="AT329" s="116" t="s">
        <v>462</v>
      </c>
      <c r="AU329" s="318"/>
      <c r="AV329" s="318"/>
      <c r="AW329" s="1083"/>
      <c r="AX329" s="318"/>
      <c r="AY329" s="318"/>
      <c r="AZ329" s="318"/>
      <c r="BA329" s="630"/>
      <c r="BB329" s="316">
        <f>SUM(AU329:AZ329)</f>
        <v>0</v>
      </c>
      <c r="BD329" s="998">
        <f t="shared" si="235"/>
        <v>0</v>
      </c>
    </row>
    <row r="330" spans="1:56" s="52" customFormat="1" ht="11.25" x14ac:dyDescent="0.2">
      <c r="A330" s="115">
        <v>54505</v>
      </c>
      <c r="B330" s="116" t="s">
        <v>333</v>
      </c>
      <c r="C330" s="318"/>
      <c r="D330" s="318"/>
      <c r="E330" s="318"/>
      <c r="F330" s="318"/>
      <c r="G330" s="318"/>
      <c r="H330" s="318"/>
      <c r="I330" s="318"/>
      <c r="J330" s="318"/>
      <c r="K330" s="318"/>
      <c r="L330" s="318"/>
      <c r="M330" s="318"/>
      <c r="N330" s="406">
        <f>SUM(C330:M330)</f>
        <v>0</v>
      </c>
      <c r="P330" s="115">
        <v>54505</v>
      </c>
      <c r="Q330" s="116" t="s">
        <v>333</v>
      </c>
      <c r="R330" s="318"/>
      <c r="S330" s="318"/>
      <c r="T330" s="318"/>
      <c r="U330" s="318"/>
      <c r="V330" s="318"/>
      <c r="W330" s="318"/>
      <c r="X330" s="318"/>
      <c r="Y330" s="394"/>
      <c r="Z330" s="318"/>
      <c r="AA330" s="318"/>
      <c r="AB330" s="318"/>
      <c r="AC330" s="318"/>
      <c r="AD330" s="318"/>
      <c r="AE330" s="394"/>
      <c r="AF330" s="394"/>
      <c r="AG330" s="318"/>
      <c r="AH330" s="318"/>
      <c r="AI330" s="318"/>
      <c r="AJ330" s="318">
        <f t="shared" si="234"/>
        <v>0</v>
      </c>
      <c r="AL330" s="115">
        <v>54505</v>
      </c>
      <c r="AM330" s="116" t="s">
        <v>333</v>
      </c>
      <c r="AN330" s="318"/>
      <c r="AO330" s="394"/>
      <c r="AP330" s="394"/>
      <c r="AQ330" s="315">
        <f>SUM(AN330:AP330)</f>
        <v>0</v>
      </c>
      <c r="AS330" s="117">
        <v>54505</v>
      </c>
      <c r="AT330" s="116" t="s">
        <v>333</v>
      </c>
      <c r="AU330" s="318"/>
      <c r="AV330" s="318"/>
      <c r="AW330" s="1083"/>
      <c r="AX330" s="318"/>
      <c r="AY330" s="318"/>
      <c r="AZ330" s="318"/>
      <c r="BA330" s="630"/>
      <c r="BB330" s="316">
        <f>SUM(AU330:AZ330)</f>
        <v>0</v>
      </c>
      <c r="BD330" s="998">
        <f t="shared" si="235"/>
        <v>0</v>
      </c>
    </row>
    <row r="331" spans="1:56" s="52" customFormat="1" ht="11.25" x14ac:dyDescent="0.2">
      <c r="A331" s="115">
        <v>54507</v>
      </c>
      <c r="B331" s="116" t="s">
        <v>482</v>
      </c>
      <c r="C331" s="318"/>
      <c r="D331" s="318"/>
      <c r="E331" s="318"/>
      <c r="F331" s="318"/>
      <c r="G331" s="318"/>
      <c r="H331" s="318"/>
      <c r="I331" s="318"/>
      <c r="J331" s="318"/>
      <c r="K331" s="318"/>
      <c r="L331" s="318"/>
      <c r="M331" s="318"/>
      <c r="N331" s="406">
        <f>SUM(C331:M331)</f>
        <v>0</v>
      </c>
      <c r="P331" s="115">
        <v>54507</v>
      </c>
      <c r="Q331" s="116" t="s">
        <v>482</v>
      </c>
      <c r="R331" s="318"/>
      <c r="S331" s="318"/>
      <c r="T331" s="318"/>
      <c r="U331" s="318"/>
      <c r="V331" s="318"/>
      <c r="W331" s="318"/>
      <c r="X331" s="318"/>
      <c r="Y331" s="394"/>
      <c r="Z331" s="318"/>
      <c r="AA331" s="318"/>
      <c r="AB331" s="318"/>
      <c r="AC331" s="318"/>
      <c r="AD331" s="318"/>
      <c r="AE331" s="394"/>
      <c r="AF331" s="394"/>
      <c r="AG331" s="318"/>
      <c r="AH331" s="318"/>
      <c r="AI331" s="318"/>
      <c r="AJ331" s="318">
        <f t="shared" si="234"/>
        <v>0</v>
      </c>
      <c r="AL331" s="115">
        <v>54507</v>
      </c>
      <c r="AM331" s="116" t="s">
        <v>482</v>
      </c>
      <c r="AN331" s="318"/>
      <c r="AO331" s="394"/>
      <c r="AP331" s="394"/>
      <c r="AQ331" s="315">
        <f>SUM(AN331:AP331)</f>
        <v>0</v>
      </c>
      <c r="AS331" s="117">
        <v>54507</v>
      </c>
      <c r="AT331" s="116" t="s">
        <v>482</v>
      </c>
      <c r="AU331" s="318"/>
      <c r="AV331" s="318"/>
      <c r="AW331" s="1083"/>
      <c r="AX331" s="318"/>
      <c r="AY331" s="318"/>
      <c r="AZ331" s="318"/>
      <c r="BA331" s="630"/>
      <c r="BB331" s="316">
        <f>SUM(AU331:AZ331)</f>
        <v>0</v>
      </c>
      <c r="BD331" s="998">
        <f t="shared" si="235"/>
        <v>0</v>
      </c>
    </row>
    <row r="332" spans="1:56" s="52" customFormat="1" ht="11.25" x14ac:dyDescent="0.2">
      <c r="A332" s="115">
        <v>54508</v>
      </c>
      <c r="B332" s="116" t="s">
        <v>335</v>
      </c>
      <c r="C332" s="318"/>
      <c r="D332" s="318"/>
      <c r="E332" s="318"/>
      <c r="F332" s="318"/>
      <c r="G332" s="318"/>
      <c r="H332" s="318"/>
      <c r="I332" s="318"/>
      <c r="J332" s="318"/>
      <c r="K332" s="318"/>
      <c r="L332" s="318"/>
      <c r="M332" s="318"/>
      <c r="N332" s="406">
        <f>SUM(C332:M332)</f>
        <v>0</v>
      </c>
      <c r="P332" s="115">
        <v>54508</v>
      </c>
      <c r="Q332" s="116" t="s">
        <v>335</v>
      </c>
      <c r="R332" s="318"/>
      <c r="S332" s="318"/>
      <c r="T332" s="318"/>
      <c r="U332" s="318"/>
      <c r="V332" s="318"/>
      <c r="W332" s="318"/>
      <c r="X332" s="318"/>
      <c r="Y332" s="394"/>
      <c r="Z332" s="318"/>
      <c r="AA332" s="318"/>
      <c r="AB332" s="318"/>
      <c r="AC332" s="318"/>
      <c r="AD332" s="318"/>
      <c r="AE332" s="394"/>
      <c r="AF332" s="394"/>
      <c r="AG332" s="318"/>
      <c r="AH332" s="318"/>
      <c r="AI332" s="318"/>
      <c r="AJ332" s="318">
        <f t="shared" si="234"/>
        <v>0</v>
      </c>
      <c r="AL332" s="115">
        <v>54508</v>
      </c>
      <c r="AM332" s="116" t="s">
        <v>335</v>
      </c>
      <c r="AN332" s="318"/>
      <c r="AO332" s="394"/>
      <c r="AP332" s="394"/>
      <c r="AQ332" s="315">
        <f>SUM(AN332:AP332)</f>
        <v>0</v>
      </c>
      <c r="AS332" s="117">
        <v>54508</v>
      </c>
      <c r="AT332" s="116" t="s">
        <v>335</v>
      </c>
      <c r="AU332" s="318"/>
      <c r="AV332" s="318"/>
      <c r="AW332" s="1083"/>
      <c r="AX332" s="318"/>
      <c r="AY332" s="318"/>
      <c r="AZ332" s="318"/>
      <c r="BA332" s="630"/>
      <c r="BB332" s="316">
        <f>SUM(AU332:AZ332)</f>
        <v>0</v>
      </c>
      <c r="BD332" s="998">
        <f t="shared" si="235"/>
        <v>0</v>
      </c>
    </row>
    <row r="333" spans="1:56" s="52" customFormat="1" ht="11.25" x14ac:dyDescent="0.2">
      <c r="A333" s="267">
        <v>55</v>
      </c>
      <c r="B333" s="121" t="s">
        <v>112</v>
      </c>
      <c r="C333" s="319">
        <f t="shared" ref="C333:N333" si="242">+C334+C338</f>
        <v>0</v>
      </c>
      <c r="D333" s="318">
        <f t="shared" si="242"/>
        <v>0</v>
      </c>
      <c r="E333" s="318">
        <f t="shared" si="242"/>
        <v>0</v>
      </c>
      <c r="F333" s="318">
        <f t="shared" si="242"/>
        <v>0</v>
      </c>
      <c r="G333" s="318">
        <f t="shared" si="242"/>
        <v>0</v>
      </c>
      <c r="H333" s="318">
        <f t="shared" si="242"/>
        <v>0</v>
      </c>
      <c r="I333" s="318">
        <f t="shared" si="242"/>
        <v>0</v>
      </c>
      <c r="J333" s="318">
        <f t="shared" si="242"/>
        <v>0</v>
      </c>
      <c r="K333" s="318">
        <f t="shared" si="242"/>
        <v>0</v>
      </c>
      <c r="L333" s="318">
        <f t="shared" si="242"/>
        <v>0</v>
      </c>
      <c r="M333" s="318">
        <f t="shared" si="242"/>
        <v>0</v>
      </c>
      <c r="N333" s="402">
        <f t="shared" si="242"/>
        <v>0</v>
      </c>
      <c r="P333" s="267">
        <v>55</v>
      </c>
      <c r="Q333" s="121" t="s">
        <v>112</v>
      </c>
      <c r="R333" s="319">
        <f>+R334+R338</f>
        <v>0</v>
      </c>
      <c r="S333" s="318">
        <f>+S334+S338</f>
        <v>0</v>
      </c>
      <c r="T333" s="318">
        <f>+T334+T338</f>
        <v>0</v>
      </c>
      <c r="U333" s="318">
        <f>+U334+U338</f>
        <v>0</v>
      </c>
      <c r="V333" s="318">
        <f>+V334+V338</f>
        <v>0</v>
      </c>
      <c r="W333" s="318"/>
      <c r="X333" s="318">
        <f>+X334+X338</f>
        <v>0</v>
      </c>
      <c r="Y333" s="394">
        <f>+Y334+Y338</f>
        <v>0</v>
      </c>
      <c r="Z333" s="318">
        <f>+Z334+Z338</f>
        <v>0</v>
      </c>
      <c r="AA333" s="318">
        <f>+AA334+AA338</f>
        <v>0</v>
      </c>
      <c r="AB333" s="318">
        <f>+AB334+AB338</f>
        <v>0</v>
      </c>
      <c r="AC333" s="318"/>
      <c r="AD333" s="318">
        <f>+AD334+AD338</f>
        <v>0</v>
      </c>
      <c r="AE333" s="394">
        <f>+AE334+AE338</f>
        <v>0</v>
      </c>
      <c r="AF333" s="394">
        <f>+AF334+AF338</f>
        <v>0</v>
      </c>
      <c r="AG333" s="318">
        <f>+AG334+AG338</f>
        <v>0</v>
      </c>
      <c r="AH333" s="318"/>
      <c r="AI333" s="318"/>
      <c r="AJ333" s="318">
        <f t="shared" si="234"/>
        <v>0</v>
      </c>
      <c r="AL333" s="267">
        <v>55</v>
      </c>
      <c r="AM333" s="121" t="s">
        <v>112</v>
      </c>
      <c r="AN333" s="319">
        <f>+AN334+AN338</f>
        <v>0</v>
      </c>
      <c r="AO333" s="319">
        <f>+AO334+AO338</f>
        <v>0</v>
      </c>
      <c r="AP333" s="319">
        <f>+AP334+AP338</f>
        <v>0</v>
      </c>
      <c r="AQ333" s="319">
        <f>+AQ334+AQ338</f>
        <v>0</v>
      </c>
      <c r="AS333" s="267">
        <v>55</v>
      </c>
      <c r="AT333" s="121" t="s">
        <v>112</v>
      </c>
      <c r="AU333" s="319">
        <f t="shared" ref="AU333:BB333" si="243">+AU334+AU338</f>
        <v>0</v>
      </c>
      <c r="AV333" s="319">
        <f t="shared" si="243"/>
        <v>0</v>
      </c>
      <c r="AW333" s="1084">
        <f t="shared" si="243"/>
        <v>0</v>
      </c>
      <c r="AX333" s="319">
        <f t="shared" si="243"/>
        <v>0</v>
      </c>
      <c r="AY333" s="319">
        <f t="shared" si="243"/>
        <v>0</v>
      </c>
      <c r="AZ333" s="319">
        <f t="shared" si="243"/>
        <v>0</v>
      </c>
      <c r="BA333" s="319">
        <f t="shared" si="243"/>
        <v>0</v>
      </c>
      <c r="BB333" s="319">
        <f t="shared" si="243"/>
        <v>0</v>
      </c>
      <c r="BD333" s="998">
        <f t="shared" si="235"/>
        <v>0</v>
      </c>
    </row>
    <row r="334" spans="1:56" s="52" customFormat="1" ht="11.25" x14ac:dyDescent="0.2">
      <c r="A334" s="267">
        <v>556</v>
      </c>
      <c r="B334" s="121" t="s">
        <v>113</v>
      </c>
      <c r="C334" s="319">
        <f t="shared" ref="C334:N334" si="244">SUM(C335:C337)</f>
        <v>0</v>
      </c>
      <c r="D334" s="318">
        <f t="shared" si="244"/>
        <v>0</v>
      </c>
      <c r="E334" s="318">
        <f t="shared" si="244"/>
        <v>0</v>
      </c>
      <c r="F334" s="318">
        <f t="shared" si="244"/>
        <v>0</v>
      </c>
      <c r="G334" s="318">
        <f t="shared" si="244"/>
        <v>0</v>
      </c>
      <c r="H334" s="318">
        <f t="shared" si="244"/>
        <v>0</v>
      </c>
      <c r="I334" s="318">
        <f t="shared" si="244"/>
        <v>0</v>
      </c>
      <c r="J334" s="318">
        <f t="shared" si="244"/>
        <v>0</v>
      </c>
      <c r="K334" s="318">
        <f t="shared" si="244"/>
        <v>0</v>
      </c>
      <c r="L334" s="318">
        <f t="shared" si="244"/>
        <v>0</v>
      </c>
      <c r="M334" s="318">
        <f t="shared" si="244"/>
        <v>0</v>
      </c>
      <c r="N334" s="402">
        <f t="shared" si="244"/>
        <v>0</v>
      </c>
      <c r="P334" s="267">
        <v>556</v>
      </c>
      <c r="Q334" s="121" t="s">
        <v>113</v>
      </c>
      <c r="R334" s="319">
        <f>SUM(R335:R337)</f>
        <v>0</v>
      </c>
      <c r="S334" s="318">
        <f>SUM(S335:S337)</f>
        <v>0</v>
      </c>
      <c r="T334" s="318">
        <f>SUM(T335:T337)</f>
        <v>0</v>
      </c>
      <c r="U334" s="318">
        <f>SUM(U335:U337)</f>
        <v>0</v>
      </c>
      <c r="V334" s="318">
        <f>SUM(V335:V337)</f>
        <v>0</v>
      </c>
      <c r="W334" s="318"/>
      <c r="X334" s="318">
        <f>SUM(X335:X337)</f>
        <v>0</v>
      </c>
      <c r="Y334" s="394">
        <f>SUM(Y335:Y337)</f>
        <v>0</v>
      </c>
      <c r="Z334" s="318">
        <f>SUM(Z335:Z337)</f>
        <v>0</v>
      </c>
      <c r="AA334" s="318">
        <f>SUM(AA335:AA337)</f>
        <v>0</v>
      </c>
      <c r="AB334" s="318">
        <f>SUM(AB335:AB337)</f>
        <v>0</v>
      </c>
      <c r="AC334" s="318"/>
      <c r="AD334" s="318">
        <f>SUM(AD335:AD337)</f>
        <v>0</v>
      </c>
      <c r="AE334" s="394">
        <f>SUM(AE335:AE337)</f>
        <v>0</v>
      </c>
      <c r="AF334" s="394">
        <f>SUM(AF335:AF337)</f>
        <v>0</v>
      </c>
      <c r="AG334" s="318">
        <f>SUM(AG335:AG337)</f>
        <v>0</v>
      </c>
      <c r="AH334" s="318"/>
      <c r="AI334" s="318"/>
      <c r="AJ334" s="318">
        <f t="shared" si="234"/>
        <v>0</v>
      </c>
      <c r="AL334" s="267">
        <v>556</v>
      </c>
      <c r="AM334" s="121" t="s">
        <v>113</v>
      </c>
      <c r="AN334" s="319">
        <f>SUM(AN335:AN337)</f>
        <v>0</v>
      </c>
      <c r="AO334" s="319">
        <f>SUM(AO335:AO337)</f>
        <v>0</v>
      </c>
      <c r="AP334" s="319">
        <f>SUM(AP335:AP337)</f>
        <v>0</v>
      </c>
      <c r="AQ334" s="319">
        <f>SUM(AQ335:AQ337)</f>
        <v>0</v>
      </c>
      <c r="AS334" s="267">
        <v>556</v>
      </c>
      <c r="AT334" s="121" t="s">
        <v>113</v>
      </c>
      <c r="AU334" s="319">
        <f t="shared" ref="AU334:BB334" si="245">SUM(AU335:AU337)</f>
        <v>0</v>
      </c>
      <c r="AV334" s="319">
        <f t="shared" si="245"/>
        <v>0</v>
      </c>
      <c r="AW334" s="1084">
        <f t="shared" si="245"/>
        <v>0</v>
      </c>
      <c r="AX334" s="319">
        <f t="shared" si="245"/>
        <v>0</v>
      </c>
      <c r="AY334" s="319">
        <f t="shared" si="245"/>
        <v>0</v>
      </c>
      <c r="AZ334" s="319">
        <f t="shared" si="245"/>
        <v>0</v>
      </c>
      <c r="BA334" s="319">
        <f t="shared" si="245"/>
        <v>0</v>
      </c>
      <c r="BB334" s="319">
        <f t="shared" si="245"/>
        <v>0</v>
      </c>
      <c r="BD334" s="998">
        <f t="shared" si="235"/>
        <v>0</v>
      </c>
    </row>
    <row r="335" spans="1:56" s="52" customFormat="1" ht="11.25" x14ac:dyDescent="0.2">
      <c r="A335" s="115">
        <v>55601</v>
      </c>
      <c r="B335" s="116" t="s">
        <v>336</v>
      </c>
      <c r="C335" s="318"/>
      <c r="D335" s="318"/>
      <c r="E335" s="318"/>
      <c r="F335" s="318"/>
      <c r="G335" s="318"/>
      <c r="H335" s="318"/>
      <c r="I335" s="318"/>
      <c r="J335" s="318"/>
      <c r="K335" s="318"/>
      <c r="L335" s="318"/>
      <c r="M335" s="318"/>
      <c r="N335" s="406">
        <f>SUM(C335:M335)</f>
        <v>0</v>
      </c>
      <c r="P335" s="115">
        <v>55601</v>
      </c>
      <c r="Q335" s="116" t="s">
        <v>336</v>
      </c>
      <c r="R335" s="318"/>
      <c r="S335" s="318"/>
      <c r="T335" s="318"/>
      <c r="U335" s="318"/>
      <c r="V335" s="318"/>
      <c r="W335" s="318"/>
      <c r="X335" s="318"/>
      <c r="Y335" s="394"/>
      <c r="Z335" s="318"/>
      <c r="AA335" s="318"/>
      <c r="AB335" s="318"/>
      <c r="AC335" s="318"/>
      <c r="AD335" s="318"/>
      <c r="AE335" s="394"/>
      <c r="AF335" s="394"/>
      <c r="AG335" s="318"/>
      <c r="AH335" s="318"/>
      <c r="AI335" s="318"/>
      <c r="AJ335" s="318">
        <f t="shared" si="234"/>
        <v>0</v>
      </c>
      <c r="AL335" s="115">
        <v>55601</v>
      </c>
      <c r="AM335" s="116" t="s">
        <v>336</v>
      </c>
      <c r="AN335" s="318"/>
      <c r="AO335" s="394"/>
      <c r="AP335" s="394"/>
      <c r="AQ335" s="315">
        <f>SUM(AN335:AP335)</f>
        <v>0</v>
      </c>
      <c r="AS335" s="115">
        <v>55601</v>
      </c>
      <c r="AT335" s="116" t="s">
        <v>336</v>
      </c>
      <c r="AU335" s="318"/>
      <c r="AV335" s="318"/>
      <c r="AW335" s="1083"/>
      <c r="AX335" s="318"/>
      <c r="AY335" s="318"/>
      <c r="AZ335" s="318"/>
      <c r="BA335" s="630"/>
      <c r="BB335" s="316">
        <f>SUM(AU335:AZ335)</f>
        <v>0</v>
      </c>
      <c r="BD335" s="998">
        <f t="shared" si="235"/>
        <v>0</v>
      </c>
    </row>
    <row r="336" spans="1:56" s="52" customFormat="1" ht="11.25" x14ac:dyDescent="0.2">
      <c r="A336" s="115">
        <v>55602</v>
      </c>
      <c r="B336" s="116" t="s">
        <v>337</v>
      </c>
      <c r="C336" s="318"/>
      <c r="D336" s="318"/>
      <c r="E336" s="318"/>
      <c r="F336" s="318"/>
      <c r="G336" s="318"/>
      <c r="H336" s="318"/>
      <c r="I336" s="318"/>
      <c r="J336" s="318"/>
      <c r="K336" s="318"/>
      <c r="L336" s="318"/>
      <c r="M336" s="318"/>
      <c r="N336" s="406">
        <f>SUM(C336:M336)</f>
        <v>0</v>
      </c>
      <c r="P336" s="115">
        <v>55602</v>
      </c>
      <c r="Q336" s="116" t="s">
        <v>337</v>
      </c>
      <c r="R336" s="318"/>
      <c r="S336" s="318"/>
      <c r="T336" s="318"/>
      <c r="U336" s="318"/>
      <c r="V336" s="318"/>
      <c r="W336" s="318"/>
      <c r="X336" s="318"/>
      <c r="Y336" s="394"/>
      <c r="Z336" s="318"/>
      <c r="AA336" s="318"/>
      <c r="AB336" s="318"/>
      <c r="AC336" s="318"/>
      <c r="AD336" s="318"/>
      <c r="AE336" s="394"/>
      <c r="AF336" s="394"/>
      <c r="AG336" s="318"/>
      <c r="AH336" s="318"/>
      <c r="AI336" s="318"/>
      <c r="AJ336" s="318">
        <f t="shared" si="234"/>
        <v>0</v>
      </c>
      <c r="AL336" s="115">
        <v>55602</v>
      </c>
      <c r="AM336" s="116" t="s">
        <v>337</v>
      </c>
      <c r="AN336" s="318"/>
      <c r="AO336" s="394"/>
      <c r="AP336" s="394"/>
      <c r="AQ336" s="315">
        <f>SUM(AN336:AP336)</f>
        <v>0</v>
      </c>
      <c r="AS336" s="115">
        <v>55602</v>
      </c>
      <c r="AT336" s="116" t="s">
        <v>337</v>
      </c>
      <c r="AU336" s="318"/>
      <c r="AV336" s="318"/>
      <c r="AW336" s="1083"/>
      <c r="AX336" s="318"/>
      <c r="AY336" s="318"/>
      <c r="AZ336" s="318"/>
      <c r="BA336" s="630"/>
      <c r="BB336" s="316">
        <f>SUM(AU336:AZ336)</f>
        <v>0</v>
      </c>
      <c r="BD336" s="998">
        <f t="shared" si="235"/>
        <v>0</v>
      </c>
    </row>
    <row r="337" spans="1:56" s="52" customFormat="1" ht="11.25" x14ac:dyDescent="0.2">
      <c r="A337" s="115">
        <v>55603</v>
      </c>
      <c r="B337" s="116" t="s">
        <v>338</v>
      </c>
      <c r="C337" s="318"/>
      <c r="D337" s="318"/>
      <c r="E337" s="318"/>
      <c r="F337" s="318"/>
      <c r="G337" s="318"/>
      <c r="H337" s="318"/>
      <c r="I337" s="318"/>
      <c r="J337" s="318"/>
      <c r="K337" s="318"/>
      <c r="L337" s="318"/>
      <c r="M337" s="318"/>
      <c r="N337" s="406">
        <f>SUM(C337:M337)</f>
        <v>0</v>
      </c>
      <c r="O337" s="270"/>
      <c r="P337" s="115">
        <v>55603</v>
      </c>
      <c r="Q337" s="116" t="s">
        <v>338</v>
      </c>
      <c r="R337" s="318"/>
      <c r="S337" s="318"/>
      <c r="T337" s="318"/>
      <c r="U337" s="318"/>
      <c r="V337" s="318"/>
      <c r="W337" s="318"/>
      <c r="X337" s="318"/>
      <c r="Y337" s="394"/>
      <c r="Z337" s="318"/>
      <c r="AA337" s="318"/>
      <c r="AB337" s="318"/>
      <c r="AC337" s="318"/>
      <c r="AD337" s="318"/>
      <c r="AE337" s="394"/>
      <c r="AF337" s="394"/>
      <c r="AG337" s="318"/>
      <c r="AH337" s="318"/>
      <c r="AI337" s="318"/>
      <c r="AJ337" s="318">
        <f t="shared" si="234"/>
        <v>0</v>
      </c>
      <c r="AL337" s="115">
        <v>55603</v>
      </c>
      <c r="AM337" s="116" t="s">
        <v>338</v>
      </c>
      <c r="AN337" s="318"/>
      <c r="AO337" s="394"/>
      <c r="AP337" s="394"/>
      <c r="AQ337" s="315">
        <f>SUM(AN337:AP337)</f>
        <v>0</v>
      </c>
      <c r="AS337" s="115">
        <v>55603</v>
      </c>
      <c r="AT337" s="116" t="s">
        <v>338</v>
      </c>
      <c r="AU337" s="318"/>
      <c r="AV337" s="318"/>
      <c r="AW337" s="1083"/>
      <c r="AX337" s="318"/>
      <c r="AY337" s="318"/>
      <c r="AZ337" s="318"/>
      <c r="BA337" s="630"/>
      <c r="BB337" s="316">
        <f>SUM(AU337:AZ337)</f>
        <v>0</v>
      </c>
      <c r="BD337" s="998">
        <f t="shared" si="235"/>
        <v>0</v>
      </c>
    </row>
    <row r="338" spans="1:56" s="52" customFormat="1" ht="11.25" x14ac:dyDescent="0.2">
      <c r="A338" s="267">
        <v>557</v>
      </c>
      <c r="B338" s="121" t="s">
        <v>114</v>
      </c>
      <c r="C338" s="319">
        <f>SUM(C339:C339)</f>
        <v>0</v>
      </c>
      <c r="D338" s="319">
        <f t="shared" ref="D338:N338" si="246">SUM(D339:D339)</f>
        <v>0</v>
      </c>
      <c r="E338" s="319">
        <f t="shared" si="246"/>
        <v>0</v>
      </c>
      <c r="F338" s="319">
        <f t="shared" si="246"/>
        <v>0</v>
      </c>
      <c r="G338" s="319">
        <f t="shared" si="246"/>
        <v>0</v>
      </c>
      <c r="H338" s="319">
        <f t="shared" si="246"/>
        <v>0</v>
      </c>
      <c r="I338" s="319">
        <f t="shared" si="246"/>
        <v>0</v>
      </c>
      <c r="J338" s="319">
        <f t="shared" si="246"/>
        <v>0</v>
      </c>
      <c r="K338" s="319">
        <f t="shared" si="246"/>
        <v>0</v>
      </c>
      <c r="L338" s="319">
        <f t="shared" si="246"/>
        <v>0</v>
      </c>
      <c r="M338" s="319">
        <f t="shared" si="246"/>
        <v>0</v>
      </c>
      <c r="N338" s="402">
        <f t="shared" si="246"/>
        <v>0</v>
      </c>
      <c r="O338" s="270"/>
      <c r="P338" s="267">
        <v>557</v>
      </c>
      <c r="Q338" s="121" t="s">
        <v>114</v>
      </c>
      <c r="R338" s="319">
        <f t="shared" ref="R338:AG338" si="247">SUM(R339:R339)</f>
        <v>0</v>
      </c>
      <c r="S338" s="319">
        <f t="shared" si="247"/>
        <v>0</v>
      </c>
      <c r="T338" s="319">
        <f t="shared" si="247"/>
        <v>0</v>
      </c>
      <c r="U338" s="319">
        <f t="shared" si="247"/>
        <v>0</v>
      </c>
      <c r="V338" s="319">
        <f t="shared" si="247"/>
        <v>0</v>
      </c>
      <c r="W338" s="319"/>
      <c r="X338" s="319">
        <f t="shared" si="247"/>
        <v>0</v>
      </c>
      <c r="Y338" s="859">
        <f t="shared" si="247"/>
        <v>0</v>
      </c>
      <c r="Z338" s="319">
        <f t="shared" si="247"/>
        <v>0</v>
      </c>
      <c r="AA338" s="319">
        <f t="shared" si="247"/>
        <v>0</v>
      </c>
      <c r="AB338" s="319">
        <f t="shared" si="247"/>
        <v>0</v>
      </c>
      <c r="AC338" s="319"/>
      <c r="AD338" s="319">
        <f t="shared" si="247"/>
        <v>0</v>
      </c>
      <c r="AE338" s="859">
        <f t="shared" si="247"/>
        <v>0</v>
      </c>
      <c r="AF338" s="859">
        <f t="shared" si="247"/>
        <v>0</v>
      </c>
      <c r="AG338" s="319">
        <f t="shared" si="247"/>
        <v>0</v>
      </c>
      <c r="AH338" s="319"/>
      <c r="AI338" s="319"/>
      <c r="AJ338" s="319">
        <f t="shared" si="234"/>
        <v>0</v>
      </c>
      <c r="AL338" s="267">
        <v>557</v>
      </c>
      <c r="AM338" s="121" t="s">
        <v>114</v>
      </c>
      <c r="AN338" s="319">
        <f>SUM(AN339:AN339)</f>
        <v>0</v>
      </c>
      <c r="AO338" s="319">
        <f>SUM(AO339:AO339)</f>
        <v>0</v>
      </c>
      <c r="AP338" s="319">
        <f>SUM(AP339:AP339)</f>
        <v>0</v>
      </c>
      <c r="AQ338" s="319">
        <f>SUM(AQ339:AQ339)</f>
        <v>0</v>
      </c>
      <c r="AS338" s="267">
        <v>557</v>
      </c>
      <c r="AT338" s="121" t="s">
        <v>114</v>
      </c>
      <c r="AU338" s="319">
        <f t="shared" ref="AU338:BB338" si="248">SUM(AU339:AU339)</f>
        <v>0</v>
      </c>
      <c r="AV338" s="319">
        <f t="shared" si="248"/>
        <v>0</v>
      </c>
      <c r="AW338" s="1084">
        <f t="shared" si="248"/>
        <v>0</v>
      </c>
      <c r="AX338" s="319">
        <f t="shared" si="248"/>
        <v>0</v>
      </c>
      <c r="AY338" s="319">
        <f t="shared" si="248"/>
        <v>0</v>
      </c>
      <c r="AZ338" s="319">
        <f t="shared" si="248"/>
        <v>0</v>
      </c>
      <c r="BA338" s="319">
        <f t="shared" si="248"/>
        <v>0</v>
      </c>
      <c r="BB338" s="319">
        <f t="shared" si="248"/>
        <v>0</v>
      </c>
      <c r="BD338" s="998">
        <f t="shared" si="235"/>
        <v>0</v>
      </c>
    </row>
    <row r="339" spans="1:56" s="52" customFormat="1" x14ac:dyDescent="0.2">
      <c r="A339" s="115">
        <v>55799</v>
      </c>
      <c r="B339" s="116" t="s">
        <v>339</v>
      </c>
      <c r="C339" s="318"/>
      <c r="D339" s="318"/>
      <c r="E339" s="318"/>
      <c r="F339" s="318"/>
      <c r="G339" s="318"/>
      <c r="H339" s="318"/>
      <c r="I339" s="318"/>
      <c r="J339" s="318"/>
      <c r="K339" s="318"/>
      <c r="L339" s="318"/>
      <c r="M339" s="318"/>
      <c r="N339" s="744">
        <f>SUM(C339:M339)</f>
        <v>0</v>
      </c>
      <c r="O339" s="51"/>
      <c r="P339" s="115">
        <v>55799</v>
      </c>
      <c r="Q339" s="116" t="s">
        <v>339</v>
      </c>
      <c r="R339" s="318"/>
      <c r="S339" s="318"/>
      <c r="T339" s="318"/>
      <c r="U339" s="318"/>
      <c r="V339" s="318"/>
      <c r="W339" s="318"/>
      <c r="X339" s="318"/>
      <c r="Y339" s="394"/>
      <c r="Z339" s="318"/>
      <c r="AA339" s="318"/>
      <c r="AB339" s="318"/>
      <c r="AC339" s="318"/>
      <c r="AD339" s="318"/>
      <c r="AE339" s="394"/>
      <c r="AF339" s="394"/>
      <c r="AG339" s="318"/>
      <c r="AH339" s="318"/>
      <c r="AI339" s="318"/>
      <c r="AJ339" s="318">
        <f t="shared" si="234"/>
        <v>0</v>
      </c>
      <c r="AK339" s="30"/>
      <c r="AL339" s="115">
        <v>55799</v>
      </c>
      <c r="AM339" s="116" t="s">
        <v>339</v>
      </c>
      <c r="AN339" s="318"/>
      <c r="AO339" s="394"/>
      <c r="AP339" s="394"/>
      <c r="AQ339" s="315">
        <f>SUM(AN339:AP339)</f>
        <v>0</v>
      </c>
      <c r="AS339" s="115">
        <v>55799</v>
      </c>
      <c r="AT339" s="116" t="s">
        <v>339</v>
      </c>
      <c r="AU339" s="318"/>
      <c r="AV339" s="318"/>
      <c r="AW339" s="1083"/>
      <c r="AX339" s="318"/>
      <c r="AY339" s="318"/>
      <c r="AZ339" s="318"/>
      <c r="BA339" s="630"/>
      <c r="BB339" s="316">
        <f>SUM(AW341:AZ341)</f>
        <v>0</v>
      </c>
      <c r="BD339" s="998">
        <f t="shared" si="235"/>
        <v>0</v>
      </c>
    </row>
    <row r="340" spans="1:56" s="52" customFormat="1" x14ac:dyDescent="0.2">
      <c r="A340" s="267">
        <v>56</v>
      </c>
      <c r="B340" s="121" t="s">
        <v>115</v>
      </c>
      <c r="C340" s="743">
        <f t="shared" ref="C340:L340" si="249">C341+C343</f>
        <v>0</v>
      </c>
      <c r="D340" s="319">
        <f t="shared" si="249"/>
        <v>0</v>
      </c>
      <c r="E340" s="319">
        <f t="shared" si="249"/>
        <v>0</v>
      </c>
      <c r="F340" s="319">
        <f t="shared" si="249"/>
        <v>0</v>
      </c>
      <c r="G340" s="319">
        <f t="shared" si="249"/>
        <v>0</v>
      </c>
      <c r="H340" s="319">
        <f t="shared" si="249"/>
        <v>0</v>
      </c>
      <c r="I340" s="319">
        <f t="shared" si="249"/>
        <v>0</v>
      </c>
      <c r="J340" s="319">
        <f t="shared" si="249"/>
        <v>0</v>
      </c>
      <c r="K340" s="319">
        <f t="shared" si="249"/>
        <v>0</v>
      </c>
      <c r="L340" s="319">
        <f t="shared" si="249"/>
        <v>0</v>
      </c>
      <c r="M340" s="319">
        <f>M341+M343</f>
        <v>0</v>
      </c>
      <c r="N340" s="743">
        <f>N341+N343</f>
        <v>0</v>
      </c>
      <c r="O340" s="51"/>
      <c r="P340" s="267">
        <v>56</v>
      </c>
      <c r="Q340" s="121" t="s">
        <v>115</v>
      </c>
      <c r="R340" s="319">
        <f>R341+R343</f>
        <v>0</v>
      </c>
      <c r="S340" s="318">
        <f t="shared" ref="S340:AG340" si="250">S341</f>
        <v>0</v>
      </c>
      <c r="T340" s="318">
        <f t="shared" si="250"/>
        <v>0</v>
      </c>
      <c r="U340" s="318">
        <f t="shared" si="250"/>
        <v>0</v>
      </c>
      <c r="V340" s="318">
        <f t="shared" si="250"/>
        <v>0</v>
      </c>
      <c r="W340" s="318"/>
      <c r="X340" s="318">
        <f t="shared" si="250"/>
        <v>0</v>
      </c>
      <c r="Y340" s="394">
        <f t="shared" si="250"/>
        <v>0</v>
      </c>
      <c r="Z340" s="318">
        <f t="shared" si="250"/>
        <v>0</v>
      </c>
      <c r="AA340" s="318">
        <f t="shared" si="250"/>
        <v>0</v>
      </c>
      <c r="AB340" s="318">
        <f t="shared" si="250"/>
        <v>0</v>
      </c>
      <c r="AC340" s="318"/>
      <c r="AD340" s="318">
        <f t="shared" si="250"/>
        <v>0</v>
      </c>
      <c r="AE340" s="394">
        <f t="shared" si="250"/>
        <v>0</v>
      </c>
      <c r="AF340" s="394">
        <f t="shared" si="250"/>
        <v>0</v>
      </c>
      <c r="AG340" s="318">
        <f t="shared" si="250"/>
        <v>0</v>
      </c>
      <c r="AH340" s="318"/>
      <c r="AI340" s="318"/>
      <c r="AJ340" s="318">
        <f t="shared" si="234"/>
        <v>0</v>
      </c>
      <c r="AK340" s="30"/>
      <c r="AL340" s="267">
        <v>56</v>
      </c>
      <c r="AM340" s="121" t="s">
        <v>115</v>
      </c>
      <c r="AN340" s="319">
        <f>AN341+AN343</f>
        <v>0</v>
      </c>
      <c r="AO340" s="319">
        <f>AO341+AO343</f>
        <v>0</v>
      </c>
      <c r="AP340" s="319">
        <f>AP341+AP343</f>
        <v>0</v>
      </c>
      <c r="AQ340" s="319">
        <f>AQ341+AQ343</f>
        <v>0</v>
      </c>
      <c r="AS340" s="267">
        <v>56</v>
      </c>
      <c r="AT340" s="121" t="s">
        <v>115</v>
      </c>
      <c r="AU340" s="319">
        <f t="shared" ref="AU340:BB340" si="251">AU341+AU343</f>
        <v>0</v>
      </c>
      <c r="AV340" s="319">
        <f t="shared" si="251"/>
        <v>0</v>
      </c>
      <c r="AW340" s="1084">
        <f t="shared" si="251"/>
        <v>0</v>
      </c>
      <c r="AX340" s="319">
        <f t="shared" si="251"/>
        <v>0</v>
      </c>
      <c r="AY340" s="319">
        <f t="shared" si="251"/>
        <v>0</v>
      </c>
      <c r="AZ340" s="319">
        <f t="shared" si="251"/>
        <v>0</v>
      </c>
      <c r="BA340" s="319">
        <f t="shared" si="251"/>
        <v>0</v>
      </c>
      <c r="BB340" s="319">
        <f t="shared" si="251"/>
        <v>0</v>
      </c>
      <c r="BD340" s="998">
        <f t="shared" si="235"/>
        <v>0</v>
      </c>
    </row>
    <row r="341" spans="1:56" x14ac:dyDescent="0.2">
      <c r="A341" s="267">
        <v>562</v>
      </c>
      <c r="B341" s="121" t="s">
        <v>344</v>
      </c>
      <c r="C341" s="319">
        <f>SUM(C342)</f>
        <v>0</v>
      </c>
      <c r="D341" s="319">
        <f t="shared" ref="D341:N341" si="252">SUM(D342)</f>
        <v>0</v>
      </c>
      <c r="E341" s="319">
        <f t="shared" si="252"/>
        <v>0</v>
      </c>
      <c r="F341" s="319">
        <f t="shared" si="252"/>
        <v>0</v>
      </c>
      <c r="G341" s="319">
        <f t="shared" si="252"/>
        <v>0</v>
      </c>
      <c r="H341" s="319">
        <f t="shared" si="252"/>
        <v>0</v>
      </c>
      <c r="I341" s="319">
        <f t="shared" si="252"/>
        <v>0</v>
      </c>
      <c r="J341" s="319">
        <f t="shared" si="252"/>
        <v>0</v>
      </c>
      <c r="K341" s="319">
        <f t="shared" si="252"/>
        <v>0</v>
      </c>
      <c r="L341" s="319">
        <f t="shared" si="252"/>
        <v>0</v>
      </c>
      <c r="M341" s="319">
        <f t="shared" si="252"/>
        <v>0</v>
      </c>
      <c r="N341" s="745">
        <f t="shared" si="252"/>
        <v>0</v>
      </c>
      <c r="P341" s="267">
        <v>562</v>
      </c>
      <c r="Q341" s="121" t="s">
        <v>344</v>
      </c>
      <c r="R341" s="319">
        <f>SUM(R342)</f>
        <v>0</v>
      </c>
      <c r="S341" s="319">
        <f t="shared" ref="S341:AG341" si="253">SUM(S342)</f>
        <v>0</v>
      </c>
      <c r="T341" s="319">
        <f t="shared" si="253"/>
        <v>0</v>
      </c>
      <c r="U341" s="319">
        <f t="shared" si="253"/>
        <v>0</v>
      </c>
      <c r="V341" s="319">
        <f t="shared" si="253"/>
        <v>0</v>
      </c>
      <c r="W341" s="319"/>
      <c r="X341" s="319">
        <f t="shared" si="253"/>
        <v>0</v>
      </c>
      <c r="Y341" s="859">
        <f t="shared" si="253"/>
        <v>0</v>
      </c>
      <c r="Z341" s="319">
        <f t="shared" si="253"/>
        <v>0</v>
      </c>
      <c r="AA341" s="319">
        <f t="shared" si="253"/>
        <v>0</v>
      </c>
      <c r="AB341" s="319">
        <f t="shared" si="253"/>
        <v>0</v>
      </c>
      <c r="AC341" s="319"/>
      <c r="AD341" s="319">
        <f t="shared" si="253"/>
        <v>0</v>
      </c>
      <c r="AE341" s="859">
        <f t="shared" si="253"/>
        <v>0</v>
      </c>
      <c r="AF341" s="859">
        <f t="shared" si="253"/>
        <v>0</v>
      </c>
      <c r="AG341" s="319">
        <f t="shared" si="253"/>
        <v>0</v>
      </c>
      <c r="AH341" s="319"/>
      <c r="AI341" s="319"/>
      <c r="AJ341" s="319">
        <f t="shared" si="234"/>
        <v>0</v>
      </c>
      <c r="AL341" s="267">
        <v>562</v>
      </c>
      <c r="AM341" s="121" t="s">
        <v>344</v>
      </c>
      <c r="AN341" s="319">
        <f>SUM(AN342)</f>
        <v>0</v>
      </c>
      <c r="AO341" s="319">
        <f>SUM(AO342)</f>
        <v>0</v>
      </c>
      <c r="AP341" s="319">
        <f>SUM(AP342)</f>
        <v>0</v>
      </c>
      <c r="AQ341" s="319">
        <f>SUM(AQ342)</f>
        <v>0</v>
      </c>
      <c r="AS341" s="267">
        <v>562</v>
      </c>
      <c r="AT341" s="121" t="s">
        <v>344</v>
      </c>
      <c r="AU341" s="319">
        <f t="shared" ref="AU341:BB341" si="254">SUM(AU342)</f>
        <v>0</v>
      </c>
      <c r="AV341" s="319">
        <f t="shared" si="254"/>
        <v>0</v>
      </c>
      <c r="AW341" s="1084">
        <f t="shared" si="254"/>
        <v>0</v>
      </c>
      <c r="AX341" s="319">
        <f t="shared" si="254"/>
        <v>0</v>
      </c>
      <c r="AY341" s="319">
        <f t="shared" si="254"/>
        <v>0</v>
      </c>
      <c r="AZ341" s="319">
        <f t="shared" si="254"/>
        <v>0</v>
      </c>
      <c r="BA341" s="319">
        <f t="shared" si="254"/>
        <v>0</v>
      </c>
      <c r="BB341" s="319">
        <f t="shared" si="254"/>
        <v>0</v>
      </c>
      <c r="BD341" s="998">
        <f t="shared" si="235"/>
        <v>0</v>
      </c>
    </row>
    <row r="342" spans="1:56" x14ac:dyDescent="0.2">
      <c r="A342" s="115">
        <v>56201</v>
      </c>
      <c r="B342" s="116" t="s">
        <v>340</v>
      </c>
      <c r="C342" s="719"/>
      <c r="D342" s="318"/>
      <c r="E342" s="318"/>
      <c r="F342" s="318"/>
      <c r="G342" s="318"/>
      <c r="H342" s="318"/>
      <c r="I342" s="318"/>
      <c r="J342" s="318"/>
      <c r="K342" s="318"/>
      <c r="L342" s="318"/>
      <c r="M342" s="318"/>
      <c r="N342" s="744">
        <f>SUM(C342:M342)</f>
        <v>0</v>
      </c>
      <c r="P342" s="115">
        <v>56201</v>
      </c>
      <c r="Q342" s="116" t="s">
        <v>340</v>
      </c>
      <c r="R342" s="318"/>
      <c r="S342" s="318"/>
      <c r="T342" s="318"/>
      <c r="U342" s="318"/>
      <c r="V342" s="318"/>
      <c r="W342" s="318"/>
      <c r="X342" s="318"/>
      <c r="Y342" s="394"/>
      <c r="Z342" s="318"/>
      <c r="AA342" s="318"/>
      <c r="AB342" s="318"/>
      <c r="AC342" s="318"/>
      <c r="AD342" s="318"/>
      <c r="AE342" s="394"/>
      <c r="AF342" s="394"/>
      <c r="AG342" s="318"/>
      <c r="AH342" s="318"/>
      <c r="AI342" s="318"/>
      <c r="AJ342" s="318">
        <f t="shared" si="234"/>
        <v>0</v>
      </c>
      <c r="AL342" s="115">
        <v>56201</v>
      </c>
      <c r="AM342" s="116" t="s">
        <v>340</v>
      </c>
      <c r="AN342" s="318"/>
      <c r="AO342" s="394"/>
      <c r="AP342" s="394"/>
      <c r="AQ342" s="315">
        <f>SUM(AN342:AP342)</f>
        <v>0</v>
      </c>
      <c r="AS342" s="115">
        <v>56201</v>
      </c>
      <c r="AT342" s="116" t="s">
        <v>340</v>
      </c>
      <c r="AU342" s="318"/>
      <c r="AV342" s="318"/>
      <c r="AW342" s="1083"/>
      <c r="AX342" s="318"/>
      <c r="AY342" s="318"/>
      <c r="AZ342" s="318"/>
      <c r="BA342" s="630"/>
      <c r="BB342" s="316">
        <f>SUM(AW344:AZ344)</f>
        <v>0</v>
      </c>
      <c r="BD342" s="998">
        <f t="shared" si="235"/>
        <v>0</v>
      </c>
    </row>
    <row r="343" spans="1:56" x14ac:dyDescent="0.2">
      <c r="A343" s="267">
        <v>563</v>
      </c>
      <c r="B343" s="121" t="s">
        <v>345</v>
      </c>
      <c r="C343" s="743">
        <f t="shared" ref="C343:H343" si="255">C344+C345+C346</f>
        <v>0</v>
      </c>
      <c r="D343" s="319">
        <f t="shared" si="255"/>
        <v>0</v>
      </c>
      <c r="E343" s="319">
        <f t="shared" si="255"/>
        <v>0</v>
      </c>
      <c r="F343" s="319">
        <f t="shared" si="255"/>
        <v>0</v>
      </c>
      <c r="G343" s="319">
        <f t="shared" si="255"/>
        <v>0</v>
      </c>
      <c r="H343" s="319">
        <f t="shared" si="255"/>
        <v>0</v>
      </c>
      <c r="I343" s="319">
        <f t="shared" ref="I343:N343" si="256">I344+I345+I346</f>
        <v>0</v>
      </c>
      <c r="J343" s="319">
        <f t="shared" si="256"/>
        <v>0</v>
      </c>
      <c r="K343" s="319">
        <f t="shared" si="256"/>
        <v>0</v>
      </c>
      <c r="L343" s="319">
        <f t="shared" si="256"/>
        <v>0</v>
      </c>
      <c r="M343" s="319">
        <f t="shared" si="256"/>
        <v>0</v>
      </c>
      <c r="N343" s="745">
        <f t="shared" si="256"/>
        <v>0</v>
      </c>
      <c r="P343" s="267">
        <v>563</v>
      </c>
      <c r="Q343" s="121" t="s">
        <v>345</v>
      </c>
      <c r="R343" s="319">
        <f>R344+R345+R346</f>
        <v>0</v>
      </c>
      <c r="S343" s="319">
        <f>S344+S345+S346</f>
        <v>0</v>
      </c>
      <c r="T343" s="319">
        <f>T344+T345+T346</f>
        <v>0</v>
      </c>
      <c r="U343" s="319">
        <f>U344+U345+U346</f>
        <v>0</v>
      </c>
      <c r="V343" s="319">
        <f>V344+V345+V346</f>
        <v>0</v>
      </c>
      <c r="W343" s="319"/>
      <c r="X343" s="319">
        <f>X344+X345+X346</f>
        <v>0</v>
      </c>
      <c r="Y343" s="859">
        <f>Y344+Y345+Y346</f>
        <v>0</v>
      </c>
      <c r="Z343" s="319">
        <f>Z344+Z345+Z346</f>
        <v>0</v>
      </c>
      <c r="AA343" s="319">
        <f>AA344+AA345+AA346</f>
        <v>0</v>
      </c>
      <c r="AB343" s="319">
        <f>AB344+AB345+AB346</f>
        <v>0</v>
      </c>
      <c r="AC343" s="319"/>
      <c r="AD343" s="319">
        <f>AD344+AD345+AD346</f>
        <v>0</v>
      </c>
      <c r="AE343" s="859">
        <f>AE344+AE345+AE346</f>
        <v>0</v>
      </c>
      <c r="AF343" s="859">
        <f>AF344+AF345+AF346</f>
        <v>0</v>
      </c>
      <c r="AG343" s="319">
        <f>AG344+AG345+AG346</f>
        <v>0</v>
      </c>
      <c r="AH343" s="319"/>
      <c r="AI343" s="319"/>
      <c r="AJ343" s="319">
        <f t="shared" si="234"/>
        <v>0</v>
      </c>
      <c r="AL343" s="267">
        <v>563</v>
      </c>
      <c r="AM343" s="121" t="s">
        <v>345</v>
      </c>
      <c r="AN343" s="319">
        <f>AN344+AN345+AN346</f>
        <v>0</v>
      </c>
      <c r="AO343" s="319">
        <f>AO344+AO345+AO346</f>
        <v>0</v>
      </c>
      <c r="AP343" s="319">
        <f>AP344+AP345+AP346</f>
        <v>0</v>
      </c>
      <c r="AQ343" s="319">
        <f>AQ344+AQ345+AQ346</f>
        <v>0</v>
      </c>
      <c r="AS343" s="267">
        <v>563</v>
      </c>
      <c r="AT343" s="121" t="s">
        <v>345</v>
      </c>
      <c r="AU343" s="319">
        <f t="shared" ref="AU343:BB343" si="257">AU344+AU345+AU346</f>
        <v>0</v>
      </c>
      <c r="AV343" s="319">
        <f t="shared" si="257"/>
        <v>0</v>
      </c>
      <c r="AW343" s="1084">
        <f t="shared" si="257"/>
        <v>0</v>
      </c>
      <c r="AX343" s="319">
        <f t="shared" si="257"/>
        <v>0</v>
      </c>
      <c r="AY343" s="319">
        <f t="shared" si="257"/>
        <v>0</v>
      </c>
      <c r="AZ343" s="319">
        <f t="shared" si="257"/>
        <v>0</v>
      </c>
      <c r="BA343" s="319">
        <f t="shared" si="257"/>
        <v>0</v>
      </c>
      <c r="BB343" s="319">
        <f t="shared" si="257"/>
        <v>0</v>
      </c>
      <c r="BD343" s="998">
        <f t="shared" si="235"/>
        <v>0</v>
      </c>
    </row>
    <row r="344" spans="1:56" x14ac:dyDescent="0.2">
      <c r="A344" s="115">
        <v>56303</v>
      </c>
      <c r="B344" s="116" t="s">
        <v>341</v>
      </c>
      <c r="C344" s="719"/>
      <c r="D344" s="318"/>
      <c r="E344" s="318"/>
      <c r="F344" s="318"/>
      <c r="G344" s="318"/>
      <c r="H344" s="318"/>
      <c r="I344" s="318"/>
      <c r="J344" s="318"/>
      <c r="K344" s="318"/>
      <c r="L344" s="318"/>
      <c r="M344" s="318"/>
      <c r="N344" s="744">
        <f>SUM(C344:M344)</f>
        <v>0</v>
      </c>
      <c r="O344" s="275"/>
      <c r="P344" s="115">
        <v>56303</v>
      </c>
      <c r="Q344" s="116" t="s">
        <v>341</v>
      </c>
      <c r="R344" s="318"/>
      <c r="S344" s="318"/>
      <c r="T344" s="318"/>
      <c r="U344" s="318"/>
      <c r="V344" s="318"/>
      <c r="W344" s="318"/>
      <c r="X344" s="318"/>
      <c r="Y344" s="394"/>
      <c r="Z344" s="318"/>
      <c r="AA344" s="318"/>
      <c r="AB344" s="318"/>
      <c r="AC344" s="318"/>
      <c r="AD344" s="318"/>
      <c r="AE344" s="394"/>
      <c r="AF344" s="394"/>
      <c r="AG344" s="318"/>
      <c r="AH344" s="318"/>
      <c r="AI344" s="318"/>
      <c r="AJ344" s="318">
        <f t="shared" si="234"/>
        <v>0</v>
      </c>
      <c r="AK344" s="80"/>
      <c r="AL344" s="115">
        <v>56303</v>
      </c>
      <c r="AM344" s="116" t="s">
        <v>341</v>
      </c>
      <c r="AN344" s="318"/>
      <c r="AO344" s="394"/>
      <c r="AP344" s="394"/>
      <c r="AQ344" s="315">
        <f>SUM(AN344:AP344)</f>
        <v>0</v>
      </c>
      <c r="AS344" s="115">
        <v>56303</v>
      </c>
      <c r="AT344" s="116" t="s">
        <v>341</v>
      </c>
      <c r="AU344" s="318"/>
      <c r="AV344" s="318"/>
      <c r="AW344" s="1083"/>
      <c r="AX344" s="318"/>
      <c r="AY344" s="318"/>
      <c r="AZ344" s="318"/>
      <c r="BA344" s="630"/>
      <c r="BB344" s="316">
        <f>SUM(AW344:AZ344)</f>
        <v>0</v>
      </c>
      <c r="BD344" s="998">
        <f t="shared" si="235"/>
        <v>0</v>
      </c>
    </row>
    <row r="345" spans="1:56" x14ac:dyDescent="0.2">
      <c r="A345" s="115">
        <v>56304</v>
      </c>
      <c r="B345" s="116" t="s">
        <v>342</v>
      </c>
      <c r="C345" s="318"/>
      <c r="D345" s="318"/>
      <c r="E345" s="318"/>
      <c r="F345" s="318"/>
      <c r="G345" s="318"/>
      <c r="H345" s="318"/>
      <c r="I345" s="318"/>
      <c r="J345" s="318"/>
      <c r="K345" s="318"/>
      <c r="L345" s="318"/>
      <c r="M345" s="318"/>
      <c r="N345" s="744">
        <f>SUM(C345:M345)</f>
        <v>0</v>
      </c>
      <c r="O345" s="257"/>
      <c r="P345" s="115">
        <v>56304</v>
      </c>
      <c r="Q345" s="116" t="s">
        <v>342</v>
      </c>
      <c r="R345" s="318"/>
      <c r="S345" s="318"/>
      <c r="T345" s="318"/>
      <c r="U345" s="318"/>
      <c r="V345" s="318"/>
      <c r="W345" s="318"/>
      <c r="X345" s="318"/>
      <c r="Y345" s="394"/>
      <c r="Z345" s="318"/>
      <c r="AA345" s="318"/>
      <c r="AB345" s="318"/>
      <c r="AC345" s="318"/>
      <c r="AD345" s="318"/>
      <c r="AE345" s="394"/>
      <c r="AF345" s="394"/>
      <c r="AG345" s="318"/>
      <c r="AH345" s="318"/>
      <c r="AI345" s="318"/>
      <c r="AJ345" s="318">
        <f t="shared" si="234"/>
        <v>0</v>
      </c>
      <c r="AL345" s="115">
        <v>56304</v>
      </c>
      <c r="AM345" s="116" t="s">
        <v>342</v>
      </c>
      <c r="AN345" s="318"/>
      <c r="AO345" s="394"/>
      <c r="AP345" s="394"/>
      <c r="AQ345" s="315">
        <f>SUM(AN345:AP345)</f>
        <v>0</v>
      </c>
      <c r="AS345" s="115">
        <v>56304</v>
      </c>
      <c r="AT345" s="116" t="s">
        <v>342</v>
      </c>
      <c r="AU345" s="318"/>
      <c r="AV345" s="318"/>
      <c r="AW345" s="1083"/>
      <c r="AX345" s="318"/>
      <c r="AY345" s="318"/>
      <c r="AZ345" s="318"/>
      <c r="BA345" s="630"/>
      <c r="BB345" s="316">
        <f>SUM(AW345:AZ345)</f>
        <v>0</v>
      </c>
      <c r="BD345" s="998">
        <f t="shared" si="235"/>
        <v>0</v>
      </c>
    </row>
    <row r="346" spans="1:56" s="80" customFormat="1" ht="10.5" customHeight="1" x14ac:dyDescent="0.2">
      <c r="A346" s="147">
        <v>56305</v>
      </c>
      <c r="B346" s="148" t="s">
        <v>343</v>
      </c>
      <c r="C346" s="320"/>
      <c r="D346" s="320"/>
      <c r="E346" s="320"/>
      <c r="F346" s="320"/>
      <c r="G346" s="320"/>
      <c r="H346" s="320"/>
      <c r="I346" s="320"/>
      <c r="J346" s="320"/>
      <c r="K346" s="320"/>
      <c r="L346" s="320"/>
      <c r="M346" s="320"/>
      <c r="N346" s="406">
        <f>SUM(C346:M346)</f>
        <v>0</v>
      </c>
      <c r="O346" s="266"/>
      <c r="P346" s="147">
        <v>56305</v>
      </c>
      <c r="Q346" s="148" t="s">
        <v>343</v>
      </c>
      <c r="R346" s="320"/>
      <c r="S346" s="320"/>
      <c r="T346" s="320"/>
      <c r="U346" s="320"/>
      <c r="V346" s="320"/>
      <c r="W346" s="320"/>
      <c r="X346" s="320"/>
      <c r="Y346" s="395"/>
      <c r="Z346" s="320"/>
      <c r="AA346" s="320"/>
      <c r="AB346" s="320"/>
      <c r="AC346" s="320"/>
      <c r="AD346" s="320"/>
      <c r="AE346" s="395"/>
      <c r="AF346" s="395"/>
      <c r="AG346" s="320"/>
      <c r="AH346" s="320"/>
      <c r="AI346" s="320"/>
      <c r="AJ346" s="320">
        <f t="shared" si="234"/>
        <v>0</v>
      </c>
      <c r="AK346" s="52"/>
      <c r="AL346" s="147">
        <v>56305</v>
      </c>
      <c r="AM346" s="148" t="s">
        <v>343</v>
      </c>
      <c r="AN346" s="320"/>
      <c r="AO346" s="395"/>
      <c r="AP346" s="395"/>
      <c r="AQ346" s="315">
        <f>SUM(AN346:AP346)</f>
        <v>0</v>
      </c>
      <c r="AS346" s="147">
        <v>56305</v>
      </c>
      <c r="AT346" s="148" t="s">
        <v>343</v>
      </c>
      <c r="AU346" s="320"/>
      <c r="AV346" s="320"/>
      <c r="AW346" s="1085"/>
      <c r="AX346" s="320"/>
      <c r="AY346" s="320"/>
      <c r="AZ346" s="320"/>
      <c r="BA346" s="631"/>
      <c r="BB346" s="316">
        <f>SUM(AW346:AZ346)</f>
        <v>0</v>
      </c>
      <c r="BD346" s="998">
        <f t="shared" si="235"/>
        <v>0</v>
      </c>
    </row>
    <row r="347" spans="1:56" s="52" customFormat="1" ht="11.25" x14ac:dyDescent="0.2">
      <c r="A347" s="267">
        <v>611</v>
      </c>
      <c r="B347" s="121" t="s">
        <v>403</v>
      </c>
      <c r="C347" s="319">
        <f t="shared" ref="C347:M347" si="258">SUM(C348:C352)</f>
        <v>0</v>
      </c>
      <c r="D347" s="319">
        <f t="shared" si="258"/>
        <v>0</v>
      </c>
      <c r="E347" s="319">
        <f t="shared" si="258"/>
        <v>0</v>
      </c>
      <c r="F347" s="319">
        <f t="shared" si="258"/>
        <v>0</v>
      </c>
      <c r="G347" s="319">
        <f t="shared" si="258"/>
        <v>0</v>
      </c>
      <c r="H347" s="319">
        <f t="shared" si="258"/>
        <v>0</v>
      </c>
      <c r="I347" s="319">
        <f t="shared" si="258"/>
        <v>0</v>
      </c>
      <c r="J347" s="858">
        <f t="shared" si="258"/>
        <v>0</v>
      </c>
      <c r="K347" s="858">
        <f t="shared" si="258"/>
        <v>0</v>
      </c>
      <c r="L347" s="858">
        <f t="shared" si="258"/>
        <v>0</v>
      </c>
      <c r="M347" s="319">
        <f t="shared" si="258"/>
        <v>0</v>
      </c>
      <c r="N347" s="319">
        <f>SUM(N348:N352)</f>
        <v>0</v>
      </c>
      <c r="O347" s="219"/>
      <c r="P347" s="267">
        <v>611</v>
      </c>
      <c r="Q347" s="121" t="s">
        <v>403</v>
      </c>
      <c r="R347" s="319">
        <f t="shared" ref="R347:AG347" si="259">R348+R349+R352</f>
        <v>0</v>
      </c>
      <c r="S347" s="319">
        <f t="shared" si="259"/>
        <v>0</v>
      </c>
      <c r="T347" s="319">
        <f t="shared" si="259"/>
        <v>0</v>
      </c>
      <c r="U347" s="319">
        <f t="shared" si="259"/>
        <v>0</v>
      </c>
      <c r="V347" s="319">
        <f t="shared" si="259"/>
        <v>0</v>
      </c>
      <c r="W347" s="319">
        <f t="shared" si="259"/>
        <v>0</v>
      </c>
      <c r="X347" s="319">
        <f t="shared" si="259"/>
        <v>0</v>
      </c>
      <c r="Y347" s="319">
        <f t="shared" si="259"/>
        <v>0</v>
      </c>
      <c r="Z347" s="319">
        <f t="shared" si="259"/>
        <v>0</v>
      </c>
      <c r="AA347" s="319">
        <f t="shared" si="259"/>
        <v>0</v>
      </c>
      <c r="AB347" s="319">
        <f t="shared" si="259"/>
        <v>0</v>
      </c>
      <c r="AC347" s="319">
        <f t="shared" si="259"/>
        <v>0</v>
      </c>
      <c r="AD347" s="319">
        <f t="shared" si="259"/>
        <v>0</v>
      </c>
      <c r="AE347" s="319">
        <f t="shared" si="259"/>
        <v>0</v>
      </c>
      <c r="AF347" s="319">
        <f t="shared" si="259"/>
        <v>0</v>
      </c>
      <c r="AG347" s="319">
        <f t="shared" si="259"/>
        <v>0</v>
      </c>
      <c r="AH347" s="319"/>
      <c r="AI347" s="319"/>
      <c r="AJ347" s="319">
        <f t="shared" si="234"/>
        <v>0</v>
      </c>
      <c r="AL347" s="267">
        <v>611</v>
      </c>
      <c r="AM347" s="121" t="s">
        <v>403</v>
      </c>
      <c r="AN347" s="319">
        <f>AN348+AN349+AN352+AN351</f>
        <v>0</v>
      </c>
      <c r="AO347" s="319">
        <f>AO348+AO349+AO352+AO351</f>
        <v>0</v>
      </c>
      <c r="AP347" s="319">
        <f>AP348+AP349+AP352+AP351</f>
        <v>0</v>
      </c>
      <c r="AQ347" s="319">
        <f>AQ348+AQ349+AQ352+AQ351</f>
        <v>0</v>
      </c>
      <c r="AS347" s="267">
        <v>611</v>
      </c>
      <c r="AT347" s="121" t="s">
        <v>403</v>
      </c>
      <c r="AU347" s="319">
        <f t="shared" ref="AU347:BB347" si="260">AU348+AU349+AU352</f>
        <v>0</v>
      </c>
      <c r="AV347" s="319">
        <f t="shared" si="260"/>
        <v>0</v>
      </c>
      <c r="AW347" s="1084">
        <f t="shared" si="260"/>
        <v>0</v>
      </c>
      <c r="AX347" s="319">
        <f t="shared" si="260"/>
        <v>0</v>
      </c>
      <c r="AY347" s="319">
        <f t="shared" si="260"/>
        <v>0</v>
      </c>
      <c r="AZ347" s="319">
        <f t="shared" si="260"/>
        <v>0</v>
      </c>
      <c r="BA347" s="319">
        <f t="shared" si="260"/>
        <v>0</v>
      </c>
      <c r="BB347" s="402">
        <f t="shared" si="260"/>
        <v>0</v>
      </c>
      <c r="BD347" s="998">
        <f t="shared" ref="BD347:BD358" si="261">BB347+AQ347+AJ347+N347</f>
        <v>0</v>
      </c>
    </row>
    <row r="348" spans="1:56" s="52" customFormat="1" ht="11.25" x14ac:dyDescent="0.2">
      <c r="A348" s="115">
        <v>61101</v>
      </c>
      <c r="B348" s="116" t="s">
        <v>605</v>
      </c>
      <c r="C348" s="318"/>
      <c r="D348" s="318"/>
      <c r="E348" s="318"/>
      <c r="F348" s="318"/>
      <c r="G348" s="318"/>
      <c r="H348" s="719"/>
      <c r="I348" s="318"/>
      <c r="J348" s="811"/>
      <c r="K348" s="318"/>
      <c r="L348" s="318"/>
      <c r="M348" s="318"/>
      <c r="N348" s="316">
        <f>SUM(C348:M348)</f>
        <v>0</v>
      </c>
      <c r="O348" s="219"/>
      <c r="P348" s="115">
        <v>61101</v>
      </c>
      <c r="Q348" s="116" t="s">
        <v>605</v>
      </c>
      <c r="R348" s="318"/>
      <c r="S348" s="318"/>
      <c r="T348" s="318"/>
      <c r="U348" s="318"/>
      <c r="V348" s="318"/>
      <c r="W348" s="318"/>
      <c r="X348" s="318"/>
      <c r="Y348" s="394"/>
      <c r="Z348" s="318"/>
      <c r="AA348" s="318"/>
      <c r="AB348" s="318"/>
      <c r="AC348" s="318"/>
      <c r="AD348" s="318"/>
      <c r="AE348" s="394"/>
      <c r="AF348" s="394"/>
      <c r="AG348" s="318"/>
      <c r="AH348" s="318"/>
      <c r="AI348" s="318"/>
      <c r="AJ348" s="318">
        <f t="shared" si="234"/>
        <v>0</v>
      </c>
      <c r="AL348" s="115">
        <v>61101</v>
      </c>
      <c r="AM348" s="116" t="s">
        <v>605</v>
      </c>
      <c r="AN348" s="318"/>
      <c r="AO348" s="394"/>
      <c r="AP348" s="394"/>
      <c r="AQ348" s="315">
        <f>SUM(AN348:AP348)</f>
        <v>0</v>
      </c>
      <c r="AS348" s="115">
        <v>61101</v>
      </c>
      <c r="AT348" s="116" t="s">
        <v>605</v>
      </c>
      <c r="AU348" s="724"/>
      <c r="AV348" s="724"/>
      <c r="AW348" s="1083"/>
      <c r="AX348" s="318"/>
      <c r="AY348" s="318"/>
      <c r="AZ348" s="318"/>
      <c r="BA348" s="630"/>
      <c r="BB348" s="406">
        <f>SUM(AU348:AZ348)</f>
        <v>0</v>
      </c>
      <c r="BD348" s="998">
        <f t="shared" si="261"/>
        <v>0</v>
      </c>
    </row>
    <row r="349" spans="1:56" s="52" customFormat="1" ht="11.25" x14ac:dyDescent="0.2">
      <c r="A349" s="115">
        <v>61102</v>
      </c>
      <c r="B349" s="116" t="s">
        <v>606</v>
      </c>
      <c r="C349" s="318"/>
      <c r="D349" s="318"/>
      <c r="E349" s="318"/>
      <c r="F349" s="318"/>
      <c r="G349" s="318"/>
      <c r="H349" s="719"/>
      <c r="I349" s="318"/>
      <c r="J349" s="811"/>
      <c r="K349" s="318"/>
      <c r="L349" s="318"/>
      <c r="M349" s="318"/>
      <c r="N349" s="316">
        <f>SUM(C349:M349)</f>
        <v>0</v>
      </c>
      <c r="O349" s="219"/>
      <c r="P349" s="115">
        <v>61102</v>
      </c>
      <c r="Q349" s="116" t="s">
        <v>606</v>
      </c>
      <c r="R349" s="318"/>
      <c r="S349" s="318"/>
      <c r="T349" s="318"/>
      <c r="U349" s="318"/>
      <c r="V349" s="318"/>
      <c r="W349" s="318"/>
      <c r="X349" s="318"/>
      <c r="Y349" s="394"/>
      <c r="Z349" s="318"/>
      <c r="AA349" s="318"/>
      <c r="AB349" s="318"/>
      <c r="AC349" s="318"/>
      <c r="AD349" s="318"/>
      <c r="AE349" s="394"/>
      <c r="AF349" s="394"/>
      <c r="AG349" s="318"/>
      <c r="AH349" s="318"/>
      <c r="AI349" s="318"/>
      <c r="AJ349" s="318">
        <f t="shared" si="234"/>
        <v>0</v>
      </c>
      <c r="AL349" s="115">
        <v>61102</v>
      </c>
      <c r="AM349" s="116" t="s">
        <v>606</v>
      </c>
      <c r="AN349" s="318"/>
      <c r="AO349" s="394"/>
      <c r="AP349" s="394"/>
      <c r="AQ349" s="315">
        <f>SUM(AN349:AP349)</f>
        <v>0</v>
      </c>
      <c r="AS349" s="115">
        <v>61102</v>
      </c>
      <c r="AT349" s="116" t="s">
        <v>606</v>
      </c>
      <c r="AU349" s="724"/>
      <c r="AV349" s="724"/>
      <c r="AW349" s="1083"/>
      <c r="AX349" s="318"/>
      <c r="AY349" s="318"/>
      <c r="AZ349" s="318"/>
      <c r="BA349" s="630"/>
      <c r="BB349" s="406">
        <f>SUM(AU349:AZ349)</f>
        <v>0</v>
      </c>
      <c r="BD349" s="998">
        <f t="shared" si="261"/>
        <v>0</v>
      </c>
    </row>
    <row r="350" spans="1:56" s="52" customFormat="1" ht="11.25" x14ac:dyDescent="0.2">
      <c r="A350" s="147">
        <v>61105</v>
      </c>
      <c r="B350" s="148" t="s">
        <v>785</v>
      </c>
      <c r="C350" s="318"/>
      <c r="D350" s="320"/>
      <c r="E350" s="320"/>
      <c r="F350" s="320"/>
      <c r="G350" s="320"/>
      <c r="H350" s="721"/>
      <c r="I350" s="320"/>
      <c r="J350" s="812"/>
      <c r="K350" s="320"/>
      <c r="L350" s="320"/>
      <c r="M350" s="320"/>
      <c r="N350" s="316"/>
      <c r="O350" s="227"/>
      <c r="P350" s="147">
        <v>61105</v>
      </c>
      <c r="Q350" s="148" t="s">
        <v>785</v>
      </c>
      <c r="R350" s="320"/>
      <c r="S350" s="320"/>
      <c r="T350" s="320"/>
      <c r="U350" s="320"/>
      <c r="V350" s="320"/>
      <c r="W350" s="320"/>
      <c r="X350" s="320"/>
      <c r="Y350" s="395"/>
      <c r="Z350" s="320"/>
      <c r="AA350" s="320"/>
      <c r="AB350" s="320"/>
      <c r="AC350" s="320"/>
      <c r="AD350" s="320"/>
      <c r="AE350" s="395"/>
      <c r="AF350" s="395"/>
      <c r="AG350" s="320"/>
      <c r="AH350" s="320"/>
      <c r="AI350" s="320"/>
      <c r="AJ350" s="320"/>
      <c r="AL350" s="147">
        <v>61105</v>
      </c>
      <c r="AM350" s="148" t="s">
        <v>785</v>
      </c>
      <c r="AN350" s="320"/>
      <c r="AO350" s="395"/>
      <c r="AP350" s="395"/>
      <c r="AQ350" s="315"/>
      <c r="AS350" s="147">
        <v>61105</v>
      </c>
      <c r="AT350" s="148" t="s">
        <v>785</v>
      </c>
      <c r="AU350" s="727"/>
      <c r="AV350" s="727"/>
      <c r="AW350" s="1085"/>
      <c r="AX350" s="320"/>
      <c r="AY350" s="320"/>
      <c r="AZ350" s="320"/>
      <c r="BA350" s="631"/>
      <c r="BB350" s="406"/>
      <c r="BD350" s="998">
        <f t="shared" si="261"/>
        <v>0</v>
      </c>
    </row>
    <row r="351" spans="1:56" s="52" customFormat="1" ht="11.25" x14ac:dyDescent="0.2">
      <c r="A351" s="147">
        <v>61104</v>
      </c>
      <c r="B351" s="148" t="s">
        <v>607</v>
      </c>
      <c r="C351" s="318"/>
      <c r="D351" s="320"/>
      <c r="E351" s="320"/>
      <c r="F351" s="320"/>
      <c r="G351" s="320"/>
      <c r="H351" s="721"/>
      <c r="I351" s="320"/>
      <c r="J351" s="812"/>
      <c r="K351" s="320"/>
      <c r="L351" s="320"/>
      <c r="M351" s="320"/>
      <c r="N351" s="316">
        <f t="shared" ref="N351:N357" si="262">SUM(C351:M351)</f>
        <v>0</v>
      </c>
      <c r="O351" s="219"/>
      <c r="P351" s="147">
        <v>61104</v>
      </c>
      <c r="Q351" s="148" t="s">
        <v>607</v>
      </c>
      <c r="R351" s="320"/>
      <c r="S351" s="320"/>
      <c r="T351" s="320"/>
      <c r="U351" s="320"/>
      <c r="V351" s="320"/>
      <c r="W351" s="320"/>
      <c r="X351" s="320"/>
      <c r="Y351" s="395"/>
      <c r="Z351" s="320"/>
      <c r="AA351" s="320"/>
      <c r="AB351" s="320"/>
      <c r="AC351" s="320"/>
      <c r="AD351" s="320"/>
      <c r="AE351" s="395"/>
      <c r="AF351" s="395"/>
      <c r="AG351" s="320"/>
      <c r="AH351" s="320"/>
      <c r="AI351" s="320"/>
      <c r="AJ351" s="320">
        <f>SUM(R351:AG351)</f>
        <v>0</v>
      </c>
      <c r="AL351" s="147">
        <v>61104</v>
      </c>
      <c r="AM351" s="148" t="s">
        <v>607</v>
      </c>
      <c r="AN351" s="320"/>
      <c r="AO351" s="395"/>
      <c r="AP351" s="395"/>
      <c r="AQ351" s="315">
        <f>SUM(AN351:AP351)</f>
        <v>0</v>
      </c>
      <c r="AS351" s="147">
        <v>61104</v>
      </c>
      <c r="AT351" s="148" t="s">
        <v>607</v>
      </c>
      <c r="AU351" s="320"/>
      <c r="AV351" s="320"/>
      <c r="AW351" s="1085"/>
      <c r="AX351" s="320"/>
      <c r="AY351" s="320"/>
      <c r="AZ351" s="320"/>
      <c r="BA351" s="631"/>
      <c r="BB351" s="406">
        <f>SUM(AU351:AZ351)</f>
        <v>0</v>
      </c>
      <c r="BD351" s="876">
        <f t="shared" si="261"/>
        <v>0</v>
      </c>
    </row>
    <row r="352" spans="1:56" s="52" customFormat="1" ht="11.25" x14ac:dyDescent="0.2">
      <c r="A352" s="117">
        <v>61199</v>
      </c>
      <c r="B352" s="116" t="s">
        <v>608</v>
      </c>
      <c r="C352" s="318"/>
      <c r="D352" s="318"/>
      <c r="E352" s="318"/>
      <c r="F352" s="318"/>
      <c r="G352" s="318"/>
      <c r="H352" s="719"/>
      <c r="I352" s="318"/>
      <c r="J352" s="811"/>
      <c r="K352" s="318"/>
      <c r="L352" s="318"/>
      <c r="M352" s="318"/>
      <c r="N352" s="318">
        <f t="shared" si="262"/>
        <v>0</v>
      </c>
      <c r="O352" s="203"/>
      <c r="P352" s="117">
        <v>61199</v>
      </c>
      <c r="Q352" s="116" t="s">
        <v>608</v>
      </c>
      <c r="R352" s="318"/>
      <c r="S352" s="318"/>
      <c r="T352" s="318"/>
      <c r="U352" s="318"/>
      <c r="V352" s="318"/>
      <c r="W352" s="318"/>
      <c r="X352" s="318"/>
      <c r="Y352" s="318"/>
      <c r="Z352" s="318"/>
      <c r="AA352" s="318"/>
      <c r="AB352" s="318"/>
      <c r="AC352" s="318"/>
      <c r="AD352" s="318"/>
      <c r="AE352" s="318"/>
      <c r="AF352" s="318"/>
      <c r="AG352" s="318"/>
      <c r="AH352" s="318"/>
      <c r="AI352" s="318"/>
      <c r="AJ352" s="318">
        <f>SUM(R352:AG352)</f>
        <v>0</v>
      </c>
      <c r="AL352" s="117">
        <v>61199</v>
      </c>
      <c r="AM352" s="116" t="s">
        <v>608</v>
      </c>
      <c r="AN352" s="318"/>
      <c r="AO352" s="318"/>
      <c r="AP352" s="318"/>
      <c r="AQ352" s="315">
        <f>SUM(AN352:AP352)</f>
        <v>0</v>
      </c>
      <c r="AS352" s="117">
        <v>61199</v>
      </c>
      <c r="AT352" s="116" t="s">
        <v>608</v>
      </c>
      <c r="AU352" s="318"/>
      <c r="AV352" s="318"/>
      <c r="AW352" s="1083"/>
      <c r="AX352" s="318"/>
      <c r="AY352" s="318"/>
      <c r="AZ352" s="318"/>
      <c r="BA352" s="318"/>
      <c r="BB352" s="318">
        <f>SUM(AU352:AZ352)</f>
        <v>0</v>
      </c>
      <c r="BD352" s="998">
        <f t="shared" si="261"/>
        <v>0</v>
      </c>
    </row>
    <row r="353" spans="1:56" s="52" customFormat="1" ht="11.25" x14ac:dyDescent="0.2">
      <c r="A353" s="117">
        <v>61403</v>
      </c>
      <c r="B353" s="116" t="s">
        <v>778</v>
      </c>
      <c r="C353" s="318"/>
      <c r="D353" s="318"/>
      <c r="E353" s="318"/>
      <c r="F353" s="318"/>
      <c r="G353" s="318"/>
      <c r="H353" s="719"/>
      <c r="I353" s="318"/>
      <c r="J353" s="811"/>
      <c r="K353" s="318"/>
      <c r="L353" s="318"/>
      <c r="M353" s="318"/>
      <c r="N353" s="318">
        <f t="shared" si="262"/>
        <v>0</v>
      </c>
      <c r="O353" s="203"/>
      <c r="P353" s="739">
        <v>61403</v>
      </c>
      <c r="Q353" s="116" t="s">
        <v>778</v>
      </c>
      <c r="R353" s="318"/>
      <c r="S353" s="318"/>
      <c r="T353" s="318"/>
      <c r="U353" s="318"/>
      <c r="V353" s="318"/>
      <c r="W353" s="318"/>
      <c r="X353" s="318"/>
      <c r="Y353" s="318"/>
      <c r="Z353" s="318"/>
      <c r="AA353" s="318"/>
      <c r="AB353" s="318"/>
      <c r="AC353" s="318"/>
      <c r="AD353" s="318"/>
      <c r="AE353" s="318"/>
      <c r="AF353" s="318"/>
      <c r="AG353" s="318"/>
      <c r="AH353" s="318"/>
      <c r="AI353" s="318"/>
      <c r="AJ353" s="318"/>
      <c r="AL353" s="739">
        <v>61403</v>
      </c>
      <c r="AM353" s="116" t="s">
        <v>778</v>
      </c>
      <c r="AN353" s="318"/>
      <c r="AO353" s="318"/>
      <c r="AP353" s="318"/>
      <c r="AQ353" s="315"/>
      <c r="AS353" s="739">
        <v>61403</v>
      </c>
      <c r="AT353" s="116" t="s">
        <v>778</v>
      </c>
      <c r="AU353" s="318"/>
      <c r="AV353" s="318"/>
      <c r="AW353" s="1083"/>
      <c r="AX353" s="318"/>
      <c r="AY353" s="318"/>
      <c r="AZ353" s="318"/>
      <c r="BA353" s="318"/>
      <c r="BB353" s="318"/>
      <c r="BD353" s="998">
        <f t="shared" si="261"/>
        <v>0</v>
      </c>
    </row>
    <row r="354" spans="1:56" s="52" customFormat="1" ht="11.25" customHeight="1" x14ac:dyDescent="0.2">
      <c r="A354" s="967">
        <v>721</v>
      </c>
      <c r="B354" s="968" t="s">
        <v>801</v>
      </c>
      <c r="C354" s="318">
        <f>SUM(C355)</f>
        <v>0</v>
      </c>
      <c r="D354" s="318"/>
      <c r="E354" s="318"/>
      <c r="F354" s="318"/>
      <c r="G354" s="318"/>
      <c r="H354" s="719"/>
      <c r="I354" s="318"/>
      <c r="J354" s="811"/>
      <c r="K354" s="318"/>
      <c r="L354" s="318"/>
      <c r="M354" s="318"/>
      <c r="N354" s="319">
        <f t="shared" si="262"/>
        <v>0</v>
      </c>
      <c r="O354" s="203"/>
      <c r="P354" s="976">
        <v>721</v>
      </c>
      <c r="Q354" s="974" t="s">
        <v>801</v>
      </c>
      <c r="R354" s="318"/>
      <c r="S354" s="318"/>
      <c r="T354" s="318"/>
      <c r="U354" s="318"/>
      <c r="V354" s="318"/>
      <c r="W354" s="318"/>
      <c r="X354" s="318"/>
      <c r="Y354" s="318"/>
      <c r="Z354" s="318"/>
      <c r="AA354" s="318"/>
      <c r="AB354" s="318"/>
      <c r="AC354" s="318"/>
      <c r="AD354" s="318"/>
      <c r="AE354" s="318"/>
      <c r="AF354" s="318"/>
      <c r="AG354" s="318"/>
      <c r="AH354" s="318"/>
      <c r="AI354" s="318"/>
      <c r="AJ354" s="318"/>
      <c r="AL354" s="976">
        <v>721</v>
      </c>
      <c r="AM354" s="974" t="s">
        <v>801</v>
      </c>
      <c r="AN354" s="318"/>
      <c r="AO354" s="318"/>
      <c r="AP354" s="318"/>
      <c r="AQ354" s="315"/>
      <c r="AS354" s="976">
        <v>721</v>
      </c>
      <c r="AT354" s="974" t="s">
        <v>801</v>
      </c>
      <c r="AU354" s="318"/>
      <c r="AV354" s="318"/>
      <c r="AW354" s="1083"/>
      <c r="AX354" s="318"/>
      <c r="AY354" s="318"/>
      <c r="AZ354" s="318"/>
      <c r="BA354" s="318"/>
      <c r="BB354" s="318"/>
      <c r="BD354" s="998">
        <f t="shared" si="261"/>
        <v>0</v>
      </c>
    </row>
    <row r="355" spans="1:56" s="52" customFormat="1" ht="11.25" x14ac:dyDescent="0.2">
      <c r="A355" s="739">
        <v>72101</v>
      </c>
      <c r="B355" s="969" t="s">
        <v>801</v>
      </c>
      <c r="C355" s="318"/>
      <c r="D355" s="318"/>
      <c r="E355" s="318"/>
      <c r="F355" s="318"/>
      <c r="G355" s="318"/>
      <c r="H355" s="719"/>
      <c r="I355" s="318"/>
      <c r="J355" s="811"/>
      <c r="K355" s="318"/>
      <c r="L355" s="318"/>
      <c r="M355" s="318"/>
      <c r="N355" s="318">
        <f t="shared" si="262"/>
        <v>0</v>
      </c>
      <c r="O355" s="203"/>
      <c r="P355" s="976">
        <v>72101</v>
      </c>
      <c r="Q355" s="974" t="s">
        <v>801</v>
      </c>
      <c r="R355" s="318"/>
      <c r="S355" s="318"/>
      <c r="T355" s="318"/>
      <c r="U355" s="318"/>
      <c r="V355" s="318"/>
      <c r="W355" s="318"/>
      <c r="X355" s="318"/>
      <c r="Y355" s="318"/>
      <c r="Z355" s="318"/>
      <c r="AA355" s="318"/>
      <c r="AB355" s="318"/>
      <c r="AC355" s="318"/>
      <c r="AD355" s="318"/>
      <c r="AE355" s="318"/>
      <c r="AF355" s="318"/>
      <c r="AG355" s="318"/>
      <c r="AH355" s="318"/>
      <c r="AI355" s="318"/>
      <c r="AJ355" s="318"/>
      <c r="AL355" s="976">
        <v>72101</v>
      </c>
      <c r="AM355" s="974" t="s">
        <v>801</v>
      </c>
      <c r="AN355" s="318"/>
      <c r="AO355" s="318"/>
      <c r="AP355" s="318"/>
      <c r="AQ355" s="315"/>
      <c r="AS355" s="976">
        <v>72101</v>
      </c>
      <c r="AT355" s="974" t="s">
        <v>801</v>
      </c>
      <c r="AU355" s="318"/>
      <c r="AV355" s="318"/>
      <c r="AW355" s="1083"/>
      <c r="AX355" s="318"/>
      <c r="AY355" s="318"/>
      <c r="AZ355" s="318"/>
      <c r="BA355" s="318"/>
      <c r="BB355" s="318"/>
      <c r="BD355" s="998">
        <f t="shared" si="261"/>
        <v>0</v>
      </c>
    </row>
    <row r="356" spans="1:56" s="52" customFormat="1" ht="22.5" x14ac:dyDescent="0.2">
      <c r="A356" s="967">
        <v>722</v>
      </c>
      <c r="B356" s="968" t="s">
        <v>810</v>
      </c>
      <c r="C356" s="318">
        <f>SUM(C357)</f>
        <v>0</v>
      </c>
      <c r="D356" s="318"/>
      <c r="E356" s="318"/>
      <c r="F356" s="318"/>
      <c r="G356" s="318"/>
      <c r="H356" s="719"/>
      <c r="I356" s="318"/>
      <c r="J356" s="811"/>
      <c r="K356" s="318"/>
      <c r="L356" s="318"/>
      <c r="M356" s="318"/>
      <c r="N356" s="318">
        <f t="shared" si="262"/>
        <v>0</v>
      </c>
      <c r="O356" s="203"/>
      <c r="P356" s="976">
        <v>722</v>
      </c>
      <c r="Q356" s="974" t="s">
        <v>810</v>
      </c>
      <c r="R356" s="318"/>
      <c r="S356" s="318"/>
      <c r="T356" s="318"/>
      <c r="U356" s="318"/>
      <c r="V356" s="318"/>
      <c r="W356" s="318"/>
      <c r="X356" s="318"/>
      <c r="Y356" s="318"/>
      <c r="Z356" s="318"/>
      <c r="AA356" s="318"/>
      <c r="AB356" s="318"/>
      <c r="AC356" s="318"/>
      <c r="AD356" s="318"/>
      <c r="AE356" s="318"/>
      <c r="AF356" s="318"/>
      <c r="AG356" s="318"/>
      <c r="AH356" s="318"/>
      <c r="AI356" s="318"/>
      <c r="AJ356" s="318"/>
      <c r="AL356" s="976">
        <v>722</v>
      </c>
      <c r="AM356" s="974" t="s">
        <v>810</v>
      </c>
      <c r="AN356" s="318"/>
      <c r="AO356" s="318"/>
      <c r="AP356" s="318"/>
      <c r="AQ356" s="315"/>
      <c r="AS356" s="976">
        <v>722</v>
      </c>
      <c r="AT356" s="974" t="s">
        <v>810</v>
      </c>
      <c r="AU356" s="318"/>
      <c r="AV356" s="318"/>
      <c r="AW356" s="1083"/>
      <c r="AX356" s="318"/>
      <c r="AY356" s="318"/>
      <c r="AZ356" s="318"/>
      <c r="BA356" s="318"/>
      <c r="BB356" s="318"/>
      <c r="BD356" s="998">
        <f t="shared" si="261"/>
        <v>0</v>
      </c>
    </row>
    <row r="357" spans="1:56" s="52" customFormat="1" ht="22.5" x14ac:dyDescent="0.2">
      <c r="A357" s="739">
        <v>72201</v>
      </c>
      <c r="B357" s="969" t="s">
        <v>810</v>
      </c>
      <c r="C357" s="318"/>
      <c r="D357" s="318"/>
      <c r="E357" s="318"/>
      <c r="F357" s="318"/>
      <c r="G357" s="318"/>
      <c r="H357" s="719"/>
      <c r="I357" s="318"/>
      <c r="J357" s="811"/>
      <c r="K357" s="318"/>
      <c r="L357" s="318"/>
      <c r="M357" s="318"/>
      <c r="N357" s="318">
        <f t="shared" si="262"/>
        <v>0</v>
      </c>
      <c r="O357" s="203"/>
      <c r="P357" s="976">
        <v>72201</v>
      </c>
      <c r="Q357" s="974" t="s">
        <v>810</v>
      </c>
      <c r="R357" s="318"/>
      <c r="S357" s="318"/>
      <c r="T357" s="318"/>
      <c r="U357" s="318"/>
      <c r="V357" s="318"/>
      <c r="W357" s="318"/>
      <c r="X357" s="318"/>
      <c r="Y357" s="318"/>
      <c r="Z357" s="318"/>
      <c r="AA357" s="318"/>
      <c r="AB357" s="318"/>
      <c r="AC357" s="318"/>
      <c r="AD357" s="318"/>
      <c r="AE357" s="318"/>
      <c r="AF357" s="318"/>
      <c r="AG357" s="318"/>
      <c r="AH357" s="318"/>
      <c r="AI357" s="318"/>
      <c r="AJ357" s="318"/>
      <c r="AL357" s="976">
        <v>72201</v>
      </c>
      <c r="AM357" s="974" t="s">
        <v>810</v>
      </c>
      <c r="AN357" s="318"/>
      <c r="AO357" s="318"/>
      <c r="AP357" s="318"/>
      <c r="AQ357" s="315"/>
      <c r="AS357" s="976">
        <v>72201</v>
      </c>
      <c r="AT357" s="974" t="s">
        <v>810</v>
      </c>
      <c r="AU357" s="318"/>
      <c r="AV357" s="318"/>
      <c r="AW357" s="1083"/>
      <c r="AX357" s="318"/>
      <c r="AY357" s="318"/>
      <c r="AZ357" s="318"/>
      <c r="BA357" s="318"/>
      <c r="BB357" s="318"/>
      <c r="BD357" s="998">
        <f t="shared" si="261"/>
        <v>0</v>
      </c>
    </row>
    <row r="358" spans="1:56" s="52" customFormat="1" ht="12" thickBot="1" x14ac:dyDescent="0.25">
      <c r="A358" s="935"/>
      <c r="B358" s="936" t="s">
        <v>835</v>
      </c>
      <c r="C358" s="937">
        <f>+C340+C333+C283+C347+C353+C354+C356</f>
        <v>0</v>
      </c>
      <c r="D358" s="937">
        <f t="shared" ref="D358:N358" si="263">+D340+D333+D283+D347+D353+D354+D356</f>
        <v>0</v>
      </c>
      <c r="E358" s="937">
        <f t="shared" si="263"/>
        <v>0</v>
      </c>
      <c r="F358" s="937">
        <f t="shared" si="263"/>
        <v>0</v>
      </c>
      <c r="G358" s="937">
        <f t="shared" si="263"/>
        <v>0</v>
      </c>
      <c r="H358" s="937">
        <f t="shared" si="263"/>
        <v>0</v>
      </c>
      <c r="I358" s="937">
        <f t="shared" si="263"/>
        <v>0</v>
      </c>
      <c r="J358" s="937">
        <f t="shared" si="263"/>
        <v>0</v>
      </c>
      <c r="K358" s="937">
        <f t="shared" si="263"/>
        <v>0</v>
      </c>
      <c r="L358" s="937">
        <f t="shared" si="263"/>
        <v>0</v>
      </c>
      <c r="M358" s="937">
        <f t="shared" si="263"/>
        <v>0</v>
      </c>
      <c r="N358" s="937">
        <f t="shared" si="263"/>
        <v>0</v>
      </c>
      <c r="O358" s="203"/>
      <c r="P358" s="935"/>
      <c r="Q358" s="936" t="s">
        <v>834</v>
      </c>
      <c r="R358" s="938">
        <f>+R340+R333+R283+R347+R353</f>
        <v>0</v>
      </c>
      <c r="S358" s="938">
        <f t="shared" ref="S358:AJ358" si="264">+S340+S333+S283+S347+S353</f>
        <v>0</v>
      </c>
      <c r="T358" s="938">
        <f t="shared" si="264"/>
        <v>0</v>
      </c>
      <c r="U358" s="938">
        <f t="shared" si="264"/>
        <v>0</v>
      </c>
      <c r="V358" s="938">
        <f t="shared" si="264"/>
        <v>0</v>
      </c>
      <c r="W358" s="938">
        <f t="shared" si="264"/>
        <v>0</v>
      </c>
      <c r="X358" s="938">
        <f t="shared" si="264"/>
        <v>0</v>
      </c>
      <c r="Y358" s="938">
        <f t="shared" si="264"/>
        <v>0</v>
      </c>
      <c r="Z358" s="938">
        <f t="shared" si="264"/>
        <v>0</v>
      </c>
      <c r="AA358" s="938">
        <f t="shared" si="264"/>
        <v>0</v>
      </c>
      <c r="AB358" s="938">
        <f t="shared" si="264"/>
        <v>0</v>
      </c>
      <c r="AC358" s="938">
        <f t="shared" si="264"/>
        <v>0</v>
      </c>
      <c r="AD358" s="938">
        <f t="shared" si="264"/>
        <v>0</v>
      </c>
      <c r="AE358" s="938">
        <f t="shared" si="264"/>
        <v>0</v>
      </c>
      <c r="AF358" s="938">
        <f t="shared" si="264"/>
        <v>0</v>
      </c>
      <c r="AG358" s="938">
        <f t="shared" si="264"/>
        <v>0</v>
      </c>
      <c r="AH358" s="938"/>
      <c r="AI358" s="938"/>
      <c r="AJ358" s="938">
        <f t="shared" si="264"/>
        <v>0</v>
      </c>
      <c r="AL358" s="935"/>
      <c r="AM358" s="936" t="s">
        <v>840</v>
      </c>
      <c r="AN358" s="938">
        <f>+AN340+AN333+AN283+AN347+AN353</f>
        <v>0</v>
      </c>
      <c r="AO358" s="938">
        <f>+AO340+AO333+AO283+AO347+AO353</f>
        <v>0</v>
      </c>
      <c r="AP358" s="938">
        <f>+AP340+AP333+AP283+AP347+AP353</f>
        <v>0</v>
      </c>
      <c r="AQ358" s="938">
        <f>+AQ340+AQ333+AQ283+AQ347+AQ353</f>
        <v>0</v>
      </c>
      <c r="AS358" s="935"/>
      <c r="AT358" s="936" t="s">
        <v>839</v>
      </c>
      <c r="AU358" s="938">
        <f>+AU340+AU333+AU283+AU347+AU353</f>
        <v>0</v>
      </c>
      <c r="AV358" s="938">
        <f t="shared" ref="AV358:BB358" si="265">+AV340+AV333+AV283+AV347+AV353</f>
        <v>0</v>
      </c>
      <c r="AW358" s="1086">
        <f t="shared" si="265"/>
        <v>0</v>
      </c>
      <c r="AX358" s="938">
        <f t="shared" si="265"/>
        <v>0</v>
      </c>
      <c r="AY358" s="938">
        <f t="shared" si="265"/>
        <v>0</v>
      </c>
      <c r="AZ358" s="938">
        <f t="shared" si="265"/>
        <v>0</v>
      </c>
      <c r="BA358" s="938">
        <f t="shared" si="265"/>
        <v>0</v>
      </c>
      <c r="BB358" s="938">
        <f t="shared" si="265"/>
        <v>0</v>
      </c>
      <c r="BD358" s="998">
        <f t="shared" si="261"/>
        <v>0</v>
      </c>
    </row>
    <row r="359" spans="1:56" s="52" customFormat="1" ht="13.5" thickTop="1" x14ac:dyDescent="0.2">
      <c r="N359" s="203"/>
      <c r="O359" s="203"/>
      <c r="R359" s="203"/>
      <c r="AL359" s="30"/>
      <c r="AM359" s="30"/>
      <c r="AN359" s="30"/>
      <c r="AO359" s="30"/>
      <c r="AP359" s="30"/>
      <c r="AQ359" s="30"/>
      <c r="AW359" s="114"/>
    </row>
    <row r="360" spans="1:56" s="52" customFormat="1" ht="11.25" x14ac:dyDescent="0.2">
      <c r="N360" s="203"/>
      <c r="O360" s="203"/>
      <c r="R360" s="203"/>
      <c r="AW360" s="114"/>
    </row>
    <row r="361" spans="1:56" s="52" customFormat="1" ht="11.25" x14ac:dyDescent="0.2">
      <c r="N361" s="203"/>
      <c r="O361" s="203"/>
      <c r="R361" s="203"/>
      <c r="AW361" s="114"/>
    </row>
    <row r="362" spans="1:56" s="52" customFormat="1" ht="11.25" x14ac:dyDescent="0.2">
      <c r="N362" s="203"/>
      <c r="O362" s="203"/>
      <c r="R362" s="203"/>
      <c r="AW362" s="114"/>
    </row>
    <row r="363" spans="1:56" s="52" customFormat="1" ht="11.25" x14ac:dyDescent="0.2">
      <c r="N363" s="203"/>
      <c r="O363" s="203"/>
      <c r="R363" s="203"/>
      <c r="AW363" s="114"/>
    </row>
    <row r="364" spans="1:56" s="52" customFormat="1" ht="11.25" x14ac:dyDescent="0.2">
      <c r="N364" s="203"/>
      <c r="O364" s="203"/>
      <c r="R364" s="203"/>
      <c r="AW364" s="114"/>
    </row>
    <row r="365" spans="1:56" s="52" customFormat="1" ht="11.25" x14ac:dyDescent="0.2">
      <c r="N365" s="203"/>
      <c r="O365" s="203"/>
      <c r="R365" s="203"/>
      <c r="AW365" s="114"/>
    </row>
    <row r="366" spans="1:56" s="52" customFormat="1" ht="11.25" x14ac:dyDescent="0.2">
      <c r="N366" s="270"/>
      <c r="O366" s="270"/>
      <c r="R366" s="270"/>
      <c r="AW366" s="114"/>
    </row>
    <row r="367" spans="1:56" s="52" customFormat="1" ht="11.25" x14ac:dyDescent="0.2">
      <c r="N367" s="203"/>
      <c r="O367" s="203"/>
      <c r="R367" s="203"/>
      <c r="AW367" s="114"/>
    </row>
    <row r="368" spans="1:56" s="52" customFormat="1" ht="11.25" x14ac:dyDescent="0.2">
      <c r="N368" s="203"/>
      <c r="O368" s="203"/>
      <c r="R368" s="203"/>
      <c r="AW368" s="114"/>
    </row>
    <row r="369" spans="14:49" s="52" customFormat="1" ht="11.25" x14ac:dyDescent="0.2">
      <c r="N369" s="203"/>
      <c r="O369" s="203"/>
      <c r="R369" s="203"/>
      <c r="AW369" s="114"/>
    </row>
    <row r="370" spans="14:49" s="52" customFormat="1" ht="11.25" x14ac:dyDescent="0.2">
      <c r="N370" s="203"/>
      <c r="O370" s="203"/>
      <c r="R370" s="203"/>
      <c r="AW370" s="114"/>
    </row>
    <row r="371" spans="14:49" s="52" customFormat="1" ht="11.25" x14ac:dyDescent="0.2">
      <c r="N371" s="270"/>
      <c r="O371" s="270"/>
      <c r="R371" s="270"/>
      <c r="AW371" s="114"/>
    </row>
    <row r="372" spans="14:49" s="52" customFormat="1" ht="11.25" x14ac:dyDescent="0.2">
      <c r="N372" s="203"/>
      <c r="O372" s="203"/>
      <c r="R372" s="203"/>
      <c r="AW372" s="114"/>
    </row>
    <row r="373" spans="14:49" s="52" customFormat="1" ht="11.25" x14ac:dyDescent="0.2">
      <c r="N373" s="203"/>
      <c r="O373" s="203"/>
      <c r="R373" s="203"/>
      <c r="AW373" s="114"/>
    </row>
    <row r="374" spans="14:49" s="52" customFormat="1" ht="11.25" x14ac:dyDescent="0.2">
      <c r="N374" s="203"/>
      <c r="O374" s="203"/>
      <c r="R374" s="203"/>
      <c r="AW374" s="114"/>
    </row>
    <row r="375" spans="14:49" s="52" customFormat="1" ht="11.25" x14ac:dyDescent="0.2">
      <c r="N375" s="203"/>
      <c r="O375" s="203"/>
      <c r="R375" s="203"/>
      <c r="AW375" s="114"/>
    </row>
    <row r="376" spans="14:49" s="52" customFormat="1" ht="11.25" x14ac:dyDescent="0.2">
      <c r="N376" s="203"/>
      <c r="O376" s="203"/>
      <c r="R376" s="203"/>
      <c r="AW376" s="114"/>
    </row>
    <row r="377" spans="14:49" s="52" customFormat="1" ht="11.25" x14ac:dyDescent="0.2">
      <c r="N377" s="203"/>
      <c r="O377" s="203"/>
      <c r="R377" s="203"/>
      <c r="AW377" s="114"/>
    </row>
    <row r="378" spans="14:49" s="52" customFormat="1" ht="11.25" x14ac:dyDescent="0.2">
      <c r="N378" s="203"/>
      <c r="O378" s="203"/>
      <c r="R378" s="203"/>
      <c r="AW378" s="114"/>
    </row>
    <row r="379" spans="14:49" s="52" customFormat="1" ht="11.25" x14ac:dyDescent="0.2">
      <c r="N379" s="203"/>
      <c r="O379" s="203"/>
      <c r="R379" s="203"/>
      <c r="AW379" s="114"/>
    </row>
    <row r="380" spans="14:49" s="52" customFormat="1" ht="11.25" x14ac:dyDescent="0.2">
      <c r="N380" s="203"/>
      <c r="O380" s="203"/>
      <c r="R380" s="203"/>
      <c r="AW380" s="114"/>
    </row>
    <row r="381" spans="14:49" s="52" customFormat="1" ht="11.25" x14ac:dyDescent="0.2">
      <c r="N381" s="203"/>
      <c r="O381" s="203"/>
      <c r="R381" s="203"/>
      <c r="AW381" s="114"/>
    </row>
    <row r="382" spans="14:49" s="52" customFormat="1" ht="11.25" x14ac:dyDescent="0.2">
      <c r="N382" s="203"/>
      <c r="O382" s="203"/>
      <c r="R382" s="203"/>
      <c r="AW382" s="114"/>
    </row>
    <row r="383" spans="14:49" s="52" customFormat="1" ht="11.25" x14ac:dyDescent="0.2">
      <c r="N383" s="203"/>
      <c r="O383" s="203"/>
      <c r="R383" s="203"/>
      <c r="AW383" s="114"/>
    </row>
    <row r="384" spans="14:49" s="52" customFormat="1" ht="11.25" x14ac:dyDescent="0.2">
      <c r="N384" s="203"/>
      <c r="O384" s="203"/>
      <c r="R384" s="203"/>
      <c r="AW384" s="114"/>
    </row>
    <row r="385" spans="14:49" s="52" customFormat="1" ht="11.25" x14ac:dyDescent="0.2">
      <c r="N385" s="270"/>
      <c r="O385" s="270"/>
      <c r="R385" s="270"/>
      <c r="AW385" s="114"/>
    </row>
    <row r="386" spans="14:49" s="52" customFormat="1" ht="11.25" x14ac:dyDescent="0.2">
      <c r="N386" s="203"/>
      <c r="O386" s="203"/>
      <c r="R386" s="203"/>
      <c r="AW386" s="114"/>
    </row>
    <row r="387" spans="14:49" s="52" customFormat="1" ht="11.25" x14ac:dyDescent="0.2">
      <c r="N387" s="203"/>
      <c r="O387" s="203"/>
      <c r="R387" s="203"/>
      <c r="AW387" s="114"/>
    </row>
    <row r="388" spans="14:49" s="52" customFormat="1" ht="11.25" x14ac:dyDescent="0.2">
      <c r="N388" s="203"/>
      <c r="O388" s="203"/>
      <c r="R388" s="203"/>
      <c r="AW388" s="114"/>
    </row>
    <row r="389" spans="14:49" s="52" customFormat="1" ht="11.25" x14ac:dyDescent="0.2">
      <c r="N389" s="203"/>
      <c r="O389" s="203"/>
      <c r="R389" s="203"/>
      <c r="AW389" s="114"/>
    </row>
    <row r="390" spans="14:49" s="52" customFormat="1" ht="11.25" x14ac:dyDescent="0.2">
      <c r="N390" s="203"/>
      <c r="O390" s="203"/>
      <c r="R390" s="203"/>
      <c r="AW390" s="114"/>
    </row>
    <row r="391" spans="14:49" s="52" customFormat="1" ht="11.25" x14ac:dyDescent="0.2">
      <c r="N391" s="203"/>
      <c r="O391" s="203"/>
      <c r="R391" s="203"/>
      <c r="AW391" s="114"/>
    </row>
    <row r="392" spans="14:49" s="52" customFormat="1" ht="11.25" x14ac:dyDescent="0.2">
      <c r="N392" s="203"/>
      <c r="O392" s="203"/>
      <c r="R392" s="203"/>
      <c r="AW392" s="114"/>
    </row>
    <row r="393" spans="14:49" s="52" customFormat="1" ht="11.25" x14ac:dyDescent="0.2">
      <c r="N393" s="203"/>
      <c r="O393" s="203"/>
      <c r="R393" s="203"/>
      <c r="AW393" s="114"/>
    </row>
    <row r="394" spans="14:49" s="52" customFormat="1" ht="11.25" x14ac:dyDescent="0.2">
      <c r="N394" s="203"/>
      <c r="O394" s="203"/>
      <c r="R394" s="203"/>
      <c r="AW394" s="114"/>
    </row>
    <row r="395" spans="14:49" s="52" customFormat="1" ht="11.25" x14ac:dyDescent="0.2">
      <c r="N395" s="203"/>
      <c r="O395" s="203"/>
      <c r="R395" s="203"/>
      <c r="AW395" s="114"/>
    </row>
    <row r="396" spans="14:49" s="52" customFormat="1" ht="11.25" x14ac:dyDescent="0.2">
      <c r="N396" s="203"/>
      <c r="O396" s="203"/>
      <c r="R396" s="203"/>
      <c r="AW396" s="114"/>
    </row>
    <row r="397" spans="14:49" s="52" customFormat="1" ht="11.25" x14ac:dyDescent="0.2">
      <c r="N397" s="203"/>
      <c r="O397" s="203"/>
      <c r="R397" s="203"/>
      <c r="AW397" s="114"/>
    </row>
    <row r="398" spans="14:49" s="52" customFormat="1" ht="11.25" x14ac:dyDescent="0.2">
      <c r="N398" s="203"/>
      <c r="O398" s="203"/>
      <c r="R398" s="203"/>
      <c r="AW398" s="114"/>
    </row>
    <row r="399" spans="14:49" s="52" customFormat="1" ht="11.25" x14ac:dyDescent="0.2">
      <c r="N399" s="203"/>
      <c r="O399" s="203"/>
      <c r="R399" s="203"/>
      <c r="AW399" s="114"/>
    </row>
    <row r="400" spans="14:49" s="52" customFormat="1" ht="11.25" x14ac:dyDescent="0.2">
      <c r="N400" s="203"/>
      <c r="O400" s="203"/>
      <c r="R400" s="203"/>
      <c r="AW400" s="114"/>
    </row>
    <row r="401" spans="1:54" s="52" customFormat="1" ht="11.25" x14ac:dyDescent="0.2">
      <c r="N401" s="203"/>
      <c r="O401" s="203"/>
      <c r="R401" s="203"/>
      <c r="AW401" s="114"/>
    </row>
    <row r="402" spans="1:54" s="52" customFormat="1" ht="11.25" x14ac:dyDescent="0.2">
      <c r="N402" s="203"/>
      <c r="O402" s="203"/>
      <c r="R402" s="203"/>
      <c r="AW402" s="114"/>
    </row>
    <row r="403" spans="1:54" s="52" customFormat="1" ht="11.25" x14ac:dyDescent="0.2">
      <c r="N403" s="203"/>
      <c r="O403" s="203"/>
      <c r="R403" s="203"/>
      <c r="AW403" s="114"/>
    </row>
    <row r="404" spans="1:54" s="52" customFormat="1" ht="11.25" x14ac:dyDescent="0.2">
      <c r="N404" s="203"/>
      <c r="O404" s="203"/>
      <c r="P404" s="268"/>
      <c r="R404" s="203"/>
      <c r="T404" s="268"/>
      <c r="U404" s="268"/>
      <c r="Z404" s="268"/>
      <c r="AA404" s="268"/>
      <c r="AW404" s="114"/>
    </row>
    <row r="405" spans="1:54" s="52" customFormat="1" ht="11.25" x14ac:dyDescent="0.2">
      <c r="N405" s="203"/>
      <c r="O405" s="203"/>
      <c r="R405" s="203"/>
      <c r="AW405" s="114"/>
    </row>
    <row r="406" spans="1:54" s="52" customFormat="1" ht="11.25" x14ac:dyDescent="0.2">
      <c r="N406" s="203"/>
      <c r="O406" s="203"/>
      <c r="R406" s="203"/>
      <c r="AW406" s="114"/>
    </row>
    <row r="407" spans="1:54" s="52" customFormat="1" ht="11.25" x14ac:dyDescent="0.2">
      <c r="N407" s="203"/>
      <c r="O407" s="203"/>
      <c r="R407" s="203"/>
      <c r="AW407" s="114"/>
    </row>
    <row r="408" spans="1:54" s="52" customFormat="1" ht="11.25" x14ac:dyDescent="0.2">
      <c r="N408" s="203"/>
      <c r="O408" s="203"/>
      <c r="R408" s="203"/>
      <c r="AW408" s="114"/>
    </row>
    <row r="409" spans="1:54" s="52" customFormat="1" ht="11.25" x14ac:dyDescent="0.2">
      <c r="N409" s="270"/>
      <c r="O409" s="270"/>
      <c r="R409" s="270"/>
      <c r="AW409" s="114"/>
    </row>
    <row r="410" spans="1:54" s="52" customFormat="1" ht="11.25" x14ac:dyDescent="0.2">
      <c r="B410" s="142"/>
      <c r="C410" s="270"/>
      <c r="D410" s="270"/>
      <c r="E410" s="270"/>
      <c r="F410" s="270"/>
      <c r="G410" s="270"/>
      <c r="H410" s="270"/>
      <c r="I410" s="270"/>
      <c r="J410" s="270"/>
      <c r="K410" s="270"/>
      <c r="L410" s="270"/>
      <c r="M410" s="270"/>
      <c r="N410" s="270"/>
      <c r="O410" s="270"/>
      <c r="R410" s="270"/>
      <c r="S410" s="270"/>
      <c r="AW410" s="114"/>
    </row>
    <row r="411" spans="1:54" s="52" customFormat="1" x14ac:dyDescent="0.2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43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W411" s="114"/>
    </row>
    <row r="412" spans="1:54" s="52" customFormat="1" x14ac:dyDescent="0.2">
      <c r="A412" s="30"/>
      <c r="B412" s="30"/>
      <c r="C412" s="43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43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S412" s="30"/>
      <c r="AT412" s="30"/>
      <c r="AU412" s="30"/>
      <c r="AV412" s="30"/>
      <c r="AW412" s="182"/>
      <c r="AX412" s="30"/>
      <c r="AY412" s="30"/>
      <c r="AZ412" s="30"/>
      <c r="BA412" s="30"/>
      <c r="BB412" s="30"/>
    </row>
    <row r="413" spans="1:54" x14ac:dyDescent="0.2">
      <c r="C413" s="276"/>
    </row>
    <row r="414" spans="1:54" x14ac:dyDescent="0.2">
      <c r="R414" s="1114"/>
      <c r="S414" s="1114"/>
    </row>
    <row r="415" spans="1:54" x14ac:dyDescent="0.2">
      <c r="R415" s="1114"/>
      <c r="S415" s="1114"/>
    </row>
    <row r="416" spans="1:54" x14ac:dyDescent="0.2">
      <c r="R416" s="1114"/>
      <c r="S416" s="1114"/>
    </row>
    <row r="417" spans="18:19" x14ac:dyDescent="0.2">
      <c r="R417" s="1191"/>
      <c r="S417" s="1191"/>
    </row>
  </sheetData>
  <mergeCells count="55">
    <mergeCell ref="AS3:AY3"/>
    <mergeCell ref="A185:N185"/>
    <mergeCell ref="P185:AJ185"/>
    <mergeCell ref="AL185:AQ185"/>
    <mergeCell ref="AS185:AY185"/>
    <mergeCell ref="AL184:AQ184"/>
    <mergeCell ref="AS184:AY184"/>
    <mergeCell ref="R180:S180"/>
    <mergeCell ref="R181:S181"/>
    <mergeCell ref="A93:N93"/>
    <mergeCell ref="AS94:AY94"/>
    <mergeCell ref="AL183:AQ183"/>
    <mergeCell ref="AS183:AY183"/>
    <mergeCell ref="AS92:AY92"/>
    <mergeCell ref="AL93:AQ93"/>
    <mergeCell ref="AS93:AY93"/>
    <mergeCell ref="A92:N92"/>
    <mergeCell ref="P92:AJ92"/>
    <mergeCell ref="P93:AJ93"/>
    <mergeCell ref="A94:N94"/>
    <mergeCell ref="P94:AJ94"/>
    <mergeCell ref="A183:N183"/>
    <mergeCell ref="P183:AJ183"/>
    <mergeCell ref="AS1:AY1"/>
    <mergeCell ref="P1:AJ1"/>
    <mergeCell ref="AL1:AQ1"/>
    <mergeCell ref="AL2:AQ2"/>
    <mergeCell ref="P2:AJ2"/>
    <mergeCell ref="AS2:AY2"/>
    <mergeCell ref="AL94:AQ94"/>
    <mergeCell ref="A1:N1"/>
    <mergeCell ref="A2:N2"/>
    <mergeCell ref="A3:N3"/>
    <mergeCell ref="AL92:AQ92"/>
    <mergeCell ref="AL3:AQ3"/>
    <mergeCell ref="P3:AJ3"/>
    <mergeCell ref="R91:S91"/>
    <mergeCell ref="R414:S414"/>
    <mergeCell ref="R415:S415"/>
    <mergeCell ref="R416:S416"/>
    <mergeCell ref="R417:S417"/>
    <mergeCell ref="A184:N184"/>
    <mergeCell ref="P184:AJ184"/>
    <mergeCell ref="A277:N277"/>
    <mergeCell ref="A278:N278"/>
    <mergeCell ref="A279:N279"/>
    <mergeCell ref="P277:AJ277"/>
    <mergeCell ref="P278:AJ278"/>
    <mergeCell ref="P279:AJ279"/>
    <mergeCell ref="AL277:AQ277"/>
    <mergeCell ref="AL278:AQ278"/>
    <mergeCell ref="AL279:AQ279"/>
    <mergeCell ref="AS277:AY277"/>
    <mergeCell ref="AS278:AY278"/>
    <mergeCell ref="AS279:AY279"/>
  </mergeCells>
  <phoneticPr fontId="0" type="noConversion"/>
  <conditionalFormatting sqref="BG91">
    <cfRule type="cellIs" dxfId="9" priority="1" operator="lessThan">
      <formula>0</formula>
    </cfRule>
    <cfRule type="cellIs" dxfId="8" priority="5" operator="equal">
      <formula>0</formula>
    </cfRule>
    <cfRule type="cellIs" dxfId="7" priority="10" operator="lessThan">
      <formula>0</formula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G96">
    <cfRule type="cellIs" dxfId="6" priority="4" operator="equal">
      <formula>0</formula>
    </cfRule>
    <cfRule type="cellIs" dxfId="5" priority="9" operator="lessThan">
      <formula>0</formula>
    </cfRule>
  </conditionalFormatting>
  <conditionalFormatting sqref="BG99">
    <cfRule type="cellIs" dxfId="4" priority="2" operator="lessThan">
      <formula>0</formula>
    </cfRule>
    <cfRule type="cellIs" dxfId="3" priority="3" operator="lessThan">
      <formula>0</formula>
    </cfRule>
    <cfRule type="cellIs" dxfId="2" priority="8" operator="equal">
      <formula>0</formula>
    </cfRule>
  </conditionalFormatting>
  <printOptions horizontalCentered="1" verticalCentered="1"/>
  <pageMargins left="0.7" right="0.7" top="0.75" bottom="0.75" header="0.3" footer="0.3"/>
  <pageSetup scale="50" orientation="landscape" horizontalDpi="4294967294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23</vt:i4>
      </vt:variant>
    </vt:vector>
  </HeadingPairs>
  <TitlesOfParts>
    <vt:vector size="42" baseType="lpstr">
      <vt:lpstr>EST. PRES</vt:lpstr>
      <vt:lpstr>ProyIng</vt:lpstr>
      <vt:lpstr>INGxFF</vt:lpstr>
      <vt:lpstr>Ingresos</vt:lpstr>
      <vt:lpstr>SdoBcos</vt:lpstr>
      <vt:lpstr>Nomina</vt:lpstr>
      <vt:lpstr>Res_Nom_CR</vt:lpstr>
      <vt:lpstr>Res_Nom_FF</vt:lpstr>
      <vt:lpstr>BS_CR </vt:lpstr>
      <vt:lpstr>Cuentasxpagar</vt:lpstr>
      <vt:lpstr>UNIDAD_PPTO</vt:lpstr>
      <vt:lpstr>EgreUP01</vt:lpstr>
      <vt:lpstr>EgreUP02</vt:lpstr>
      <vt:lpstr>Egre0304</vt:lpstr>
      <vt:lpstr>Consolidado</vt:lpstr>
      <vt:lpstr>Egresos</vt:lpstr>
      <vt:lpstr>ResCE</vt:lpstr>
      <vt:lpstr>ResEP</vt:lpstr>
      <vt:lpstr>ResFF</vt:lpstr>
      <vt:lpstr>'BS_CR '!Área_de_impresión</vt:lpstr>
      <vt:lpstr>Consolidado!Área_de_impresión</vt:lpstr>
      <vt:lpstr>Egre0304!Área_de_impresión</vt:lpstr>
      <vt:lpstr>Egresos!Área_de_impresión</vt:lpstr>
      <vt:lpstr>EgreUP01!Área_de_impresión</vt:lpstr>
      <vt:lpstr>EgreUP02!Área_de_impresión</vt:lpstr>
      <vt:lpstr>'EST. PRES'!Área_de_impresión</vt:lpstr>
      <vt:lpstr>Ingresos!Área_de_impresión</vt:lpstr>
      <vt:lpstr>INGxFF!Área_de_impresión</vt:lpstr>
      <vt:lpstr>Nomina!Área_de_impresión</vt:lpstr>
      <vt:lpstr>ProyIng!Área_de_impresión</vt:lpstr>
      <vt:lpstr>Res_Nom_CR!Área_de_impresión</vt:lpstr>
      <vt:lpstr>Res_Nom_FF!Área_de_impresión</vt:lpstr>
      <vt:lpstr>ResCE!Área_de_impresión</vt:lpstr>
      <vt:lpstr>ResEP!Área_de_impresión</vt:lpstr>
      <vt:lpstr>ResFF!Área_de_impresión</vt:lpstr>
      <vt:lpstr>SdoBcos!Área_de_impresión</vt:lpstr>
      <vt:lpstr>Consolidado!Títulos_a_imprimir</vt:lpstr>
      <vt:lpstr>Egresos!Títulos_a_imprimir</vt:lpstr>
      <vt:lpstr>Ingresos!Títulos_a_imprimir</vt:lpstr>
      <vt:lpstr>INGxFF!Títulos_a_imprimir</vt:lpstr>
      <vt:lpstr>Nomina!Títulos_a_imprimir</vt:lpstr>
      <vt:lpstr>SdoBcos!Títulos_a_imprimir</vt:lpstr>
    </vt:vector>
  </TitlesOfParts>
  <Manager>Región Occidental</Manager>
  <Company>ISDEM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Formulación del Presupuesto por Areas de Gestión</dc:title>
  <dc:subject>Sector Municipal</dc:subject>
  <dc:creator>Carlos M. Mendoza</dc:creator>
  <dc:description>Para revisión del Lic. Alberto Rodas</dc:description>
  <cp:lastModifiedBy>Zulma Linares</cp:lastModifiedBy>
  <cp:lastPrinted>2022-01-12T15:51:07Z</cp:lastPrinted>
  <dcterms:created xsi:type="dcterms:W3CDTF">2004-08-04T15:52:30Z</dcterms:created>
  <dcterms:modified xsi:type="dcterms:W3CDTF">2024-01-18T21:11:51Z</dcterms:modified>
  <cp:category>Mesas de Trabajo</cp:category>
</cp:coreProperties>
</file>