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UPUESTO01.JEFE_PRESUPUEST\OneDrive - Alcaldia Municipal de Acajutla (Teams Exploratory)\Escritorio\PRESUPUESTO 2024 DEFINITIVO\PRESUPUESTO 202406022024\"/>
    </mc:Choice>
  </mc:AlternateContent>
  <xr:revisionPtr revIDLastSave="0" documentId="13_ncr:1_{357DF08D-9BD0-49A1-BCEB-839BCDFF1DA9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Hoja1" sheetId="1" r:id="rId1"/>
    <sheet name="FONDOS PROPIOS" sheetId="2" r:id="rId2"/>
    <sheet name="FODES-FAM" sheetId="3" r:id="rId3"/>
    <sheet name="INGRESOS" sheetId="4" r:id="rId4"/>
    <sheet name="ingresos con9%mora" sheetId="5" r:id="rId5"/>
    <sheet name="ingresos reales" sheetId="6" r:id="rId6"/>
  </sheets>
  <externalReferences>
    <externalReference r:id="rId7"/>
    <externalReference r:id="rId8"/>
  </externalReferences>
  <definedNames>
    <definedName name="_xlnm.Print_Area" localSheetId="5">'ingresos reales'!$A$1:$O$59</definedName>
    <definedName name="_xlnm.Print_Titles" localSheetId="0">Hoja1!$A:$B,Hoja1!$1:$2</definedName>
  </definedNames>
  <calcPr calcId="191029"/>
</workbook>
</file>

<file path=xl/calcChain.xml><?xml version="1.0" encoding="utf-8"?>
<calcChain xmlns="http://schemas.openxmlformats.org/spreadsheetml/2006/main">
  <c r="I59" i="6" l="1"/>
  <c r="O50" i="6"/>
  <c r="F59" i="6"/>
  <c r="F57" i="6"/>
  <c r="O54" i="6"/>
  <c r="O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K29" i="6"/>
  <c r="K26" i="6"/>
  <c r="K22" i="6"/>
  <c r="K6" i="6"/>
  <c r="K50" i="6" s="1"/>
  <c r="K3" i="6"/>
  <c r="J29" i="6"/>
  <c r="J26" i="6"/>
  <c r="J22" i="6"/>
  <c r="J21" i="6"/>
  <c r="J6" i="6"/>
  <c r="J3" i="6"/>
  <c r="I29" i="6"/>
  <c r="I26" i="6"/>
  <c r="I22" i="6"/>
  <c r="I21" i="6"/>
  <c r="I6" i="6"/>
  <c r="I3" i="6"/>
  <c r="H29" i="6"/>
  <c r="H26" i="6"/>
  <c r="H22" i="6"/>
  <c r="H21" i="6"/>
  <c r="H6" i="6"/>
  <c r="H3" i="6"/>
  <c r="G29" i="6"/>
  <c r="G26" i="6"/>
  <c r="G22" i="6"/>
  <c r="G21" i="6"/>
  <c r="G6" i="6"/>
  <c r="G3" i="6"/>
  <c r="F26" i="6"/>
  <c r="F22" i="6"/>
  <c r="F21" i="6"/>
  <c r="F6" i="6"/>
  <c r="F4" i="6"/>
  <c r="F3" i="6"/>
  <c r="E29" i="6"/>
  <c r="E26" i="6"/>
  <c r="E22" i="6"/>
  <c r="E21" i="6"/>
  <c r="E6" i="6"/>
  <c r="E3" i="6"/>
  <c r="D29" i="6"/>
  <c r="D26" i="6"/>
  <c r="D22" i="6"/>
  <c r="D21" i="6"/>
  <c r="C50" i="6"/>
  <c r="O53" i="6"/>
  <c r="O52" i="6"/>
  <c r="N50" i="6"/>
  <c r="M50" i="6"/>
  <c r="L50" i="6"/>
  <c r="F57" i="4"/>
  <c r="F55" i="4"/>
  <c r="O64" i="5"/>
  <c r="O63" i="5"/>
  <c r="N61" i="5"/>
  <c r="M61" i="5"/>
  <c r="L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E41" i="5"/>
  <c r="E40" i="5"/>
  <c r="O40" i="5" s="1"/>
  <c r="O39" i="5"/>
  <c r="O38" i="5"/>
  <c r="O37" i="5"/>
  <c r="O36" i="5"/>
  <c r="O35" i="5"/>
  <c r="O34" i="5"/>
  <c r="O33" i="5"/>
  <c r="O32" i="5"/>
  <c r="O31" i="5"/>
  <c r="O30" i="5"/>
  <c r="K29" i="5"/>
  <c r="J29" i="5"/>
  <c r="I29" i="5"/>
  <c r="H29" i="5"/>
  <c r="G29" i="5"/>
  <c r="F29" i="5"/>
  <c r="E29" i="5"/>
  <c r="D29" i="5"/>
  <c r="C29" i="5"/>
  <c r="O28" i="5"/>
  <c r="O27" i="5"/>
  <c r="K26" i="5"/>
  <c r="J26" i="5"/>
  <c r="I26" i="5"/>
  <c r="H26" i="5"/>
  <c r="G26" i="5"/>
  <c r="F26" i="5"/>
  <c r="E26" i="5"/>
  <c r="D26" i="5"/>
  <c r="C26" i="5"/>
  <c r="O25" i="5"/>
  <c r="O24" i="5"/>
  <c r="O23" i="5"/>
  <c r="K22" i="5"/>
  <c r="J22" i="5"/>
  <c r="I22" i="5"/>
  <c r="H22" i="5"/>
  <c r="O22" i="5" s="1"/>
  <c r="G22" i="5"/>
  <c r="F22" i="5"/>
  <c r="E22" i="5"/>
  <c r="D22" i="5"/>
  <c r="C22" i="5"/>
  <c r="K21" i="5"/>
  <c r="J21" i="5"/>
  <c r="I21" i="5"/>
  <c r="H21" i="5"/>
  <c r="G21" i="5"/>
  <c r="F21" i="5"/>
  <c r="E21" i="5"/>
  <c r="D21" i="5"/>
  <c r="C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K6" i="5"/>
  <c r="J6" i="5"/>
  <c r="I6" i="5"/>
  <c r="H6" i="5"/>
  <c r="G6" i="5"/>
  <c r="F6" i="5"/>
  <c r="E6" i="5"/>
  <c r="D6" i="5"/>
  <c r="C6" i="5"/>
  <c r="D5" i="5"/>
  <c r="O5" i="5" s="1"/>
  <c r="F4" i="5"/>
  <c r="O4" i="5" s="1"/>
  <c r="D4" i="5"/>
  <c r="D61" i="5" s="1"/>
  <c r="C4" i="5"/>
  <c r="K3" i="5"/>
  <c r="J3" i="5"/>
  <c r="I3" i="5"/>
  <c r="H3" i="5"/>
  <c r="H61" i="5" s="1"/>
  <c r="G3" i="5"/>
  <c r="F3" i="5"/>
  <c r="F61" i="5" s="1"/>
  <c r="E3" i="5"/>
  <c r="D3" i="5"/>
  <c r="C3" i="5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3" i="4"/>
  <c r="O24" i="4"/>
  <c r="O25" i="4"/>
  <c r="O27" i="4"/>
  <c r="O28" i="4"/>
  <c r="O30" i="4"/>
  <c r="O31" i="4"/>
  <c r="O32" i="4"/>
  <c r="O33" i="4"/>
  <c r="O34" i="4"/>
  <c r="O35" i="4"/>
  <c r="O36" i="4"/>
  <c r="O37" i="4"/>
  <c r="O38" i="4"/>
  <c r="O39" i="4"/>
  <c r="O41" i="4"/>
  <c r="O42" i="4"/>
  <c r="O43" i="4"/>
  <c r="O44" i="4"/>
  <c r="O45" i="4"/>
  <c r="O46" i="4"/>
  <c r="O47" i="4"/>
  <c r="O48" i="4"/>
  <c r="O49" i="4"/>
  <c r="I3" i="4"/>
  <c r="K29" i="4"/>
  <c r="K22" i="4"/>
  <c r="K21" i="4"/>
  <c r="K6" i="4"/>
  <c r="K3" i="4"/>
  <c r="K26" i="4"/>
  <c r="J29" i="4"/>
  <c r="J22" i="4"/>
  <c r="J21" i="4"/>
  <c r="J6" i="4"/>
  <c r="J3" i="4"/>
  <c r="J26" i="4"/>
  <c r="I29" i="4"/>
  <c r="I22" i="4"/>
  <c r="I21" i="4"/>
  <c r="I26" i="4"/>
  <c r="I6" i="4"/>
  <c r="H29" i="4"/>
  <c r="H22" i="4"/>
  <c r="H21" i="4"/>
  <c r="H6" i="4"/>
  <c r="H3" i="4"/>
  <c r="H26" i="4"/>
  <c r="G26" i="4"/>
  <c r="G29" i="4"/>
  <c r="G22" i="4"/>
  <c r="G21" i="4"/>
  <c r="G6" i="4"/>
  <c r="G3" i="4"/>
  <c r="F26" i="4"/>
  <c r="F29" i="4"/>
  <c r="F22" i="4"/>
  <c r="F21" i="4"/>
  <c r="F6" i="4"/>
  <c r="F4" i="4"/>
  <c r="F3" i="4"/>
  <c r="F50" i="4" s="1"/>
  <c r="E41" i="4"/>
  <c r="E40" i="4"/>
  <c r="O40" i="4" s="1"/>
  <c r="E26" i="4"/>
  <c r="E29" i="4"/>
  <c r="E22" i="4"/>
  <c r="E21" i="4"/>
  <c r="E6" i="4"/>
  <c r="E3" i="4"/>
  <c r="D26" i="4"/>
  <c r="D29" i="4"/>
  <c r="D22" i="4"/>
  <c r="D21" i="4"/>
  <c r="D6" i="4"/>
  <c r="D5" i="4"/>
  <c r="O5" i="4" s="1"/>
  <c r="D4" i="4"/>
  <c r="D3" i="4"/>
  <c r="D50" i="4" s="1"/>
  <c r="C26" i="4"/>
  <c r="C29" i="4"/>
  <c r="C22" i="4"/>
  <c r="C21" i="4"/>
  <c r="C6" i="4"/>
  <c r="C4" i="4"/>
  <c r="C3" i="4"/>
  <c r="D50" i="6" l="1"/>
  <c r="J50" i="6"/>
  <c r="I50" i="6"/>
  <c r="H50" i="6"/>
  <c r="G50" i="6"/>
  <c r="F50" i="6"/>
  <c r="E50" i="6"/>
  <c r="O3" i="6"/>
  <c r="O4" i="4"/>
  <c r="O26" i="4"/>
  <c r="C61" i="5"/>
  <c r="O3" i="5"/>
  <c r="J61" i="5"/>
  <c r="O21" i="5"/>
  <c r="O6" i="5"/>
  <c r="O29" i="5"/>
  <c r="O26" i="5"/>
  <c r="G61" i="5"/>
  <c r="O6" i="4"/>
  <c r="I61" i="5"/>
  <c r="O29" i="4"/>
  <c r="O21" i="4"/>
  <c r="O22" i="4"/>
  <c r="K61" i="5"/>
  <c r="E61" i="5"/>
  <c r="O52" i="4"/>
  <c r="N50" i="4"/>
  <c r="M50" i="4"/>
  <c r="L50" i="4"/>
  <c r="K50" i="4"/>
  <c r="J50" i="4"/>
  <c r="I50" i="4"/>
  <c r="H50" i="4"/>
  <c r="G50" i="4"/>
  <c r="E50" i="4"/>
  <c r="C50" i="4"/>
  <c r="O3" i="4"/>
  <c r="K61" i="2"/>
  <c r="C8" i="3"/>
  <c r="O51" i="6" l="1"/>
  <c r="P52" i="6" s="1"/>
  <c r="O62" i="5"/>
  <c r="P63" i="5" s="1"/>
  <c r="O50" i="4"/>
  <c r="O61" i="5"/>
  <c r="O65" i="5" s="1"/>
  <c r="O51" i="4"/>
  <c r="C7" i="3"/>
  <c r="C6" i="3" s="1"/>
  <c r="C12" i="3" s="1"/>
  <c r="O42" i="2" l="1"/>
  <c r="O64" i="2"/>
  <c r="O63" i="2"/>
  <c r="N61" i="2"/>
  <c r="M61" i="2"/>
  <c r="L61" i="2"/>
  <c r="J61" i="2"/>
  <c r="I61" i="2"/>
  <c r="H61" i="2"/>
  <c r="G61" i="2"/>
  <c r="F61" i="2"/>
  <c r="E61" i="2"/>
  <c r="D61" i="2"/>
  <c r="C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7" i="2"/>
  <c r="O6" i="2"/>
  <c r="O5" i="2"/>
  <c r="O4" i="2"/>
  <c r="O3" i="2"/>
  <c r="T64" i="1"/>
  <c r="T63" i="1"/>
  <c r="T62" i="1"/>
  <c r="O63" i="1"/>
  <c r="O61" i="2" l="1"/>
  <c r="O65" i="2" s="1"/>
  <c r="O62" i="2"/>
  <c r="P63" i="2" s="1"/>
  <c r="O62" i="1"/>
  <c r="S48" i="1" l="1"/>
  <c r="R48" i="1"/>
  <c r="Q48" i="1"/>
  <c r="P48" i="1"/>
  <c r="O48" i="1"/>
  <c r="S50" i="1"/>
  <c r="R50" i="1"/>
  <c r="Q50" i="1"/>
  <c r="P50" i="1"/>
  <c r="O50" i="1"/>
  <c r="T48" i="1" l="1"/>
  <c r="T50" i="1"/>
  <c r="O28" i="1"/>
  <c r="S28" i="1"/>
  <c r="R28" i="1"/>
  <c r="Q28" i="1"/>
  <c r="P28" i="1"/>
  <c r="T28" i="1" l="1"/>
  <c r="S55" i="1"/>
  <c r="R55" i="1"/>
  <c r="Q55" i="1"/>
  <c r="P55" i="1"/>
  <c r="T55" i="1" l="1"/>
  <c r="O55" i="1"/>
  <c r="O56" i="1" l="1"/>
  <c r="O57" i="1"/>
  <c r="S52" i="1" l="1"/>
  <c r="R52" i="1"/>
  <c r="Q52" i="1"/>
  <c r="P52" i="1"/>
  <c r="O52" i="1"/>
  <c r="C60" i="1"/>
  <c r="T52" i="1" l="1"/>
  <c r="S59" i="1"/>
  <c r="R59" i="1"/>
  <c r="Q59" i="1"/>
  <c r="P59" i="1"/>
  <c r="O59" i="1"/>
  <c r="S58" i="1"/>
  <c r="R58" i="1"/>
  <c r="Q58" i="1"/>
  <c r="S57" i="1"/>
  <c r="R57" i="1"/>
  <c r="Q57" i="1"/>
  <c r="M60" i="1"/>
  <c r="L60" i="1"/>
  <c r="K60" i="1"/>
  <c r="J60" i="1"/>
  <c r="I60" i="1"/>
  <c r="H60" i="1"/>
  <c r="G60" i="1"/>
  <c r="F60" i="1"/>
  <c r="E60" i="1"/>
  <c r="D60" i="1"/>
  <c r="T59" i="1" l="1"/>
  <c r="N60" i="1"/>
  <c r="S25" i="1" l="1"/>
  <c r="R25" i="1"/>
  <c r="Q25" i="1"/>
  <c r="P25" i="1"/>
  <c r="S43" i="1"/>
  <c r="R43" i="1"/>
  <c r="Q43" i="1"/>
  <c r="P43" i="1"/>
  <c r="O43" i="1"/>
  <c r="S42" i="1"/>
  <c r="R42" i="1"/>
  <c r="Q42" i="1"/>
  <c r="P42" i="1"/>
  <c r="O42" i="1"/>
  <c r="S40" i="1"/>
  <c r="R40" i="1"/>
  <c r="Q40" i="1"/>
  <c r="P40" i="1"/>
  <c r="O40" i="1"/>
  <c r="S38" i="1"/>
  <c r="R38" i="1"/>
  <c r="Q38" i="1"/>
  <c r="P38" i="1"/>
  <c r="O38" i="1"/>
  <c r="O25" i="1"/>
  <c r="S7" i="1"/>
  <c r="R7" i="1"/>
  <c r="Q7" i="1"/>
  <c r="P7" i="1"/>
  <c r="O7" i="1"/>
  <c r="T25" i="1" l="1"/>
  <c r="T40" i="1"/>
  <c r="T42" i="1"/>
  <c r="T43" i="1"/>
  <c r="T38" i="1"/>
  <c r="T7" i="1"/>
  <c r="R39" i="1" l="1"/>
  <c r="Q39" i="1"/>
  <c r="P39" i="1"/>
  <c r="S39" i="1"/>
  <c r="O39" i="1" l="1"/>
  <c r="T39" i="1"/>
  <c r="S53" i="1" l="1"/>
  <c r="R53" i="1"/>
  <c r="Q53" i="1"/>
  <c r="P53" i="1"/>
  <c r="T53" i="1" l="1"/>
  <c r="O53" i="1" l="1"/>
  <c r="P58" i="1" l="1"/>
  <c r="T58" i="1" s="1"/>
  <c r="P57" i="1"/>
  <c r="T57" i="1" s="1"/>
  <c r="O58" i="1"/>
  <c r="S56" i="1"/>
  <c r="R56" i="1"/>
  <c r="Q56" i="1"/>
  <c r="P56" i="1"/>
  <c r="S54" i="1"/>
  <c r="R54" i="1"/>
  <c r="Q54" i="1"/>
  <c r="P54" i="1"/>
  <c r="S51" i="1"/>
  <c r="R51" i="1"/>
  <c r="Q51" i="1"/>
  <c r="P51" i="1"/>
  <c r="S49" i="1"/>
  <c r="R49" i="1"/>
  <c r="Q49" i="1"/>
  <c r="P49" i="1"/>
  <c r="S47" i="1"/>
  <c r="R47" i="1"/>
  <c r="Q47" i="1"/>
  <c r="P47" i="1"/>
  <c r="S46" i="1"/>
  <c r="R46" i="1"/>
  <c r="Q46" i="1"/>
  <c r="P46" i="1"/>
  <c r="S45" i="1"/>
  <c r="R45" i="1"/>
  <c r="Q45" i="1"/>
  <c r="P45" i="1"/>
  <c r="S44" i="1"/>
  <c r="R44" i="1"/>
  <c r="Q44" i="1"/>
  <c r="P44" i="1"/>
  <c r="S41" i="1"/>
  <c r="R41" i="1"/>
  <c r="Q41" i="1"/>
  <c r="P41" i="1"/>
  <c r="S37" i="1"/>
  <c r="R37" i="1"/>
  <c r="Q37" i="1"/>
  <c r="P37" i="1"/>
  <c r="S36" i="1"/>
  <c r="R36" i="1"/>
  <c r="Q36" i="1"/>
  <c r="P36" i="1"/>
  <c r="S35" i="1"/>
  <c r="R35" i="1"/>
  <c r="Q35" i="1"/>
  <c r="P35" i="1"/>
  <c r="S34" i="1"/>
  <c r="R34" i="1"/>
  <c r="Q34" i="1"/>
  <c r="P34" i="1"/>
  <c r="S33" i="1"/>
  <c r="R33" i="1"/>
  <c r="Q33" i="1"/>
  <c r="P33" i="1"/>
  <c r="S32" i="1"/>
  <c r="R32" i="1"/>
  <c r="Q32" i="1"/>
  <c r="P32" i="1"/>
  <c r="S31" i="1"/>
  <c r="R31" i="1"/>
  <c r="Q31" i="1"/>
  <c r="P31" i="1"/>
  <c r="S30" i="1"/>
  <c r="R30" i="1"/>
  <c r="Q30" i="1"/>
  <c r="P30" i="1"/>
  <c r="S29" i="1"/>
  <c r="R29" i="1"/>
  <c r="Q29" i="1"/>
  <c r="P29" i="1"/>
  <c r="S27" i="1"/>
  <c r="R27" i="1"/>
  <c r="Q27" i="1"/>
  <c r="P27" i="1"/>
  <c r="S26" i="1"/>
  <c r="R26" i="1"/>
  <c r="Q26" i="1"/>
  <c r="P26" i="1"/>
  <c r="S24" i="1"/>
  <c r="R24" i="1"/>
  <c r="Q24" i="1"/>
  <c r="P24" i="1"/>
  <c r="S23" i="1"/>
  <c r="R23" i="1"/>
  <c r="Q23" i="1"/>
  <c r="P23" i="1"/>
  <c r="S22" i="1"/>
  <c r="R22" i="1"/>
  <c r="Q22" i="1"/>
  <c r="P22" i="1"/>
  <c r="S21" i="1"/>
  <c r="R21" i="1"/>
  <c r="Q21" i="1"/>
  <c r="P21" i="1"/>
  <c r="S20" i="1"/>
  <c r="R20" i="1"/>
  <c r="Q20" i="1"/>
  <c r="P20" i="1"/>
  <c r="S19" i="1"/>
  <c r="R19" i="1"/>
  <c r="Q19" i="1"/>
  <c r="P19" i="1"/>
  <c r="S18" i="1"/>
  <c r="R18" i="1"/>
  <c r="Q18" i="1"/>
  <c r="P18" i="1"/>
  <c r="S17" i="1"/>
  <c r="R17" i="1"/>
  <c r="Q17" i="1"/>
  <c r="P17" i="1"/>
  <c r="S16" i="1"/>
  <c r="R16" i="1"/>
  <c r="Q16" i="1"/>
  <c r="P16" i="1"/>
  <c r="S15" i="1"/>
  <c r="R15" i="1"/>
  <c r="Q15" i="1"/>
  <c r="P15" i="1"/>
  <c r="S14" i="1"/>
  <c r="R14" i="1"/>
  <c r="Q14" i="1"/>
  <c r="P14" i="1"/>
  <c r="S13" i="1"/>
  <c r="R13" i="1"/>
  <c r="Q13" i="1"/>
  <c r="P13" i="1"/>
  <c r="S12" i="1"/>
  <c r="R12" i="1"/>
  <c r="Q12" i="1"/>
  <c r="P12" i="1"/>
  <c r="S11" i="1"/>
  <c r="R11" i="1"/>
  <c r="Q11" i="1"/>
  <c r="P11" i="1"/>
  <c r="S10" i="1"/>
  <c r="R10" i="1"/>
  <c r="Q10" i="1"/>
  <c r="P10" i="1"/>
  <c r="S9" i="1"/>
  <c r="R9" i="1"/>
  <c r="Q9" i="1"/>
  <c r="P9" i="1"/>
  <c r="S8" i="1"/>
  <c r="R8" i="1"/>
  <c r="Q8" i="1"/>
  <c r="P8" i="1"/>
  <c r="S6" i="1"/>
  <c r="R6" i="1"/>
  <c r="Q6" i="1"/>
  <c r="P6" i="1"/>
  <c r="S5" i="1"/>
  <c r="R5" i="1"/>
  <c r="Q5" i="1"/>
  <c r="P5" i="1"/>
  <c r="S4" i="1"/>
  <c r="R4" i="1"/>
  <c r="Q4" i="1"/>
  <c r="P4" i="1"/>
  <c r="S3" i="1"/>
  <c r="R3" i="1"/>
  <c r="Q3" i="1"/>
  <c r="P3" i="1"/>
  <c r="O15" i="1"/>
  <c r="O54" i="1"/>
  <c r="O51" i="1"/>
  <c r="O49" i="1"/>
  <c r="O47" i="1"/>
  <c r="O46" i="1"/>
  <c r="O45" i="1"/>
  <c r="O44" i="1"/>
  <c r="O41" i="1"/>
  <c r="O37" i="1"/>
  <c r="O36" i="1"/>
  <c r="O35" i="1"/>
  <c r="O34" i="1"/>
  <c r="O33" i="1"/>
  <c r="O32" i="1"/>
  <c r="O31" i="1"/>
  <c r="O30" i="1"/>
  <c r="O29" i="1"/>
  <c r="O27" i="1"/>
  <c r="O26" i="1"/>
  <c r="O24" i="1"/>
  <c r="O23" i="1"/>
  <c r="O22" i="1"/>
  <c r="O21" i="1"/>
  <c r="O20" i="1"/>
  <c r="O19" i="1"/>
  <c r="O18" i="1"/>
  <c r="O17" i="1"/>
  <c r="O16" i="1"/>
  <c r="O14" i="1"/>
  <c r="O13" i="1"/>
  <c r="O12" i="1"/>
  <c r="O11" i="1"/>
  <c r="O10" i="1"/>
  <c r="O9" i="1"/>
  <c r="O8" i="1"/>
  <c r="O6" i="1"/>
  <c r="O5" i="1"/>
  <c r="O4" i="1"/>
  <c r="O3" i="1"/>
  <c r="O60" i="1" l="1"/>
  <c r="P60" i="1"/>
  <c r="Q60" i="1"/>
  <c r="R60" i="1"/>
  <c r="S60" i="1"/>
  <c r="O61" i="1"/>
  <c r="T3" i="1"/>
  <c r="T4" i="1"/>
  <c r="T5" i="1"/>
  <c r="T6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6" i="1"/>
  <c r="T27" i="1"/>
  <c r="T29" i="1"/>
  <c r="T30" i="1"/>
  <c r="T31" i="1"/>
  <c r="T32" i="1"/>
  <c r="T33" i="1"/>
  <c r="T34" i="1"/>
  <c r="T35" i="1"/>
  <c r="T36" i="1"/>
  <c r="T37" i="1"/>
  <c r="T41" i="1"/>
  <c r="T44" i="1"/>
  <c r="T45" i="1"/>
  <c r="T46" i="1"/>
  <c r="T47" i="1"/>
  <c r="T49" i="1"/>
  <c r="T51" i="1"/>
  <c r="T54" i="1"/>
  <c r="T56" i="1"/>
  <c r="T60" i="1" l="1"/>
  <c r="T61" i="1"/>
  <c r="U62" i="1" l="1"/>
  <c r="O6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C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recibiremos financieramente $406453.37 
y 
$355,090.20 de la amortizacion del prestamo</t>
        </r>
      </text>
    </comment>
  </commentList>
</comments>
</file>

<file path=xl/sharedStrings.xml><?xml version="1.0" encoding="utf-8"?>
<sst xmlns="http://schemas.openxmlformats.org/spreadsheetml/2006/main" count="347" uniqueCount="105">
  <si>
    <t>FEBRERO</t>
  </si>
  <si>
    <t>ABRIL</t>
  </si>
  <si>
    <t>MAYO</t>
  </si>
  <si>
    <t>JUNIO</t>
  </si>
  <si>
    <t>JULIO</t>
  </si>
  <si>
    <t xml:space="preserve">AGOSTO </t>
  </si>
  <si>
    <t>SEPTIEMBRE</t>
  </si>
  <si>
    <t>DICIEMBRE</t>
  </si>
  <si>
    <t>OCTUBRE</t>
  </si>
  <si>
    <t>TOTAL</t>
  </si>
  <si>
    <t>ENERO</t>
  </si>
  <si>
    <t>DETALLE</t>
  </si>
  <si>
    <t>MARZO</t>
  </si>
  <si>
    <t>NOVIEMBRE</t>
  </si>
  <si>
    <t>Especifico Presupuestario</t>
  </si>
  <si>
    <t>DE COMERCIO</t>
  </si>
  <si>
    <t>DE INDUSTRIA</t>
  </si>
  <si>
    <t>DE SERVICIOS</t>
  </si>
  <si>
    <t>ESTUDIOS FOTORAFICOS</t>
  </si>
  <si>
    <t>HOTELES, MOTELES Y SIMILARES</t>
  </si>
  <si>
    <t>MEDICOS HOSPITALARIOS</t>
  </si>
  <si>
    <t>SERVICIOS PROFESIONALES</t>
  </si>
  <si>
    <t>SERVICIOS DE ESPARCIMEINTO</t>
  </si>
  <si>
    <t xml:space="preserve">TRANSPORTE </t>
  </si>
  <si>
    <t>IMPUESTOS MUNICIPALES DIVERSOS</t>
  </si>
  <si>
    <t>POR SERVICIOS DE CERTIFICACION O VISADO DE DOCUMENTOS</t>
  </si>
  <si>
    <t>POR EXPEDICION DE DOCUMENTO DE IDENTIFICACION</t>
  </si>
  <si>
    <t>ALUMBRADO PUBLICO</t>
  </si>
  <si>
    <t>ASEO PUBLICO</t>
  </si>
  <si>
    <t>CASETAS TELEFONICAS</t>
  </si>
  <si>
    <t>CEMENTERIOS MUNICIPALES</t>
  </si>
  <si>
    <t>FIESTAS</t>
  </si>
  <si>
    <t>MERCADOS</t>
  </si>
  <si>
    <t>PAVIMENTACION</t>
  </si>
  <si>
    <t>POSTES, TORRES Y ANTENAS</t>
  </si>
  <si>
    <t>RASTROS Y TIANGUE</t>
  </si>
  <si>
    <t>REVISION DE PLANOS</t>
  </si>
  <si>
    <t>TASAS DIVERSAS</t>
  </si>
  <si>
    <t>PERMISOS Y LICENCIAS MUNICIPALES</t>
  </si>
  <si>
    <t>COTEJO DE FIERROS</t>
  </si>
  <si>
    <t>DERECHOS DIVERSOS</t>
  </si>
  <si>
    <t>SERVICIOS BASICOS</t>
  </si>
  <si>
    <t>INTERESES POR MORA DE IMPUESTOS</t>
  </si>
  <si>
    <t>OTRAS MULTAS MUNICIPALES</t>
  </si>
  <si>
    <t>ARRENDAMIENTOS DE BIENES INMUEBLES</t>
  </si>
  <si>
    <t>RENTABILIDAD DE CUENTAS BANCARIAS</t>
  </si>
  <si>
    <t>INGRESOS DIVERSOS</t>
  </si>
  <si>
    <t>VENTA DE TERRENOS</t>
  </si>
  <si>
    <t>SALDO INICIAL EN CAJA</t>
  </si>
  <si>
    <t>MAQUINAS TRAGANIQUEL</t>
  </si>
  <si>
    <t>VALLAS PUBLICITARIAS</t>
  </si>
  <si>
    <t>VIALIDAD</t>
  </si>
  <si>
    <t xml:space="preserve"> 1ER TRIMESTRE (Enero- Marzo)</t>
  </si>
  <si>
    <t>2DO. TRIMESTRE (Abril- Junio)</t>
  </si>
  <si>
    <t>3ER. TRIMESTRE (Julio- Septiembre)</t>
  </si>
  <si>
    <t>4TO. TRIMESTRE (Octubre- Diciembre)</t>
  </si>
  <si>
    <t>CUENTAS POR COBRAR DE AÑOS ANTERIORES FONDOS PROPIOS</t>
  </si>
  <si>
    <t>PROYECCION INGRESO</t>
  </si>
  <si>
    <t>DE BIENES DIVERSOS</t>
  </si>
  <si>
    <t>FINANCIEROS</t>
  </si>
  <si>
    <t>BARES Y RESTAURANTES</t>
  </si>
  <si>
    <t xml:space="preserve">  TOTAL DE INGRESOS</t>
  </si>
  <si>
    <t>DESECHOS</t>
  </si>
  <si>
    <t>AGROPECUARIOS</t>
  </si>
  <si>
    <t>SERVICIOS DIVERSOS</t>
  </si>
  <si>
    <t>MULTAS POR MORA DE IMPUESTOS</t>
  </si>
  <si>
    <t>MULTAS POR DECLARACION EXTEMPORANEA</t>
  </si>
  <si>
    <t>MULTAS POR REGISTROS CIVIL</t>
  </si>
  <si>
    <t xml:space="preserve">                    ANEXO 3</t>
  </si>
  <si>
    <t>CUENTAS POR COBRAR DE AÑOS ANTERIORES (Fondo 25% FODES Junio a Dic./20)</t>
  </si>
  <si>
    <t>CUENTAS POR COBRAR DE AÑOS ANTERIORES (Fondo 75% FODES Junio a Dic/20)</t>
  </si>
  <si>
    <t>CUENTAS POR COBRAR DE AÑOS ANTERIORES (Fondo 2% FODES Junio a Dic./20)</t>
  </si>
  <si>
    <t>SALDO INICIAL EN BANCO BID Y FMI</t>
  </si>
  <si>
    <t>Servicio Mercado</t>
  </si>
  <si>
    <t xml:space="preserve">                   PROYECCION DE INGRESO</t>
  </si>
  <si>
    <t>SALDO INICIAL EN BANCO FIESTAS CIVICAS Y PATRONALES Y OTRAS CTAS. DE FONDOS PROPIOS</t>
  </si>
  <si>
    <t>SALDO INICIAL EN BANCO DONACIONES DIVERSAS</t>
  </si>
  <si>
    <t>SALDO INICIAL EN BANCO FODES LIBRE DISPONIBILIDAD</t>
  </si>
  <si>
    <t>DE EMPRESAS PRIVADAS FINANCIERAS</t>
  </si>
  <si>
    <t>Obligaciones y Transferencias Generales del Estado (Fondos BID)(1.5% FODES LIBRE DISPONIBILIDAD)</t>
  </si>
  <si>
    <t xml:space="preserve">                  ANEXO 3</t>
  </si>
  <si>
    <t>PRESUPUESTO EGRESO</t>
  </si>
  <si>
    <t>PROGRAMACION PRESUPUESTARIA DE INGRESO POR TRIMESTRE PARA EL EJERCICIO 2023</t>
  </si>
  <si>
    <t>PRESUPUESTO DE INGRESO PARA EL  2024</t>
  </si>
  <si>
    <t>92,51</t>
  </si>
  <si>
    <t>MULTAS AL COMERCIO</t>
  </si>
  <si>
    <t>42,75</t>
  </si>
  <si>
    <t>DEPARTAMENTO DE SONSONATE</t>
  </si>
  <si>
    <t>CODIGO G.O.E.S</t>
  </si>
  <si>
    <t>CLASIFICACION G.O.E.S.</t>
  </si>
  <si>
    <t>INGRESO 2022</t>
  </si>
  <si>
    <t>INGRESOS CORRIENTES</t>
  </si>
  <si>
    <t>16</t>
  </si>
  <si>
    <t>TRANSFERENCIAS CORRIENTES</t>
  </si>
  <si>
    <t>Transferencias Corrientes del Sector Público</t>
  </si>
  <si>
    <t xml:space="preserve">INGRESOS TOTALES </t>
  </si>
  <si>
    <t>ALCALDIA MUNICIPAL DE ACAJUTLA</t>
  </si>
  <si>
    <r>
      <t>ESTIMACION Y PROYECCION DE INGRESOS FODES PARA EL PRESUPUESTO DEL AÑO 2023</t>
    </r>
    <r>
      <rPr>
        <sz val="11"/>
        <color indexed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indexed="8"/>
        <rFont val="Arial"/>
        <family val="2"/>
      </rPr>
      <t xml:space="preserve">ALCALDIA MUNICIPAL DE: SAN JULIAN  DEPARTAMENTO  DE  SONSONATE   </t>
    </r>
  </si>
  <si>
    <t xml:space="preserve"> </t>
  </si>
  <si>
    <t>Transferencias Corrientes del Sector Público                         (FODES 1.5% funcionamiento)</t>
  </si>
  <si>
    <t>Transferencias Corrientes del Sector Público                         (Fondo de Apoyo Municipal)</t>
  </si>
  <si>
    <t>Transferencias Corrientes del Sector Público                         (AMORTIZACION DE PRESTAMO)</t>
  </si>
  <si>
    <t xml:space="preserve">LOS POSTES TORRES Y ANTENAS A ´PARTIR DE ENERO SE LES COBRARA $4.00 MAS A CLESA Y SON 4111 POSTES POR LO CUAL HACE UN TOTAL DE $16,444.00 MENSUALES Y $822.20 DEL 5% FIESTAS </t>
  </si>
  <si>
    <t>X</t>
  </si>
  <si>
    <t>AUMENTAR ESTOS MONTOS A LAS CIFRAS RESPECTIVAS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</si>
</sst>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000"/>
    <numFmt numFmtId="166" formatCode="_(* #,##0.00_);_(* \(#,##0.00\);_(* \-??_);_(@_)"/>
    <numFmt numFmtId="167" formatCode="_-\$* #,##0.00_-;&quot;-$&quot;* #,##0.00_-;_-\$* \-??_-;_-@_-"/>
    <numFmt numFmtId="168" formatCode="_ &quot;$ &quot;* #,##0.00_ ;_ &quot;$ &quot;* \-#,##0.00_ ;_ &quot;$ &quot;* \-??_ ;_ @_ "/>
    <numFmt numFmtId="169" formatCode="_ * #,##0.00_ ;_ * \-#,##0.00_ ;_ * \-??_ ;_ @_ "/>
  </numFmts>
  <fonts count="2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1.5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7" tint="0.59999389629810485"/>
        <bgColor indexed="26"/>
      </patternFill>
    </fill>
    <fill>
      <patternFill patternType="solid">
        <fgColor theme="9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164" fontId="5" fillId="0" borderId="0" xfId="0" applyNumberFormat="1" applyFont="1"/>
    <xf numFmtId="0" fontId="5" fillId="0" borderId="0" xfId="0" applyFont="1"/>
    <xf numFmtId="164" fontId="4" fillId="0" borderId="0" xfId="0" applyNumberFormat="1" applyFont="1"/>
    <xf numFmtId="0" fontId="6" fillId="0" borderId="2" xfId="0" applyFont="1" applyBorder="1" applyAlignment="1">
      <alignment horizontal="center" textRotation="90" wrapText="1" readingOrder="1"/>
    </xf>
    <xf numFmtId="0" fontId="8" fillId="0" borderId="1" xfId="0" applyFont="1" applyBorder="1"/>
    <xf numFmtId="164" fontId="7" fillId="0" borderId="1" xfId="0" applyNumberFormat="1" applyFont="1" applyBorder="1"/>
    <xf numFmtId="0" fontId="8" fillId="0" borderId="1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6" fillId="0" borderId="2" xfId="0" applyFont="1" applyBorder="1" applyAlignment="1">
      <alignment horizontal="center" readingOrder="1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164" fontId="8" fillId="0" borderId="1" xfId="1" applyFont="1" applyBorder="1"/>
    <xf numFmtId="164" fontId="8" fillId="0" borderId="1" xfId="0" applyNumberFormat="1" applyFont="1" applyBorder="1"/>
    <xf numFmtId="164" fontId="6" fillId="0" borderId="1" xfId="0" applyNumberFormat="1" applyFont="1" applyBorder="1"/>
    <xf numFmtId="164" fontId="6" fillId="0" borderId="0" xfId="0" applyNumberFormat="1" applyFont="1"/>
    <xf numFmtId="0" fontId="6" fillId="0" borderId="0" xfId="0" applyFont="1"/>
    <xf numFmtId="164" fontId="7" fillId="0" borderId="0" xfId="0" applyNumberFormat="1" applyFont="1"/>
    <xf numFmtId="164" fontId="2" fillId="0" borderId="0" xfId="1" applyFont="1"/>
    <xf numFmtId="17" fontId="6" fillId="0" borderId="1" xfId="0" applyNumberFormat="1" applyFont="1" applyBorder="1" applyAlignment="1">
      <alignment horizontal="center"/>
    </xf>
    <xf numFmtId="17" fontId="6" fillId="0" borderId="3" xfId="0" applyNumberFormat="1" applyFont="1" applyBorder="1" applyAlignment="1">
      <alignment horizontal="center"/>
    </xf>
    <xf numFmtId="164" fontId="8" fillId="2" borderId="1" xfId="1" applyFont="1" applyFill="1" applyBorder="1"/>
    <xf numFmtId="0" fontId="8" fillId="2" borderId="1" xfId="0" applyFont="1" applyFill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165" fontId="13" fillId="3" borderId="1" xfId="0" applyNumberFormat="1" applyFont="1" applyFill="1" applyBorder="1" applyAlignment="1">
      <alignment vertical="center" wrapText="1"/>
    </xf>
    <xf numFmtId="165" fontId="14" fillId="4" borderId="1" xfId="0" applyNumberFormat="1" applyFont="1" applyFill="1" applyBorder="1" applyAlignment="1">
      <alignment horizontal="left" vertical="center" wrapText="1"/>
    </xf>
    <xf numFmtId="165" fontId="14" fillId="4" borderId="1" xfId="0" applyNumberFormat="1" applyFont="1" applyFill="1" applyBorder="1" applyAlignment="1">
      <alignment horizontal="center" vertical="center" wrapText="1"/>
    </xf>
    <xf numFmtId="49" fontId="14" fillId="5" borderId="1" xfId="2" applyNumberFormat="1" applyFont="1" applyFill="1" applyBorder="1" applyAlignment="1" applyProtection="1">
      <alignment horizontal="left"/>
    </xf>
    <xf numFmtId="165" fontId="14" fillId="5" borderId="1" xfId="0" applyNumberFormat="1" applyFont="1" applyFill="1" applyBorder="1" applyAlignment="1">
      <alignment horizontal="center" vertical="center" wrapText="1"/>
    </xf>
    <xf numFmtId="167" fontId="15" fillId="5" borderId="1" xfId="1" applyNumberFormat="1" applyFont="1" applyFill="1" applyBorder="1" applyAlignment="1" applyProtection="1">
      <alignment horizontal="left" vertical="center"/>
    </xf>
    <xf numFmtId="0" fontId="14" fillId="6" borderId="1" xfId="2" applyNumberFormat="1" applyFont="1" applyFill="1" applyBorder="1" applyAlignment="1" applyProtection="1">
      <alignment horizontal="left"/>
    </xf>
    <xf numFmtId="165" fontId="14" fillId="6" borderId="1" xfId="0" applyNumberFormat="1" applyFont="1" applyFill="1" applyBorder="1" applyAlignment="1">
      <alignment horizontal="left" vertical="center" wrapText="1"/>
    </xf>
    <xf numFmtId="168" fontId="14" fillId="6" borderId="1" xfId="2" applyNumberFormat="1" applyFont="1" applyFill="1" applyBorder="1" applyAlignment="1" applyProtection="1">
      <alignment horizontal="left" vertical="center"/>
    </xf>
    <xf numFmtId="0" fontId="14" fillId="7" borderId="1" xfId="2" applyNumberFormat="1" applyFont="1" applyFill="1" applyBorder="1" applyAlignment="1" applyProtection="1">
      <alignment horizontal="left"/>
    </xf>
    <xf numFmtId="165" fontId="14" fillId="7" borderId="1" xfId="0" applyNumberFormat="1" applyFont="1" applyFill="1" applyBorder="1" applyAlignment="1">
      <alignment horizontal="left" vertical="center" wrapText="1"/>
    </xf>
    <xf numFmtId="164" fontId="14" fillId="7" borderId="1" xfId="1" applyFont="1" applyFill="1" applyBorder="1" applyAlignment="1" applyProtection="1">
      <alignment horizontal="left" vertical="center"/>
    </xf>
    <xf numFmtId="0" fontId="16" fillId="8" borderId="1" xfId="2" applyNumberFormat="1" applyFont="1" applyFill="1" applyBorder="1" applyAlignment="1" applyProtection="1">
      <alignment horizontal="left"/>
    </xf>
    <xf numFmtId="165" fontId="16" fillId="8" borderId="1" xfId="0" applyNumberFormat="1" applyFont="1" applyFill="1" applyBorder="1" applyAlignment="1">
      <alignment horizontal="left" vertical="center" wrapText="1"/>
    </xf>
    <xf numFmtId="164" fontId="16" fillId="8" borderId="1" xfId="1" applyFont="1" applyFill="1" applyBorder="1" applyAlignment="1" applyProtection="1">
      <alignment horizontal="left" vertical="center"/>
    </xf>
    <xf numFmtId="168" fontId="14" fillId="8" borderId="1" xfId="2" applyNumberFormat="1" applyFont="1" applyFill="1" applyBorder="1" applyAlignment="1" applyProtection="1">
      <alignment horizontal="left" vertical="center"/>
    </xf>
    <xf numFmtId="165" fontId="16" fillId="8" borderId="0" xfId="0" applyNumberFormat="1" applyFont="1" applyFill="1" applyAlignment="1">
      <alignment horizontal="center" vertical="center"/>
    </xf>
    <xf numFmtId="165" fontId="16" fillId="8" borderId="0" xfId="0" applyNumberFormat="1" applyFont="1" applyFill="1" applyAlignment="1">
      <alignment vertical="center"/>
    </xf>
    <xf numFmtId="169" fontId="16" fillId="8" borderId="0" xfId="0" applyNumberFormat="1" applyFont="1" applyFill="1" applyAlignment="1">
      <alignment vertical="center"/>
    </xf>
    <xf numFmtId="166" fontId="17" fillId="0" borderId="0" xfId="0" applyNumberFormat="1" applyFont="1" applyAlignment="1">
      <alignment horizontal="center" vertical="center"/>
    </xf>
    <xf numFmtId="164" fontId="16" fillId="9" borderId="1" xfId="1" applyFont="1" applyFill="1" applyBorder="1" applyAlignment="1" applyProtection="1">
      <alignment horizontal="left" vertical="center"/>
    </xf>
    <xf numFmtId="17" fontId="6" fillId="2" borderId="1" xfId="0" applyNumberFormat="1" applyFont="1" applyFill="1" applyBorder="1" applyAlignment="1">
      <alignment horizontal="center"/>
    </xf>
    <xf numFmtId="164" fontId="8" fillId="10" borderId="1" xfId="1" applyFont="1" applyFill="1" applyBorder="1"/>
    <xf numFmtId="164" fontId="8" fillId="11" borderId="1" xfId="1" applyFont="1" applyFill="1" applyBorder="1"/>
    <xf numFmtId="17" fontId="6" fillId="10" borderId="1" xfId="0" applyNumberFormat="1" applyFont="1" applyFill="1" applyBorder="1" applyAlignment="1">
      <alignment horizontal="center"/>
    </xf>
    <xf numFmtId="164" fontId="8" fillId="10" borderId="1" xfId="0" applyNumberFormat="1" applyFont="1" applyFill="1" applyBorder="1"/>
    <xf numFmtId="17" fontId="6" fillId="11" borderId="1" xfId="0" applyNumberFormat="1" applyFont="1" applyFill="1" applyBorder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3" fillId="0" borderId="0" xfId="0" applyFont="1"/>
    <xf numFmtId="164" fontId="21" fillId="0" borderId="0" xfId="1" applyFont="1" applyBorder="1" applyAlignment="1">
      <alignment horizontal="center"/>
    </xf>
    <xf numFmtId="17" fontId="6" fillId="12" borderId="1" xfId="0" applyNumberFormat="1" applyFont="1" applyFill="1" applyBorder="1" applyAlignment="1">
      <alignment horizontal="center"/>
    </xf>
    <xf numFmtId="17" fontId="6" fillId="12" borderId="3" xfId="0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5" fontId="11" fillId="3" borderId="1" xfId="0" applyNumberFormat="1" applyFont="1" applyFill="1" applyBorder="1" applyAlignment="1">
      <alignment horizontal="center" vertical="center" wrapText="1"/>
    </xf>
    <xf numFmtId="165" fontId="14" fillId="8" borderId="1" xfId="0" applyNumberFormat="1" applyFont="1" applyFill="1" applyBorder="1" applyAlignment="1">
      <alignment horizontal="center" vertical="center"/>
    </xf>
    <xf numFmtId="164" fontId="21" fillId="0" borderId="0" xfId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4" fontId="22" fillId="0" borderId="0" xfId="0" applyNumberFormat="1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ESUPUESTO01\OneDrive%20-%20Alcaldia%20Municipal%20de%20Acajutla%20(Teams%20Exploratory)\compartido\OneDrive%20-%20Alcaldia%20Municipal%20de%20Acajutla%20(Teams%20Exploratory)\FORMULACION%202023\PROYECCION%20DE%20INGRES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ESUPUESTO01\OneDrive%20-%20Alcaldia%20Municipal%20de%20Acajutla%20(Teams%20Exploratory)\compartido\OneDrive%20-%20Alcaldia%20Municipal%20de%20Acajutla%20(Teams%20Exploratory)\FORMULACION%202023\PRESUPUST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 2022"/>
      <sheetName val="PROYECCION DE INGRESOS 2023"/>
    </sheetNames>
    <sheetDataSet>
      <sheetData sheetId="0"/>
      <sheetData sheetId="1">
        <row r="68">
          <cell r="I68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ESTRUCTURA"/>
      <sheetName val="PRESUPUESTO DE GASTOS X DEPTO."/>
      <sheetName val="ANEXO 4.1 FONDOS PROPIOS"/>
      <sheetName val="ANEXO 4.2 FODES LIBRE DISPON."/>
      <sheetName val="ANEXO 4.3.1 PROYECTOS LIBRE DI "/>
      <sheetName val="ANEXO 4.3.2. PROYECTOS FMI,BID"/>
      <sheetName val="ANEXO 4.3.3 PROYECTOS PRESTAMOS"/>
      <sheetName val="ANEXO 4.4 AMORTIZACION"/>
      <sheetName val="ANEXO 4.5 DONACION"/>
      <sheetName val="ANEXO 3 CONSOLIDADO DE INGRESO"/>
      <sheetName val="ANEXO 4 CONSOLIDADO DE EGRESO"/>
      <sheetName val="SALDO DEL 2022 LIBRE DISPON"/>
      <sheetName val="LIBRE DISPONIBILID2023"/>
      <sheetName val="EXPLICACION DISPONIB. BANCA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5">
          <cell r="I55">
            <v>0</v>
          </cell>
        </row>
      </sheetData>
      <sheetData sheetId="10">
        <row r="88">
          <cell r="R88">
            <v>0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2"/>
  <sheetViews>
    <sheetView workbookViewId="0">
      <selection activeCell="H12" sqref="H12"/>
    </sheetView>
  </sheetViews>
  <sheetFormatPr baseColWidth="10" defaultRowHeight="15" x14ac:dyDescent="0.25"/>
  <cols>
    <col min="1" max="1" width="7.85546875" customWidth="1"/>
    <col min="2" max="2" width="17.85546875" customWidth="1"/>
    <col min="3" max="3" width="11.42578125" customWidth="1"/>
    <col min="4" max="5" width="10.140625" customWidth="1"/>
    <col min="6" max="6" width="8.85546875" customWidth="1"/>
    <col min="7" max="7" width="9.140625" customWidth="1"/>
    <col min="8" max="8" width="10.140625" customWidth="1"/>
    <col min="9" max="9" width="10.42578125" customWidth="1"/>
    <col min="10" max="11" width="10.28515625" customWidth="1"/>
    <col min="12" max="12" width="10.140625" customWidth="1"/>
    <col min="13" max="13" width="9.5703125" customWidth="1"/>
    <col min="14" max="14" width="9.28515625" customWidth="1"/>
    <col min="15" max="15" width="12.85546875" customWidth="1"/>
    <col min="16" max="16" width="11.85546875" customWidth="1"/>
    <col min="17" max="17" width="13.42578125" customWidth="1"/>
    <col min="18" max="18" width="15.85546875" customWidth="1"/>
    <col min="19" max="19" width="18" customWidth="1"/>
    <col min="20" max="20" width="18.140625" customWidth="1"/>
    <col min="21" max="21" width="11.7109375" bestFit="1" customWidth="1"/>
  </cols>
  <sheetData>
    <row r="1" spans="1:20" ht="30.75" customHeight="1" x14ac:dyDescent="0.25">
      <c r="A1" s="62" t="s">
        <v>82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2" spans="1:20" ht="64.5" customHeight="1" x14ac:dyDescent="0.25">
      <c r="A2" s="5" t="s">
        <v>14</v>
      </c>
      <c r="B2" s="11" t="s">
        <v>11</v>
      </c>
      <c r="C2" s="12" t="s">
        <v>10</v>
      </c>
      <c r="D2" s="12" t="s">
        <v>0</v>
      </c>
      <c r="E2" s="12" t="s">
        <v>12</v>
      </c>
      <c r="F2" s="13" t="s">
        <v>1</v>
      </c>
      <c r="G2" s="12" t="s">
        <v>2</v>
      </c>
      <c r="H2" s="12" t="s">
        <v>3</v>
      </c>
      <c r="I2" s="12" t="s">
        <v>4</v>
      </c>
      <c r="J2" s="12" t="s">
        <v>5</v>
      </c>
      <c r="K2" s="12" t="s">
        <v>6</v>
      </c>
      <c r="L2" s="12" t="s">
        <v>8</v>
      </c>
      <c r="M2" s="12" t="s">
        <v>13</v>
      </c>
      <c r="N2" s="12" t="s">
        <v>7</v>
      </c>
      <c r="O2" s="12" t="s">
        <v>9</v>
      </c>
      <c r="P2" s="14" t="s">
        <v>52</v>
      </c>
      <c r="Q2" s="14" t="s">
        <v>53</v>
      </c>
      <c r="R2" s="14" t="s">
        <v>54</v>
      </c>
      <c r="S2" s="14" t="s">
        <v>55</v>
      </c>
      <c r="T2" s="14" t="s">
        <v>9</v>
      </c>
    </row>
    <row r="3" spans="1:20" ht="27" customHeight="1" x14ac:dyDescent="0.25">
      <c r="A3" s="6">
        <v>11801</v>
      </c>
      <c r="B3" s="6" t="s">
        <v>15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>
        <f>N3+M3+L3+K3+J3+I3+H3+G3+F3+E3+D3+C3</f>
        <v>0</v>
      </c>
      <c r="P3" s="16">
        <f>C3+D3+E3</f>
        <v>0</v>
      </c>
      <c r="Q3" s="16">
        <f>F3+G3+H3</f>
        <v>0</v>
      </c>
      <c r="R3" s="16">
        <f>I3+J3+K3</f>
        <v>0</v>
      </c>
      <c r="S3" s="16">
        <f>L3+M3+N3</f>
        <v>0</v>
      </c>
      <c r="T3" s="17">
        <f>P3+Q3+R3+S3</f>
        <v>0</v>
      </c>
    </row>
    <row r="4" spans="1:20" ht="23.25" customHeight="1" x14ac:dyDescent="0.25">
      <c r="A4" s="6">
        <v>11802</v>
      </c>
      <c r="B4" s="6" t="s">
        <v>16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>
        <f t="shared" ref="O4:O59" si="0">N4+M4+L4+K4+J4+I4+H4+G4+F4+E4+D4+C4</f>
        <v>0</v>
      </c>
      <c r="P4" s="16">
        <f t="shared" ref="P4:P54" si="1">C4+D4+E4</f>
        <v>0</v>
      </c>
      <c r="Q4" s="16">
        <f t="shared" ref="Q4:Q54" si="2">F4+G4+H4</f>
        <v>0</v>
      </c>
      <c r="R4" s="16">
        <f t="shared" ref="R4:R54" si="3">I4+J4+K4</f>
        <v>0</v>
      </c>
      <c r="S4" s="16">
        <f t="shared" ref="S4:S54" si="4">L4+M4+N4</f>
        <v>0</v>
      </c>
      <c r="T4" s="17">
        <f t="shared" ref="T4:T58" si="5">P4+Q4+R4+S4</f>
        <v>0</v>
      </c>
    </row>
    <row r="5" spans="1:20" ht="24" customHeight="1" x14ac:dyDescent="0.25">
      <c r="A5" s="6">
        <v>11803</v>
      </c>
      <c r="B5" s="6" t="s">
        <v>59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>
        <f t="shared" si="0"/>
        <v>0</v>
      </c>
      <c r="P5" s="16">
        <f t="shared" si="1"/>
        <v>0</v>
      </c>
      <c r="Q5" s="16">
        <f t="shared" si="2"/>
        <v>0</v>
      </c>
      <c r="R5" s="16">
        <f t="shared" si="3"/>
        <v>0</v>
      </c>
      <c r="S5" s="16">
        <f t="shared" si="4"/>
        <v>0</v>
      </c>
      <c r="T5" s="17">
        <f t="shared" si="5"/>
        <v>0</v>
      </c>
    </row>
    <row r="6" spans="1:20" ht="25.5" customHeight="1" x14ac:dyDescent="0.25">
      <c r="A6" s="6">
        <v>11804</v>
      </c>
      <c r="B6" s="6" t="s">
        <v>17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>
        <f t="shared" si="0"/>
        <v>0</v>
      </c>
      <c r="P6" s="16">
        <f t="shared" si="1"/>
        <v>0</v>
      </c>
      <c r="Q6" s="16">
        <f t="shared" si="2"/>
        <v>0</v>
      </c>
      <c r="R6" s="16">
        <f t="shared" si="3"/>
        <v>0</v>
      </c>
      <c r="S6" s="16">
        <f t="shared" si="4"/>
        <v>0</v>
      </c>
      <c r="T6" s="17">
        <f t="shared" si="5"/>
        <v>0</v>
      </c>
    </row>
    <row r="7" spans="1:20" ht="25.5" customHeight="1" x14ac:dyDescent="0.25">
      <c r="A7" s="6">
        <v>11805</v>
      </c>
      <c r="B7" s="6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>
        <f t="shared" ref="O7" si="6">N7+M7+L7+K7+J7+I7+H7+G7+F7+E7+D7+C7</f>
        <v>0</v>
      </c>
      <c r="P7" s="16">
        <f t="shared" ref="P7" si="7">C7+D7+E7</f>
        <v>0</v>
      </c>
      <c r="Q7" s="16">
        <f t="shared" ref="Q7" si="8">F7+G7+H7</f>
        <v>0</v>
      </c>
      <c r="R7" s="16">
        <f t="shared" ref="R7" si="9">I7+J7+K7</f>
        <v>0</v>
      </c>
      <c r="S7" s="16">
        <f t="shared" ref="S7" si="10">L7+M7+N7</f>
        <v>0</v>
      </c>
      <c r="T7" s="17">
        <f t="shared" ref="T7" si="11">P7+Q7+R7+S7</f>
        <v>0</v>
      </c>
    </row>
    <row r="8" spans="1:20" ht="29.25" customHeight="1" x14ac:dyDescent="0.25">
      <c r="A8" s="6">
        <v>11806</v>
      </c>
      <c r="B8" s="8" t="s">
        <v>60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>
        <f t="shared" si="0"/>
        <v>0</v>
      </c>
      <c r="P8" s="16">
        <f t="shared" si="1"/>
        <v>0</v>
      </c>
      <c r="Q8" s="16">
        <f t="shared" si="2"/>
        <v>0</v>
      </c>
      <c r="R8" s="16">
        <f t="shared" si="3"/>
        <v>0</v>
      </c>
      <c r="S8" s="16">
        <f t="shared" si="4"/>
        <v>0</v>
      </c>
      <c r="T8" s="17">
        <f t="shared" si="5"/>
        <v>0</v>
      </c>
    </row>
    <row r="9" spans="1:20" ht="30.75" customHeight="1" x14ac:dyDescent="0.25">
      <c r="A9" s="6">
        <v>11809</v>
      </c>
      <c r="B9" s="8" t="s">
        <v>18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>
        <f t="shared" si="0"/>
        <v>0</v>
      </c>
      <c r="P9" s="16">
        <f t="shared" si="1"/>
        <v>0</v>
      </c>
      <c r="Q9" s="16">
        <f t="shared" si="2"/>
        <v>0</v>
      </c>
      <c r="R9" s="16">
        <f t="shared" si="3"/>
        <v>0</v>
      </c>
      <c r="S9" s="16">
        <f t="shared" si="4"/>
        <v>0</v>
      </c>
      <c r="T9" s="17">
        <f t="shared" si="5"/>
        <v>0</v>
      </c>
    </row>
    <row r="10" spans="1:20" ht="30.75" customHeight="1" x14ac:dyDescent="0.25">
      <c r="A10" s="6">
        <v>11810</v>
      </c>
      <c r="B10" s="8" t="s">
        <v>19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>
        <f t="shared" si="0"/>
        <v>0</v>
      </c>
      <c r="P10" s="16">
        <f t="shared" si="1"/>
        <v>0</v>
      </c>
      <c r="Q10" s="16">
        <f t="shared" si="2"/>
        <v>0</v>
      </c>
      <c r="R10" s="16">
        <f t="shared" si="3"/>
        <v>0</v>
      </c>
      <c r="S10" s="16">
        <f t="shared" si="4"/>
        <v>0</v>
      </c>
      <c r="T10" s="17">
        <f t="shared" si="5"/>
        <v>0</v>
      </c>
    </row>
    <row r="11" spans="1:20" ht="32.25" customHeight="1" x14ac:dyDescent="0.25">
      <c r="A11" s="6">
        <v>11812</v>
      </c>
      <c r="B11" s="8" t="s">
        <v>49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>
        <f t="shared" si="0"/>
        <v>0</v>
      </c>
      <c r="P11" s="16">
        <f t="shared" si="1"/>
        <v>0</v>
      </c>
      <c r="Q11" s="16">
        <f t="shared" si="2"/>
        <v>0</v>
      </c>
      <c r="R11" s="16">
        <f t="shared" si="3"/>
        <v>0</v>
      </c>
      <c r="S11" s="16">
        <f t="shared" si="4"/>
        <v>0</v>
      </c>
      <c r="T11" s="17">
        <f t="shared" si="5"/>
        <v>0</v>
      </c>
    </row>
    <row r="12" spans="1:20" ht="31.5" customHeight="1" x14ac:dyDescent="0.25">
      <c r="A12" s="6">
        <v>11813</v>
      </c>
      <c r="B12" s="8" t="s">
        <v>20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>
        <f t="shared" si="0"/>
        <v>0</v>
      </c>
      <c r="P12" s="16">
        <f t="shared" si="1"/>
        <v>0</v>
      </c>
      <c r="Q12" s="16">
        <f t="shared" si="2"/>
        <v>0</v>
      </c>
      <c r="R12" s="16">
        <f t="shared" si="3"/>
        <v>0</v>
      </c>
      <c r="S12" s="16">
        <f t="shared" si="4"/>
        <v>0</v>
      </c>
      <c r="T12" s="17">
        <f t="shared" si="5"/>
        <v>0</v>
      </c>
    </row>
    <row r="13" spans="1:20" ht="33.75" customHeight="1" x14ac:dyDescent="0.25">
      <c r="A13" s="6">
        <v>11814</v>
      </c>
      <c r="B13" s="8" t="s">
        <v>21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>
        <f t="shared" si="0"/>
        <v>0</v>
      </c>
      <c r="P13" s="16">
        <f t="shared" si="1"/>
        <v>0</v>
      </c>
      <c r="Q13" s="16">
        <f t="shared" si="2"/>
        <v>0</v>
      </c>
      <c r="R13" s="16">
        <f t="shared" si="3"/>
        <v>0</v>
      </c>
      <c r="S13" s="16">
        <f t="shared" si="4"/>
        <v>0</v>
      </c>
      <c r="T13" s="17">
        <f t="shared" si="5"/>
        <v>0</v>
      </c>
    </row>
    <row r="14" spans="1:20" ht="34.5" customHeight="1" x14ac:dyDescent="0.25">
      <c r="A14" s="6">
        <v>11815</v>
      </c>
      <c r="B14" s="8" t="s">
        <v>22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>
        <f t="shared" si="0"/>
        <v>0</v>
      </c>
      <c r="P14" s="16">
        <f t="shared" si="1"/>
        <v>0</v>
      </c>
      <c r="Q14" s="16">
        <f t="shared" si="2"/>
        <v>0</v>
      </c>
      <c r="R14" s="16">
        <f t="shared" si="3"/>
        <v>0</v>
      </c>
      <c r="S14" s="16">
        <f t="shared" si="4"/>
        <v>0</v>
      </c>
      <c r="T14" s="17">
        <f t="shared" si="5"/>
        <v>0</v>
      </c>
    </row>
    <row r="15" spans="1:20" ht="25.5" customHeight="1" x14ac:dyDescent="0.25">
      <c r="A15" s="6">
        <v>11816</v>
      </c>
      <c r="B15" s="6" t="s">
        <v>23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>
        <f t="shared" si="0"/>
        <v>0</v>
      </c>
      <c r="P15" s="16">
        <f t="shared" si="1"/>
        <v>0</v>
      </c>
      <c r="Q15" s="16">
        <f t="shared" si="2"/>
        <v>0</v>
      </c>
      <c r="R15" s="16">
        <f t="shared" si="3"/>
        <v>0</v>
      </c>
      <c r="S15" s="16">
        <f t="shared" si="4"/>
        <v>0</v>
      </c>
      <c r="T15" s="17">
        <f t="shared" si="5"/>
        <v>0</v>
      </c>
    </row>
    <row r="16" spans="1:20" ht="24.75" customHeight="1" x14ac:dyDescent="0.25">
      <c r="A16" s="6">
        <v>11817</v>
      </c>
      <c r="B16" s="6" t="s">
        <v>50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>
        <f t="shared" si="0"/>
        <v>0</v>
      </c>
      <c r="P16" s="16">
        <f t="shared" si="1"/>
        <v>0</v>
      </c>
      <c r="Q16" s="16">
        <f t="shared" si="2"/>
        <v>0</v>
      </c>
      <c r="R16" s="16">
        <f t="shared" si="3"/>
        <v>0</v>
      </c>
      <c r="S16" s="16">
        <f t="shared" si="4"/>
        <v>0</v>
      </c>
      <c r="T16" s="17">
        <f t="shared" si="5"/>
        <v>0</v>
      </c>
    </row>
    <row r="17" spans="1:20" ht="31.5" customHeight="1" x14ac:dyDescent="0.25">
      <c r="A17" s="6">
        <v>11818</v>
      </c>
      <c r="B17" s="6" t="s">
        <v>51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>
        <f t="shared" si="0"/>
        <v>0</v>
      </c>
      <c r="P17" s="16">
        <f t="shared" si="1"/>
        <v>0</v>
      </c>
      <c r="Q17" s="16">
        <f t="shared" si="2"/>
        <v>0</v>
      </c>
      <c r="R17" s="16">
        <f t="shared" si="3"/>
        <v>0</v>
      </c>
      <c r="S17" s="16">
        <f t="shared" si="4"/>
        <v>0</v>
      </c>
      <c r="T17" s="17">
        <f t="shared" si="5"/>
        <v>0</v>
      </c>
    </row>
    <row r="18" spans="1:20" ht="44.25" customHeight="1" x14ac:dyDescent="0.25">
      <c r="A18" s="6">
        <v>11899</v>
      </c>
      <c r="B18" s="8" t="s">
        <v>24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>
        <f t="shared" si="0"/>
        <v>0</v>
      </c>
      <c r="P18" s="16">
        <f t="shared" si="1"/>
        <v>0</v>
      </c>
      <c r="Q18" s="16">
        <f t="shared" si="2"/>
        <v>0</v>
      </c>
      <c r="R18" s="16">
        <f t="shared" si="3"/>
        <v>0</v>
      </c>
      <c r="S18" s="16">
        <f t="shared" si="4"/>
        <v>0</v>
      </c>
      <c r="T18" s="17">
        <f t="shared" si="5"/>
        <v>0</v>
      </c>
    </row>
    <row r="19" spans="1:20" ht="57.75" customHeight="1" x14ac:dyDescent="0.25">
      <c r="A19" s="6">
        <v>12105</v>
      </c>
      <c r="B19" s="8" t="s">
        <v>25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>
        <f t="shared" si="0"/>
        <v>0</v>
      </c>
      <c r="P19" s="16">
        <f t="shared" si="1"/>
        <v>0</v>
      </c>
      <c r="Q19" s="16">
        <f t="shared" si="2"/>
        <v>0</v>
      </c>
      <c r="R19" s="16">
        <f t="shared" si="3"/>
        <v>0</v>
      </c>
      <c r="S19" s="16">
        <f t="shared" si="4"/>
        <v>0</v>
      </c>
      <c r="T19" s="17">
        <f t="shared" si="5"/>
        <v>0</v>
      </c>
    </row>
    <row r="20" spans="1:20" ht="44.25" customHeight="1" x14ac:dyDescent="0.25">
      <c r="A20" s="6">
        <v>12106</v>
      </c>
      <c r="B20" s="8" t="s">
        <v>26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>
        <f t="shared" si="0"/>
        <v>0</v>
      </c>
      <c r="P20" s="16">
        <f t="shared" si="1"/>
        <v>0</v>
      </c>
      <c r="Q20" s="16">
        <f t="shared" si="2"/>
        <v>0</v>
      </c>
      <c r="R20" s="16">
        <f t="shared" si="3"/>
        <v>0</v>
      </c>
      <c r="S20" s="16">
        <f t="shared" si="4"/>
        <v>0</v>
      </c>
      <c r="T20" s="17">
        <f t="shared" si="5"/>
        <v>0</v>
      </c>
    </row>
    <row r="21" spans="1:20" ht="28.5" customHeight="1" x14ac:dyDescent="0.25">
      <c r="A21" s="6">
        <v>12108</v>
      </c>
      <c r="B21" s="8" t="s">
        <v>27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>
        <f t="shared" si="0"/>
        <v>0</v>
      </c>
      <c r="P21" s="16">
        <f t="shared" si="1"/>
        <v>0</v>
      </c>
      <c r="Q21" s="16">
        <f t="shared" si="2"/>
        <v>0</v>
      </c>
      <c r="R21" s="16">
        <f t="shared" si="3"/>
        <v>0</v>
      </c>
      <c r="S21" s="16">
        <f t="shared" si="4"/>
        <v>0</v>
      </c>
      <c r="T21" s="17">
        <f t="shared" si="5"/>
        <v>0</v>
      </c>
    </row>
    <row r="22" spans="1:20" ht="25.5" customHeight="1" x14ac:dyDescent="0.25">
      <c r="A22" s="6">
        <v>12109</v>
      </c>
      <c r="B22" s="6" t="s">
        <v>28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>
        <f t="shared" si="0"/>
        <v>0</v>
      </c>
      <c r="P22" s="16">
        <f t="shared" si="1"/>
        <v>0</v>
      </c>
      <c r="Q22" s="16">
        <f t="shared" si="2"/>
        <v>0</v>
      </c>
      <c r="R22" s="16">
        <f t="shared" si="3"/>
        <v>0</v>
      </c>
      <c r="S22" s="16">
        <f t="shared" si="4"/>
        <v>0</v>
      </c>
      <c r="T22" s="17">
        <f t="shared" si="5"/>
        <v>0</v>
      </c>
    </row>
    <row r="23" spans="1:20" ht="31.5" customHeight="1" x14ac:dyDescent="0.25">
      <c r="A23" s="6">
        <v>12110</v>
      </c>
      <c r="B23" s="8" t="s">
        <v>29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>
        <f t="shared" si="0"/>
        <v>0</v>
      </c>
      <c r="P23" s="16">
        <f t="shared" si="1"/>
        <v>0</v>
      </c>
      <c r="Q23" s="16">
        <f t="shared" si="2"/>
        <v>0</v>
      </c>
      <c r="R23" s="16">
        <f t="shared" si="3"/>
        <v>0</v>
      </c>
      <c r="S23" s="16">
        <f t="shared" si="4"/>
        <v>0</v>
      </c>
      <c r="T23" s="17">
        <f t="shared" si="5"/>
        <v>0</v>
      </c>
    </row>
    <row r="24" spans="1:20" ht="34.5" customHeight="1" x14ac:dyDescent="0.25">
      <c r="A24" s="6">
        <v>12111</v>
      </c>
      <c r="B24" s="8" t="s">
        <v>30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>
        <f t="shared" si="0"/>
        <v>0</v>
      </c>
      <c r="P24" s="16">
        <f t="shared" si="1"/>
        <v>0</v>
      </c>
      <c r="Q24" s="16">
        <f t="shared" si="2"/>
        <v>0</v>
      </c>
      <c r="R24" s="16">
        <f t="shared" si="3"/>
        <v>0</v>
      </c>
      <c r="S24" s="16">
        <f t="shared" si="4"/>
        <v>0</v>
      </c>
      <c r="T24" s="17">
        <f t="shared" si="5"/>
        <v>0</v>
      </c>
    </row>
    <row r="25" spans="1:20" ht="26.25" customHeight="1" x14ac:dyDescent="0.25">
      <c r="A25" s="6">
        <v>12112</v>
      </c>
      <c r="B25" s="8" t="s">
        <v>62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>
        <f t="shared" si="0"/>
        <v>0</v>
      </c>
      <c r="P25" s="16">
        <f t="shared" ref="P25" si="12">C25+D25+E25</f>
        <v>0</v>
      </c>
      <c r="Q25" s="16">
        <f t="shared" ref="Q25" si="13">F25+G25+H25</f>
        <v>0</v>
      </c>
      <c r="R25" s="16">
        <f t="shared" ref="R25" si="14">I25+J25+K25</f>
        <v>0</v>
      </c>
      <c r="S25" s="16">
        <f t="shared" ref="S25" si="15">L25+M25+N25</f>
        <v>0</v>
      </c>
      <c r="T25" s="17">
        <f t="shared" ref="T25" si="16">P25+Q25+R25+S25</f>
        <v>0</v>
      </c>
    </row>
    <row r="26" spans="1:20" ht="26.25" customHeight="1" x14ac:dyDescent="0.25">
      <c r="A26" s="6">
        <v>12114</v>
      </c>
      <c r="B26" s="6" t="s">
        <v>31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>
        <f t="shared" si="0"/>
        <v>0</v>
      </c>
      <c r="P26" s="16">
        <f t="shared" si="1"/>
        <v>0</v>
      </c>
      <c r="Q26" s="16">
        <f t="shared" si="2"/>
        <v>0</v>
      </c>
      <c r="R26" s="16">
        <f t="shared" si="3"/>
        <v>0</v>
      </c>
      <c r="S26" s="16">
        <f t="shared" si="4"/>
        <v>0</v>
      </c>
      <c r="T26" s="17">
        <f t="shared" si="5"/>
        <v>0</v>
      </c>
    </row>
    <row r="27" spans="1:20" ht="26.25" customHeight="1" x14ac:dyDescent="0.25">
      <c r="A27" s="6">
        <v>12115</v>
      </c>
      <c r="B27" s="6" t="s">
        <v>32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>
        <f t="shared" si="0"/>
        <v>0</v>
      </c>
      <c r="P27" s="16">
        <f t="shared" si="1"/>
        <v>0</v>
      </c>
      <c r="Q27" s="16">
        <f t="shared" si="2"/>
        <v>0</v>
      </c>
      <c r="R27" s="16">
        <f t="shared" si="3"/>
        <v>0</v>
      </c>
      <c r="S27" s="16">
        <f t="shared" si="4"/>
        <v>0</v>
      </c>
      <c r="T27" s="17">
        <f t="shared" si="5"/>
        <v>0</v>
      </c>
    </row>
    <row r="28" spans="1:20" ht="26.25" customHeight="1" x14ac:dyDescent="0.25">
      <c r="A28" s="6">
        <v>121151</v>
      </c>
      <c r="B28" s="6" t="s">
        <v>73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>
        <f t="shared" si="0"/>
        <v>0</v>
      </c>
      <c r="P28" s="16">
        <f t="shared" ref="P28" si="17">C28+D28+E28</f>
        <v>0</v>
      </c>
      <c r="Q28" s="16">
        <f t="shared" ref="Q28" si="18">F28+G28+H28</f>
        <v>0</v>
      </c>
      <c r="R28" s="16">
        <f t="shared" ref="R28" si="19">I28+J28+K28</f>
        <v>0</v>
      </c>
      <c r="S28" s="16">
        <f t="shared" ref="S28" si="20">L28+M28+N28</f>
        <v>0</v>
      </c>
      <c r="T28" s="17">
        <f t="shared" ref="T28" si="21">P28+Q28+R28+S28</f>
        <v>0</v>
      </c>
    </row>
    <row r="29" spans="1:20" ht="28.5" customHeight="1" x14ac:dyDescent="0.25">
      <c r="A29" s="6">
        <v>12117</v>
      </c>
      <c r="B29" s="6" t="s">
        <v>33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>
        <f t="shared" si="0"/>
        <v>0</v>
      </c>
      <c r="P29" s="16">
        <f t="shared" si="1"/>
        <v>0</v>
      </c>
      <c r="Q29" s="16">
        <f t="shared" si="2"/>
        <v>0</v>
      </c>
      <c r="R29" s="16">
        <f t="shared" si="3"/>
        <v>0</v>
      </c>
      <c r="S29" s="16">
        <f t="shared" si="4"/>
        <v>0</v>
      </c>
      <c r="T29" s="17">
        <f t="shared" si="5"/>
        <v>0</v>
      </c>
    </row>
    <row r="30" spans="1:20" ht="36.75" customHeight="1" x14ac:dyDescent="0.25">
      <c r="A30" s="6">
        <v>12118</v>
      </c>
      <c r="B30" s="8" t="s">
        <v>34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>
        <f t="shared" si="0"/>
        <v>0</v>
      </c>
      <c r="P30" s="16">
        <f t="shared" si="1"/>
        <v>0</v>
      </c>
      <c r="Q30" s="16">
        <f t="shared" si="2"/>
        <v>0</v>
      </c>
      <c r="R30" s="16">
        <f t="shared" si="3"/>
        <v>0</v>
      </c>
      <c r="S30" s="16">
        <f t="shared" si="4"/>
        <v>0</v>
      </c>
      <c r="T30" s="17">
        <f t="shared" si="5"/>
        <v>0</v>
      </c>
    </row>
    <row r="31" spans="1:20" ht="25.5" customHeight="1" x14ac:dyDescent="0.25">
      <c r="A31" s="6">
        <v>12119</v>
      </c>
      <c r="B31" s="8" t="s">
        <v>35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>
        <f t="shared" si="0"/>
        <v>0</v>
      </c>
      <c r="P31" s="16">
        <f t="shared" si="1"/>
        <v>0</v>
      </c>
      <c r="Q31" s="16">
        <f t="shared" si="2"/>
        <v>0</v>
      </c>
      <c r="R31" s="16">
        <f t="shared" si="3"/>
        <v>0</v>
      </c>
      <c r="S31" s="16">
        <f t="shared" si="4"/>
        <v>0</v>
      </c>
      <c r="T31" s="17">
        <f t="shared" si="5"/>
        <v>0</v>
      </c>
    </row>
    <row r="32" spans="1:20" ht="26.25" customHeight="1" x14ac:dyDescent="0.25">
      <c r="A32" s="6">
        <v>12120</v>
      </c>
      <c r="B32" s="8" t="s">
        <v>36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>
        <f t="shared" si="0"/>
        <v>0</v>
      </c>
      <c r="P32" s="16">
        <f t="shared" si="1"/>
        <v>0</v>
      </c>
      <c r="Q32" s="16">
        <f t="shared" si="2"/>
        <v>0</v>
      </c>
      <c r="R32" s="16">
        <f t="shared" si="3"/>
        <v>0</v>
      </c>
      <c r="S32" s="16">
        <f t="shared" si="4"/>
        <v>0</v>
      </c>
      <c r="T32" s="17">
        <f t="shared" si="5"/>
        <v>0</v>
      </c>
    </row>
    <row r="33" spans="1:20" ht="27" customHeight="1" x14ac:dyDescent="0.25">
      <c r="A33" s="6">
        <v>12199</v>
      </c>
      <c r="B33" s="6" t="s">
        <v>37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>
        <f t="shared" si="0"/>
        <v>0</v>
      </c>
      <c r="P33" s="16">
        <f t="shared" si="1"/>
        <v>0</v>
      </c>
      <c r="Q33" s="16">
        <f t="shared" si="2"/>
        <v>0</v>
      </c>
      <c r="R33" s="16">
        <f t="shared" si="3"/>
        <v>0</v>
      </c>
      <c r="S33" s="16">
        <f t="shared" si="4"/>
        <v>0</v>
      </c>
      <c r="T33" s="17">
        <f t="shared" si="5"/>
        <v>0</v>
      </c>
    </row>
    <row r="34" spans="1:20" ht="41.25" customHeight="1" x14ac:dyDescent="0.25">
      <c r="A34" s="6">
        <v>12210</v>
      </c>
      <c r="B34" s="8" t="s">
        <v>38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>
        <f t="shared" si="0"/>
        <v>0</v>
      </c>
      <c r="P34" s="16">
        <f t="shared" si="1"/>
        <v>0</v>
      </c>
      <c r="Q34" s="16">
        <f t="shared" si="2"/>
        <v>0</v>
      </c>
      <c r="R34" s="16">
        <f t="shared" si="3"/>
        <v>0</v>
      </c>
      <c r="S34" s="16">
        <f t="shared" si="4"/>
        <v>0</v>
      </c>
      <c r="T34" s="17">
        <f t="shared" si="5"/>
        <v>0</v>
      </c>
    </row>
    <row r="35" spans="1:20" ht="21" customHeight="1" x14ac:dyDescent="0.25">
      <c r="A35" s="6">
        <v>12211</v>
      </c>
      <c r="B35" s="8" t="s">
        <v>39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>
        <f t="shared" si="0"/>
        <v>0</v>
      </c>
      <c r="P35" s="16">
        <f t="shared" si="1"/>
        <v>0</v>
      </c>
      <c r="Q35" s="16">
        <f t="shared" si="2"/>
        <v>0</v>
      </c>
      <c r="R35" s="16">
        <f t="shared" si="3"/>
        <v>0</v>
      </c>
      <c r="S35" s="16">
        <f t="shared" si="4"/>
        <v>0</v>
      </c>
      <c r="T35" s="17">
        <f t="shared" si="5"/>
        <v>0</v>
      </c>
    </row>
    <row r="36" spans="1:20" ht="21.75" customHeight="1" x14ac:dyDescent="0.25">
      <c r="A36" s="6">
        <v>12299</v>
      </c>
      <c r="B36" s="8" t="s">
        <v>40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>
        <f t="shared" si="0"/>
        <v>0</v>
      </c>
      <c r="P36" s="16">
        <f t="shared" si="1"/>
        <v>0</v>
      </c>
      <c r="Q36" s="16">
        <f t="shared" si="2"/>
        <v>0</v>
      </c>
      <c r="R36" s="16">
        <f t="shared" si="3"/>
        <v>0</v>
      </c>
      <c r="S36" s="16">
        <f t="shared" si="4"/>
        <v>0</v>
      </c>
      <c r="T36" s="17">
        <f t="shared" si="5"/>
        <v>0</v>
      </c>
    </row>
    <row r="37" spans="1:20" ht="29.25" customHeight="1" x14ac:dyDescent="0.25">
      <c r="A37" s="6">
        <v>14201</v>
      </c>
      <c r="B37" s="8" t="s">
        <v>41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>
        <f t="shared" si="0"/>
        <v>0</v>
      </c>
      <c r="P37" s="16">
        <f t="shared" si="1"/>
        <v>0</v>
      </c>
      <c r="Q37" s="16">
        <f t="shared" si="2"/>
        <v>0</v>
      </c>
      <c r="R37" s="16">
        <f t="shared" si="3"/>
        <v>0</v>
      </c>
      <c r="S37" s="16">
        <f t="shared" si="4"/>
        <v>0</v>
      </c>
      <c r="T37" s="17">
        <f t="shared" si="5"/>
        <v>0</v>
      </c>
    </row>
    <row r="38" spans="1:20" ht="21.75" customHeight="1" x14ac:dyDescent="0.25">
      <c r="A38" s="6">
        <v>14299</v>
      </c>
      <c r="B38" s="8" t="s">
        <v>64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>
        <f t="shared" si="0"/>
        <v>0</v>
      </c>
      <c r="P38" s="16">
        <f t="shared" ref="P38" si="22">C38+D38+E38</f>
        <v>0</v>
      </c>
      <c r="Q38" s="16">
        <f t="shared" ref="Q38" si="23">F38+G38+H38</f>
        <v>0</v>
      </c>
      <c r="R38" s="16">
        <f t="shared" ref="R38" si="24">I38+J38+K38</f>
        <v>0</v>
      </c>
      <c r="S38" s="16">
        <f t="shared" ref="S38" si="25">L38+M38+N38</f>
        <v>0</v>
      </c>
      <c r="T38" s="17">
        <f t="shared" ref="T38" si="26">P38+Q38+R38+S38</f>
        <v>0</v>
      </c>
    </row>
    <row r="39" spans="1:20" ht="30" customHeight="1" x14ac:dyDescent="0.25">
      <c r="A39" s="6">
        <v>14399</v>
      </c>
      <c r="B39" s="8" t="s">
        <v>58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>
        <f t="shared" si="0"/>
        <v>0</v>
      </c>
      <c r="P39" s="16">
        <f t="shared" ref="P39" si="27">C39+D39+E39</f>
        <v>0</v>
      </c>
      <c r="Q39" s="16">
        <f t="shared" ref="Q39" si="28">F39+G39+H39</f>
        <v>0</v>
      </c>
      <c r="R39" s="16">
        <f t="shared" ref="R39" si="29">I39+J39+K39</f>
        <v>0</v>
      </c>
      <c r="S39" s="16">
        <f t="shared" ref="S39" si="30">L39+M39+N39</f>
        <v>0</v>
      </c>
      <c r="T39" s="17">
        <f t="shared" ref="T39" si="31">P39+Q39+R39+S39</f>
        <v>0</v>
      </c>
    </row>
    <row r="40" spans="1:20" ht="30.75" customHeight="1" x14ac:dyDescent="0.25">
      <c r="A40" s="6">
        <v>15301</v>
      </c>
      <c r="B40" s="8" t="s">
        <v>65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>
        <f t="shared" si="0"/>
        <v>0</v>
      </c>
      <c r="P40" s="16">
        <f t="shared" ref="P40" si="32">C40+D40+E40</f>
        <v>0</v>
      </c>
      <c r="Q40" s="16">
        <f t="shared" ref="Q40" si="33">F40+G40+H40</f>
        <v>0</v>
      </c>
      <c r="R40" s="16">
        <f t="shared" ref="R40" si="34">I40+J40+K40</f>
        <v>0</v>
      </c>
      <c r="S40" s="16">
        <f t="shared" ref="S40" si="35">L40+M40+N40</f>
        <v>0</v>
      </c>
      <c r="T40" s="17">
        <f t="shared" ref="T40" si="36">P40+Q40+R40+S40</f>
        <v>0</v>
      </c>
    </row>
    <row r="41" spans="1:20" ht="32.25" customHeight="1" x14ac:dyDescent="0.25">
      <c r="A41" s="6">
        <v>15302</v>
      </c>
      <c r="B41" s="8" t="s">
        <v>42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>
        <f t="shared" si="0"/>
        <v>0</v>
      </c>
      <c r="P41" s="16">
        <f t="shared" si="1"/>
        <v>0</v>
      </c>
      <c r="Q41" s="16">
        <f t="shared" si="2"/>
        <v>0</v>
      </c>
      <c r="R41" s="16">
        <f t="shared" si="3"/>
        <v>0</v>
      </c>
      <c r="S41" s="16">
        <f t="shared" si="4"/>
        <v>0</v>
      </c>
      <c r="T41" s="17">
        <f t="shared" si="5"/>
        <v>0</v>
      </c>
    </row>
    <row r="42" spans="1:20" ht="41.25" customHeight="1" x14ac:dyDescent="0.25">
      <c r="A42" s="6">
        <v>15310</v>
      </c>
      <c r="B42" s="8" t="s">
        <v>66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>
        <f t="shared" ref="O42" si="37">N42+M42+L42+K42+J42+I42+H42+G42+F42+E42+D42+C42</f>
        <v>0</v>
      </c>
      <c r="P42" s="16">
        <f t="shared" ref="P42" si="38">C42+D42+E42</f>
        <v>0</v>
      </c>
      <c r="Q42" s="16">
        <f t="shared" ref="Q42" si="39">F42+G42+H42</f>
        <v>0</v>
      </c>
      <c r="R42" s="16">
        <f t="shared" ref="R42" si="40">I42+J42+K42</f>
        <v>0</v>
      </c>
      <c r="S42" s="16">
        <f t="shared" ref="S42" si="41">L42+M42+N42</f>
        <v>0</v>
      </c>
      <c r="T42" s="17">
        <f t="shared" ref="T42" si="42">P42+Q42+R42+S42</f>
        <v>0</v>
      </c>
    </row>
    <row r="43" spans="1:20" ht="40.5" customHeight="1" x14ac:dyDescent="0.25">
      <c r="A43" s="6">
        <v>15312</v>
      </c>
      <c r="B43" s="8" t="s">
        <v>67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>
        <f t="shared" ref="O43" si="43">N43+M43+L43+K43+J43+I43+H43+G43+F43+E43+D43+C43</f>
        <v>0</v>
      </c>
      <c r="P43" s="16">
        <f t="shared" ref="P43" si="44">C43+D43+E43</f>
        <v>0</v>
      </c>
      <c r="Q43" s="16">
        <f t="shared" ref="Q43" si="45">F43+G43+H43</f>
        <v>0</v>
      </c>
      <c r="R43" s="16">
        <f t="shared" ref="R43" si="46">I43+J43+K43</f>
        <v>0</v>
      </c>
      <c r="S43" s="16">
        <f t="shared" ref="S43" si="47">L43+M43+N43</f>
        <v>0</v>
      </c>
      <c r="T43" s="17">
        <f t="shared" ref="T43" si="48">P43+Q43+R43+S43</f>
        <v>0</v>
      </c>
    </row>
    <row r="44" spans="1:20" ht="34.5" customHeight="1" x14ac:dyDescent="0.25">
      <c r="A44" s="6">
        <v>15314</v>
      </c>
      <c r="B44" s="8" t="s">
        <v>43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>
        <f t="shared" si="0"/>
        <v>0</v>
      </c>
      <c r="P44" s="16">
        <f t="shared" si="1"/>
        <v>0</v>
      </c>
      <c r="Q44" s="16">
        <f t="shared" si="2"/>
        <v>0</v>
      </c>
      <c r="R44" s="16">
        <f t="shared" si="3"/>
        <v>0</v>
      </c>
      <c r="S44" s="16">
        <f t="shared" si="4"/>
        <v>0</v>
      </c>
      <c r="T44" s="17">
        <f t="shared" si="5"/>
        <v>0</v>
      </c>
    </row>
    <row r="45" spans="1:20" ht="36.75" customHeight="1" x14ac:dyDescent="0.25">
      <c r="A45" s="6">
        <v>15402</v>
      </c>
      <c r="B45" s="8" t="s">
        <v>44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>
        <f t="shared" si="0"/>
        <v>0</v>
      </c>
      <c r="P45" s="16">
        <f t="shared" si="1"/>
        <v>0</v>
      </c>
      <c r="Q45" s="16">
        <f t="shared" si="2"/>
        <v>0</v>
      </c>
      <c r="R45" s="16">
        <f t="shared" si="3"/>
        <v>0</v>
      </c>
      <c r="S45" s="16">
        <f t="shared" si="4"/>
        <v>0</v>
      </c>
      <c r="T45" s="17">
        <f t="shared" si="5"/>
        <v>0</v>
      </c>
    </row>
    <row r="46" spans="1:20" ht="34.5" customHeight="1" x14ac:dyDescent="0.25">
      <c r="A46" s="6">
        <v>15703</v>
      </c>
      <c r="B46" s="8" t="s">
        <v>45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>
        <f t="shared" si="0"/>
        <v>0</v>
      </c>
      <c r="P46" s="16">
        <f t="shared" si="1"/>
        <v>0</v>
      </c>
      <c r="Q46" s="16">
        <f t="shared" si="2"/>
        <v>0</v>
      </c>
      <c r="R46" s="16">
        <f t="shared" si="3"/>
        <v>0</v>
      </c>
      <c r="S46" s="16">
        <f t="shared" si="4"/>
        <v>0</v>
      </c>
      <c r="T46" s="17">
        <f t="shared" si="5"/>
        <v>0</v>
      </c>
    </row>
    <row r="47" spans="1:20" ht="32.25" customHeight="1" x14ac:dyDescent="0.25">
      <c r="A47" s="6">
        <v>15799</v>
      </c>
      <c r="B47" s="8" t="s">
        <v>46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>
        <f t="shared" si="0"/>
        <v>0</v>
      </c>
      <c r="P47" s="16">
        <f t="shared" si="1"/>
        <v>0</v>
      </c>
      <c r="Q47" s="16">
        <f t="shared" si="2"/>
        <v>0</v>
      </c>
      <c r="R47" s="16">
        <f t="shared" si="3"/>
        <v>0</v>
      </c>
      <c r="S47" s="16">
        <f t="shared" si="4"/>
        <v>0</v>
      </c>
      <c r="T47" s="17">
        <f t="shared" si="5"/>
        <v>0</v>
      </c>
    </row>
    <row r="48" spans="1:20" ht="67.5" customHeight="1" x14ac:dyDescent="0.25">
      <c r="A48" s="6">
        <v>1620701</v>
      </c>
      <c r="B48" s="8" t="s">
        <v>79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>
        <f t="shared" ref="O48" si="49">N48+M48+L48+K48+J48+I48+H48+G48+F48+E48+D48+C48</f>
        <v>0</v>
      </c>
      <c r="P48" s="16">
        <f t="shared" ref="P48" si="50">C48+D48+E48</f>
        <v>0</v>
      </c>
      <c r="Q48" s="16">
        <f t="shared" ref="Q48" si="51">F48+G48+H48</f>
        <v>0</v>
      </c>
      <c r="R48" s="16">
        <f t="shared" ref="R48" si="52">I48+J48+K48</f>
        <v>0</v>
      </c>
      <c r="S48" s="16">
        <f t="shared" ref="S48" si="53">L48+M48+N48</f>
        <v>0</v>
      </c>
      <c r="T48" s="17">
        <f t="shared" ref="T48" si="54">P48+Q48+R48+S48</f>
        <v>0</v>
      </c>
    </row>
    <row r="49" spans="1:21" ht="42" customHeight="1" x14ac:dyDescent="0.25">
      <c r="A49" s="6">
        <v>21201</v>
      </c>
      <c r="B49" s="8" t="s">
        <v>47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>
        <f t="shared" si="0"/>
        <v>0</v>
      </c>
      <c r="P49" s="16">
        <f t="shared" si="1"/>
        <v>0</v>
      </c>
      <c r="Q49" s="16">
        <f t="shared" si="2"/>
        <v>0</v>
      </c>
      <c r="R49" s="16">
        <f t="shared" si="3"/>
        <v>0</v>
      </c>
      <c r="S49" s="16">
        <f t="shared" si="4"/>
        <v>0</v>
      </c>
      <c r="T49" s="17">
        <f t="shared" si="5"/>
        <v>0</v>
      </c>
    </row>
    <row r="50" spans="1:21" ht="48.75" customHeight="1" x14ac:dyDescent="0.25">
      <c r="A50" s="6">
        <v>31308</v>
      </c>
      <c r="B50" s="8" t="s">
        <v>78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>
        <f t="shared" si="0"/>
        <v>0</v>
      </c>
      <c r="P50" s="16">
        <f t="shared" ref="P50" si="55">C50+D50+E50</f>
        <v>0</v>
      </c>
      <c r="Q50" s="16">
        <f t="shared" ref="Q50" si="56">F50+G50+H50</f>
        <v>0</v>
      </c>
      <c r="R50" s="16">
        <f t="shared" ref="R50" si="57">I50+J50+K50</f>
        <v>0</v>
      </c>
      <c r="S50" s="16">
        <f t="shared" ref="S50" si="58">L50+M50+N50</f>
        <v>0</v>
      </c>
      <c r="T50" s="17">
        <f t="shared" ref="T50" si="59">P50+Q50+R50+S50</f>
        <v>0</v>
      </c>
    </row>
    <row r="51" spans="1:21" ht="34.5" customHeight="1" x14ac:dyDescent="0.25">
      <c r="A51" s="6">
        <v>32101</v>
      </c>
      <c r="B51" s="8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>
        <f t="shared" si="0"/>
        <v>0</v>
      </c>
      <c r="P51" s="16">
        <f t="shared" si="1"/>
        <v>0</v>
      </c>
      <c r="Q51" s="16">
        <f t="shared" si="2"/>
        <v>0</v>
      </c>
      <c r="R51" s="16">
        <f t="shared" si="3"/>
        <v>0</v>
      </c>
      <c r="S51" s="16">
        <f t="shared" si="4"/>
        <v>0</v>
      </c>
      <c r="T51" s="17">
        <f t="shared" si="5"/>
        <v>0</v>
      </c>
    </row>
    <row r="52" spans="1:21" ht="66.75" customHeight="1" x14ac:dyDescent="0.25">
      <c r="A52" s="6">
        <v>32102</v>
      </c>
      <c r="B52" s="8" t="s">
        <v>75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>
        <f t="shared" ref="O52" si="60">N52+M52+L52+K52+J52+I52+H52+G52+F52+E52+D52+C52</f>
        <v>0</v>
      </c>
      <c r="P52" s="16">
        <f t="shared" ref="P52" si="61">C52+D52+E52</f>
        <v>0</v>
      </c>
      <c r="Q52" s="16">
        <f t="shared" ref="Q52" si="62">F52+G52+H52</f>
        <v>0</v>
      </c>
      <c r="R52" s="16">
        <f t="shared" ref="R52" si="63">I52+J52+K52</f>
        <v>0</v>
      </c>
      <c r="S52" s="16">
        <f t="shared" ref="S52" si="64">L52+M52+N52</f>
        <v>0</v>
      </c>
      <c r="T52" s="17">
        <f t="shared" si="5"/>
        <v>0</v>
      </c>
    </row>
    <row r="53" spans="1:21" ht="36" customHeight="1" x14ac:dyDescent="0.25">
      <c r="A53" s="6">
        <v>32102</v>
      </c>
      <c r="B53" s="8" t="s">
        <v>76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>
        <f>N53+M53+L53+K53+J53+I53+H53+G53+F53+E53+D53+C53</f>
        <v>0</v>
      </c>
      <c r="P53" s="16">
        <f t="shared" si="1"/>
        <v>0</v>
      </c>
      <c r="Q53" s="16">
        <f t="shared" ref="Q53" si="65">F53+G53+H53</f>
        <v>0</v>
      </c>
      <c r="R53" s="16">
        <f t="shared" ref="R53" si="66">I53+J53+K53</f>
        <v>0</v>
      </c>
      <c r="S53" s="16">
        <f t="shared" ref="S53" si="67">L53+M53+N53</f>
        <v>0</v>
      </c>
      <c r="T53" s="17">
        <f t="shared" si="5"/>
        <v>0</v>
      </c>
    </row>
    <row r="54" spans="1:21" ht="39" customHeight="1" x14ac:dyDescent="0.25">
      <c r="A54" s="6">
        <v>32102</v>
      </c>
      <c r="B54" s="8" t="s">
        <v>77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>
        <f t="shared" si="0"/>
        <v>0</v>
      </c>
      <c r="P54" s="16">
        <f t="shared" si="1"/>
        <v>0</v>
      </c>
      <c r="Q54" s="16">
        <f t="shared" si="2"/>
        <v>0</v>
      </c>
      <c r="R54" s="16">
        <f t="shared" si="3"/>
        <v>0</v>
      </c>
      <c r="S54" s="16">
        <f t="shared" si="4"/>
        <v>0</v>
      </c>
      <c r="T54" s="17">
        <f t="shared" si="5"/>
        <v>0</v>
      </c>
    </row>
    <row r="55" spans="1:21" ht="30.75" customHeight="1" x14ac:dyDescent="0.25">
      <c r="A55" s="6">
        <v>32102</v>
      </c>
      <c r="B55" s="8" t="s">
        <v>72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>
        <f t="shared" si="0"/>
        <v>0</v>
      </c>
      <c r="P55" s="16">
        <f t="shared" ref="P55" si="68">C55+D55+E55</f>
        <v>0</v>
      </c>
      <c r="Q55" s="16">
        <f t="shared" ref="Q55" si="69">F55+G55+H55</f>
        <v>0</v>
      </c>
      <c r="R55" s="16">
        <f t="shared" ref="R55" si="70">I55+J55+K55</f>
        <v>0</v>
      </c>
      <c r="S55" s="16">
        <f t="shared" ref="S55" si="71">L55+M55+N55</f>
        <v>0</v>
      </c>
      <c r="T55" s="17">
        <f t="shared" ref="T55" si="72">P55+Q55+R55+S55</f>
        <v>0</v>
      </c>
    </row>
    <row r="56" spans="1:21" ht="38.25" customHeight="1" x14ac:dyDescent="0.25">
      <c r="A56" s="6">
        <v>32201</v>
      </c>
      <c r="B56" s="8" t="s">
        <v>56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>
        <f>N56+M56+L56+K56+J56+I56+H56+G56+F56+E56+D56+C56</f>
        <v>0</v>
      </c>
      <c r="P56" s="16">
        <f>C56+D56+E56</f>
        <v>0</v>
      </c>
      <c r="Q56" s="16">
        <f>F56+G56+H56</f>
        <v>0</v>
      </c>
      <c r="R56" s="16">
        <f>I56+J56+K56</f>
        <v>0</v>
      </c>
      <c r="S56" s="16">
        <f>L56+M56+N56</f>
        <v>0</v>
      </c>
      <c r="T56" s="17">
        <f>P56+Q56+R56+S56</f>
        <v>0</v>
      </c>
    </row>
    <row r="57" spans="1:21" ht="52.5" customHeight="1" x14ac:dyDescent="0.25">
      <c r="A57" s="6">
        <v>32201</v>
      </c>
      <c r="B57" s="8" t="s">
        <v>69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>
        <f t="shared" si="0"/>
        <v>0</v>
      </c>
      <c r="P57" s="16">
        <f>C57</f>
        <v>0</v>
      </c>
      <c r="Q57" s="16">
        <f>F57+G57+H57</f>
        <v>0</v>
      </c>
      <c r="R57" s="16">
        <f>I57+J57+K57</f>
        <v>0</v>
      </c>
      <c r="S57" s="16">
        <f>L57+M57+N57</f>
        <v>0</v>
      </c>
      <c r="T57" s="17">
        <f t="shared" si="5"/>
        <v>0</v>
      </c>
    </row>
    <row r="58" spans="1:21" ht="53.25" customHeight="1" x14ac:dyDescent="0.25">
      <c r="A58" s="6">
        <v>32201</v>
      </c>
      <c r="B58" s="8" t="s">
        <v>70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>
        <f t="shared" si="0"/>
        <v>0</v>
      </c>
      <c r="P58" s="16">
        <f>C58</f>
        <v>0</v>
      </c>
      <c r="Q58" s="16">
        <f>F58+G58+H58</f>
        <v>0</v>
      </c>
      <c r="R58" s="16">
        <f>I58+J58+K58</f>
        <v>0</v>
      </c>
      <c r="S58" s="16">
        <f>L58+M58+N58</f>
        <v>0</v>
      </c>
      <c r="T58" s="17">
        <f t="shared" si="5"/>
        <v>0</v>
      </c>
    </row>
    <row r="59" spans="1:21" ht="53.25" customHeight="1" x14ac:dyDescent="0.25">
      <c r="A59" s="6">
        <v>32201</v>
      </c>
      <c r="B59" s="8" t="s">
        <v>71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>
        <f t="shared" si="0"/>
        <v>0</v>
      </c>
      <c r="P59" s="16">
        <f>C59</f>
        <v>0</v>
      </c>
      <c r="Q59" s="16">
        <f>F59+G59+H59</f>
        <v>0</v>
      </c>
      <c r="R59" s="16">
        <f>I59+J59+K59</f>
        <v>0</v>
      </c>
      <c r="S59" s="16">
        <f>L59+M59+N59</f>
        <v>0</v>
      </c>
      <c r="T59" s="17">
        <f t="shared" ref="T59" si="73">P59+Q59+R59+S59</f>
        <v>0</v>
      </c>
    </row>
    <row r="60" spans="1:21" ht="32.25" customHeight="1" x14ac:dyDescent="0.25">
      <c r="A60" s="63" t="s">
        <v>61</v>
      </c>
      <c r="B60" s="64"/>
      <c r="C60" s="16">
        <f t="shared" ref="C60:O60" si="74">SUM(C3:C59)</f>
        <v>0</v>
      </c>
      <c r="D60" s="16">
        <f t="shared" si="74"/>
        <v>0</v>
      </c>
      <c r="E60" s="16">
        <f t="shared" si="74"/>
        <v>0</v>
      </c>
      <c r="F60" s="16">
        <f t="shared" si="74"/>
        <v>0</v>
      </c>
      <c r="G60" s="16">
        <f t="shared" si="74"/>
        <v>0</v>
      </c>
      <c r="H60" s="16">
        <f t="shared" si="74"/>
        <v>0</v>
      </c>
      <c r="I60" s="16">
        <f t="shared" si="74"/>
        <v>0</v>
      </c>
      <c r="J60" s="16">
        <f t="shared" si="74"/>
        <v>0</v>
      </c>
      <c r="K60" s="16">
        <f t="shared" si="74"/>
        <v>0</v>
      </c>
      <c r="L60" s="16">
        <f t="shared" si="74"/>
        <v>0</v>
      </c>
      <c r="M60" s="16">
        <f t="shared" si="74"/>
        <v>0</v>
      </c>
      <c r="N60" s="16">
        <f t="shared" si="74"/>
        <v>0</v>
      </c>
      <c r="O60" s="17">
        <f t="shared" si="74"/>
        <v>0</v>
      </c>
      <c r="P60" s="17">
        <f t="shared" ref="P60:S60" si="75">SUM(P3:P59)</f>
        <v>0</v>
      </c>
      <c r="Q60" s="17">
        <f t="shared" si="75"/>
        <v>0</v>
      </c>
      <c r="R60" s="17">
        <f t="shared" si="75"/>
        <v>0</v>
      </c>
      <c r="S60" s="17">
        <f t="shared" si="75"/>
        <v>0</v>
      </c>
      <c r="T60" s="7">
        <f>SUM(T3:T59)</f>
        <v>0</v>
      </c>
    </row>
    <row r="61" spans="1:2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18">
        <f>N60+M60+L60+K60+J60+I60+H60+G60+F60+E60+D60+C60</f>
        <v>0</v>
      </c>
      <c r="P61" s="9"/>
      <c r="Q61" s="9"/>
      <c r="R61" s="9"/>
      <c r="S61" s="9"/>
      <c r="T61" s="20">
        <f>P60+Q60+R60+S60</f>
        <v>0</v>
      </c>
    </row>
    <row r="62" spans="1:2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19" t="s">
        <v>74</v>
      </c>
      <c r="M62" s="9"/>
      <c r="N62" s="9"/>
      <c r="O62" s="18">
        <f>'[1]PROYECCION DE INGRESOS 2023'!$I$68</f>
        <v>0</v>
      </c>
      <c r="P62" s="9"/>
      <c r="Q62" s="9"/>
      <c r="R62" s="9"/>
      <c r="S62" s="10" t="s">
        <v>57</v>
      </c>
      <c r="T62" s="20">
        <f>'[1]PROYECCION DE INGRESOS 2023'!$I$68</f>
        <v>0</v>
      </c>
      <c r="U62" s="2">
        <f>O61-O62</f>
        <v>0</v>
      </c>
    </row>
    <row r="63" spans="1:2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19" t="s">
        <v>68</v>
      </c>
      <c r="N63" s="9"/>
      <c r="O63" s="18">
        <f>'[2]ANEXO 3 CONSOLIDADO DE INGRESO'!$I$55</f>
        <v>0</v>
      </c>
      <c r="P63" s="9"/>
      <c r="Q63" s="9"/>
      <c r="R63" s="9"/>
      <c r="S63" s="19" t="s">
        <v>80</v>
      </c>
      <c r="T63" s="20">
        <f>'[2]ANEXO 3 CONSOLIDADO DE INGRESO'!$I$55</f>
        <v>0</v>
      </c>
    </row>
    <row r="64" spans="1:21" x14ac:dyDescent="0.25">
      <c r="B64" s="1"/>
      <c r="O64" s="4">
        <f>O60-O62</f>
        <v>0</v>
      </c>
      <c r="S64" s="3" t="s">
        <v>81</v>
      </c>
      <c r="T64" s="21">
        <f>'[2]ANEXO 4 CONSOLIDADO DE EGRESO'!$R$88</f>
        <v>0</v>
      </c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  <row r="72" spans="2:2" x14ac:dyDescent="0.25">
      <c r="B72" s="1"/>
    </row>
    <row r="73" spans="2:2" x14ac:dyDescent="0.25">
      <c r="B73" s="1"/>
    </row>
    <row r="74" spans="2:2" x14ac:dyDescent="0.25">
      <c r="B74" s="1"/>
    </row>
    <row r="75" spans="2:2" x14ac:dyDescent="0.25">
      <c r="B75" s="1"/>
    </row>
    <row r="76" spans="2:2" x14ac:dyDescent="0.25">
      <c r="B76" s="1"/>
    </row>
    <row r="77" spans="2:2" x14ac:dyDescent="0.25">
      <c r="B77" s="1"/>
    </row>
    <row r="78" spans="2:2" x14ac:dyDescent="0.25">
      <c r="B78" s="1"/>
    </row>
    <row r="79" spans="2:2" x14ac:dyDescent="0.25">
      <c r="B79" s="1"/>
    </row>
    <row r="80" spans="2:2" x14ac:dyDescent="0.25">
      <c r="B80" s="1"/>
    </row>
    <row r="81" spans="2:2" x14ac:dyDescent="0.25">
      <c r="B81" s="1"/>
    </row>
    <row r="82" spans="2:2" x14ac:dyDescent="0.25">
      <c r="B82" s="1"/>
    </row>
  </sheetData>
  <mergeCells count="2">
    <mergeCell ref="A1:T1"/>
    <mergeCell ref="A60:B60"/>
  </mergeCells>
  <printOptions verticalCentered="1"/>
  <pageMargins left="1.1811023622047245" right="0.59055118110236227" top="0.74803149606299213" bottom="0.94488188976377963" header="0.31496062992125984" footer="0.31496062992125984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3"/>
  <sheetViews>
    <sheetView topLeftCell="A56" workbookViewId="0">
      <selection activeCell="C3" sqref="C3:C61"/>
    </sheetView>
  </sheetViews>
  <sheetFormatPr baseColWidth="10" defaultRowHeight="15" x14ac:dyDescent="0.25"/>
  <cols>
    <col min="1" max="1" width="7.85546875" customWidth="1"/>
    <col min="2" max="2" width="17.85546875" customWidth="1"/>
    <col min="4" max="5" width="10.140625" customWidth="1"/>
    <col min="6" max="6" width="8.85546875" customWidth="1"/>
    <col min="7" max="7" width="9.140625" customWidth="1"/>
    <col min="8" max="8" width="10.140625" customWidth="1"/>
    <col min="9" max="9" width="10.42578125" customWidth="1"/>
    <col min="10" max="11" width="10.28515625" customWidth="1"/>
    <col min="12" max="12" width="10.140625" customWidth="1"/>
    <col min="13" max="13" width="9.5703125" customWidth="1"/>
    <col min="14" max="14" width="9.28515625" customWidth="1"/>
    <col min="15" max="15" width="12.85546875" customWidth="1"/>
    <col min="16" max="16" width="11.7109375" bestFit="1" customWidth="1"/>
  </cols>
  <sheetData>
    <row r="1" spans="1:15" ht="30.75" customHeight="1" x14ac:dyDescent="0.25">
      <c r="A1" s="62" t="s">
        <v>83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ht="64.5" customHeight="1" x14ac:dyDescent="0.25">
      <c r="A2" s="5" t="s">
        <v>14</v>
      </c>
      <c r="B2" s="11" t="s">
        <v>11</v>
      </c>
      <c r="C2" s="22">
        <v>44927</v>
      </c>
      <c r="D2" s="22">
        <v>44958</v>
      </c>
      <c r="E2" s="22">
        <v>44986</v>
      </c>
      <c r="F2" s="23">
        <v>45017</v>
      </c>
      <c r="G2" s="22">
        <v>45047</v>
      </c>
      <c r="H2" s="50">
        <v>45078</v>
      </c>
      <c r="I2" s="50">
        <v>45108</v>
      </c>
      <c r="J2" s="50">
        <v>45139</v>
      </c>
      <c r="K2" s="50">
        <v>45170</v>
      </c>
      <c r="L2" s="22">
        <v>44835</v>
      </c>
      <c r="M2" s="22">
        <v>44866</v>
      </c>
      <c r="N2" s="22">
        <v>44896</v>
      </c>
      <c r="O2" s="12" t="s">
        <v>9</v>
      </c>
    </row>
    <row r="3" spans="1:15" ht="27" customHeight="1" x14ac:dyDescent="0.25">
      <c r="A3" s="26">
        <v>11801</v>
      </c>
      <c r="B3" s="6" t="s">
        <v>15</v>
      </c>
      <c r="C3" s="15">
        <v>32622.31</v>
      </c>
      <c r="D3" s="15">
        <v>34009.18</v>
      </c>
      <c r="E3" s="15">
        <v>43695.43</v>
      </c>
      <c r="F3" s="15">
        <v>49899.839999999997</v>
      </c>
      <c r="G3" s="15">
        <v>23396.18</v>
      </c>
      <c r="H3" s="15">
        <v>55139.95</v>
      </c>
      <c r="I3" s="15">
        <v>28822.02</v>
      </c>
      <c r="J3" s="15">
        <v>40831.919999999998</v>
      </c>
      <c r="K3" s="15">
        <v>16935.61</v>
      </c>
      <c r="L3" s="15">
        <v>11839.99</v>
      </c>
      <c r="M3" s="24">
        <v>112841.45</v>
      </c>
      <c r="N3" s="15">
        <v>10475.209999999999</v>
      </c>
      <c r="O3" s="15">
        <f>N3+M3+L3+K3+J3+I3+H3+G3+F3+E3+D3+C3</f>
        <v>460509.08999999991</v>
      </c>
    </row>
    <row r="4" spans="1:15" ht="23.25" customHeight="1" x14ac:dyDescent="0.25">
      <c r="A4" s="26">
        <v>11802</v>
      </c>
      <c r="B4" s="6" t="s">
        <v>16</v>
      </c>
      <c r="C4" s="15">
        <v>13224.34</v>
      </c>
      <c r="D4" s="15">
        <v>55337.01</v>
      </c>
      <c r="E4" s="15">
        <v>64181.8</v>
      </c>
      <c r="F4" s="15">
        <v>58017.01</v>
      </c>
      <c r="G4" s="15">
        <v>83088.33</v>
      </c>
      <c r="H4" s="15">
        <v>49506.59</v>
      </c>
      <c r="I4" s="15">
        <v>53997.61</v>
      </c>
      <c r="J4" s="24">
        <v>103134.98</v>
      </c>
      <c r="K4" s="15">
        <v>52278.77</v>
      </c>
      <c r="L4" s="15">
        <v>26838.3</v>
      </c>
      <c r="M4" s="24">
        <v>116180.12</v>
      </c>
      <c r="N4" s="15">
        <v>32046.23</v>
      </c>
      <c r="O4" s="15">
        <f t="shared" ref="O4:O60" si="0">N4+M4+L4+K4+J4+I4+H4+G4+F4+E4+D4+C4</f>
        <v>707831.09</v>
      </c>
    </row>
    <row r="5" spans="1:15" ht="24" customHeight="1" x14ac:dyDescent="0.25">
      <c r="A5" s="26">
        <v>11803</v>
      </c>
      <c r="B5" s="6" t="s">
        <v>59</v>
      </c>
      <c r="C5" s="15">
        <v>4869.1000000000004</v>
      </c>
      <c r="D5" s="15">
        <v>5553.91</v>
      </c>
      <c r="E5" s="15">
        <v>4934.38</v>
      </c>
      <c r="F5" s="15">
        <v>5758.17</v>
      </c>
      <c r="G5" s="15">
        <v>5403.19</v>
      </c>
      <c r="H5" s="15">
        <v>7257.48</v>
      </c>
      <c r="I5" s="15">
        <v>5499.42</v>
      </c>
      <c r="J5" s="15">
        <v>5645.16</v>
      </c>
      <c r="K5" s="15">
        <v>5083.09</v>
      </c>
      <c r="L5" s="15">
        <v>6609.51</v>
      </c>
      <c r="M5" s="15">
        <v>5979.54</v>
      </c>
      <c r="N5" s="15">
        <v>5029.03</v>
      </c>
      <c r="O5" s="15">
        <f t="shared" si="0"/>
        <v>67621.98</v>
      </c>
    </row>
    <row r="6" spans="1:15" ht="25.5" customHeight="1" x14ac:dyDescent="0.25">
      <c r="A6" s="26">
        <v>11804</v>
      </c>
      <c r="B6" s="6" t="s">
        <v>17</v>
      </c>
      <c r="C6" s="15">
        <v>32441.71</v>
      </c>
      <c r="D6" s="15">
        <v>42607.28</v>
      </c>
      <c r="E6" s="15">
        <v>61990.41</v>
      </c>
      <c r="F6" s="15">
        <v>26882.05</v>
      </c>
      <c r="G6" s="15">
        <v>40618.449999999997</v>
      </c>
      <c r="H6" s="15">
        <v>48272.41</v>
      </c>
      <c r="I6" s="15">
        <v>48064.06</v>
      </c>
      <c r="J6" s="15">
        <v>63705.3</v>
      </c>
      <c r="K6" s="15">
        <v>46063.48</v>
      </c>
      <c r="L6" s="15">
        <v>28641.96</v>
      </c>
      <c r="M6" s="15">
        <v>63273.75</v>
      </c>
      <c r="N6" s="15">
        <v>33932.49</v>
      </c>
      <c r="O6" s="15">
        <f t="shared" si="0"/>
        <v>536493.35</v>
      </c>
    </row>
    <row r="7" spans="1:15" ht="25.5" customHeight="1" x14ac:dyDescent="0.25">
      <c r="A7" s="26">
        <v>11805</v>
      </c>
      <c r="B7" s="6" t="s">
        <v>63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50.74</v>
      </c>
      <c r="K7" s="15">
        <v>0</v>
      </c>
      <c r="L7" s="15">
        <v>0</v>
      </c>
      <c r="M7" s="15">
        <v>0</v>
      </c>
      <c r="N7" s="15">
        <v>0</v>
      </c>
      <c r="O7" s="15">
        <f t="shared" si="0"/>
        <v>50.74</v>
      </c>
    </row>
    <row r="8" spans="1:15" ht="29.25" customHeight="1" x14ac:dyDescent="0.25">
      <c r="A8" s="26">
        <v>11806</v>
      </c>
      <c r="B8" s="8" t="s">
        <v>60</v>
      </c>
      <c r="C8" s="15">
        <v>17.13</v>
      </c>
      <c r="D8" s="15" t="s">
        <v>84</v>
      </c>
      <c r="E8" s="15">
        <v>493.36</v>
      </c>
      <c r="F8" s="15">
        <v>125.62</v>
      </c>
      <c r="G8" s="15">
        <v>11.42</v>
      </c>
      <c r="H8" s="15">
        <v>17.13</v>
      </c>
      <c r="I8" s="15">
        <v>117.65</v>
      </c>
      <c r="J8" s="15">
        <v>0</v>
      </c>
      <c r="K8" s="15">
        <v>85.65</v>
      </c>
      <c r="L8" s="15">
        <v>17.13</v>
      </c>
      <c r="M8" s="15">
        <v>22.84</v>
      </c>
      <c r="N8" s="15">
        <v>17.13</v>
      </c>
      <c r="O8" s="15"/>
    </row>
    <row r="9" spans="1:15" ht="30.75" customHeight="1" x14ac:dyDescent="0.25">
      <c r="A9" s="26">
        <v>11809</v>
      </c>
      <c r="B9" s="8" t="s">
        <v>18</v>
      </c>
      <c r="C9" s="15">
        <v>9.16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f t="shared" si="0"/>
        <v>9.16</v>
      </c>
    </row>
    <row r="10" spans="1:15" ht="30.75" customHeight="1" x14ac:dyDescent="0.25">
      <c r="A10" s="26">
        <v>11810</v>
      </c>
      <c r="B10" s="8" t="s">
        <v>19</v>
      </c>
      <c r="C10" s="15">
        <v>255.86</v>
      </c>
      <c r="D10" s="15">
        <v>171.39</v>
      </c>
      <c r="E10" s="15">
        <v>51.4</v>
      </c>
      <c r="F10" s="15">
        <v>202.18</v>
      </c>
      <c r="G10" s="15">
        <v>82.25</v>
      </c>
      <c r="H10" s="15">
        <v>99.38</v>
      </c>
      <c r="I10" s="15">
        <v>77.67</v>
      </c>
      <c r="J10" s="15">
        <v>60.53</v>
      </c>
      <c r="K10" s="15">
        <v>87.95</v>
      </c>
      <c r="L10" s="15">
        <v>0</v>
      </c>
      <c r="M10" s="15">
        <v>9.14</v>
      </c>
      <c r="N10" s="15">
        <v>327.79</v>
      </c>
      <c r="O10" s="15">
        <f t="shared" si="0"/>
        <v>1425.54</v>
      </c>
    </row>
    <row r="11" spans="1:15" ht="32.25" customHeight="1" x14ac:dyDescent="0.25">
      <c r="A11" s="26">
        <v>11812</v>
      </c>
      <c r="B11" s="8" t="s">
        <v>49</v>
      </c>
      <c r="C11" s="15">
        <v>713.16</v>
      </c>
      <c r="D11" s="15">
        <v>351.89</v>
      </c>
      <c r="E11" s="15">
        <v>0</v>
      </c>
      <c r="F11" s="15">
        <v>0</v>
      </c>
      <c r="G11" s="15">
        <v>36.56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356.58</v>
      </c>
      <c r="N11" s="15">
        <v>0</v>
      </c>
      <c r="O11" s="15">
        <f t="shared" si="0"/>
        <v>1458.19</v>
      </c>
    </row>
    <row r="12" spans="1:15" ht="31.5" customHeight="1" x14ac:dyDescent="0.25">
      <c r="A12" s="26">
        <v>11813</v>
      </c>
      <c r="B12" s="8" t="s">
        <v>20</v>
      </c>
      <c r="C12" s="15">
        <v>113.19</v>
      </c>
      <c r="D12" s="15">
        <v>113.19</v>
      </c>
      <c r="E12" s="15">
        <v>0</v>
      </c>
      <c r="F12" s="15">
        <v>502.73</v>
      </c>
      <c r="G12" s="15">
        <v>17.149999999999999</v>
      </c>
      <c r="H12" s="15">
        <v>0</v>
      </c>
      <c r="I12" s="15">
        <v>0</v>
      </c>
      <c r="J12" s="15">
        <v>33.130000000000003</v>
      </c>
      <c r="K12" s="15">
        <v>51.39</v>
      </c>
      <c r="L12" s="15">
        <v>41.12</v>
      </c>
      <c r="M12" s="15">
        <v>256.95</v>
      </c>
      <c r="N12" s="15">
        <v>264.95999999999998</v>
      </c>
      <c r="O12" s="15">
        <f t="shared" si="0"/>
        <v>1393.81</v>
      </c>
    </row>
    <row r="13" spans="1:15" ht="33.75" customHeight="1" x14ac:dyDescent="0.25">
      <c r="A13" s="26">
        <v>11814</v>
      </c>
      <c r="B13" s="8" t="s">
        <v>21</v>
      </c>
      <c r="C13" s="15">
        <v>110.78</v>
      </c>
      <c r="D13" s="15">
        <v>131.33000000000001</v>
      </c>
      <c r="E13" s="15">
        <v>158.80000000000001</v>
      </c>
      <c r="F13" s="15">
        <v>0</v>
      </c>
      <c r="G13" s="15">
        <v>62.81</v>
      </c>
      <c r="H13" s="15">
        <v>0</v>
      </c>
      <c r="I13" s="15">
        <v>62.81</v>
      </c>
      <c r="J13" s="15">
        <v>39.97</v>
      </c>
      <c r="K13" s="15">
        <v>92.52</v>
      </c>
      <c r="L13" s="15">
        <v>0</v>
      </c>
      <c r="M13" s="15">
        <v>114.25</v>
      </c>
      <c r="N13" s="15">
        <v>154.19</v>
      </c>
      <c r="O13" s="15">
        <f t="shared" si="0"/>
        <v>927.45999999999992</v>
      </c>
    </row>
    <row r="14" spans="1:15" ht="34.5" customHeight="1" x14ac:dyDescent="0.25">
      <c r="A14" s="26">
        <v>11815</v>
      </c>
      <c r="B14" s="8" t="s">
        <v>22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f t="shared" si="0"/>
        <v>0</v>
      </c>
    </row>
    <row r="15" spans="1:15" ht="25.5" customHeight="1" x14ac:dyDescent="0.25">
      <c r="A15" s="26">
        <v>11816</v>
      </c>
      <c r="B15" s="6" t="s">
        <v>23</v>
      </c>
      <c r="C15" s="15">
        <v>341.64</v>
      </c>
      <c r="D15" s="15">
        <v>676.39</v>
      </c>
      <c r="E15" s="15">
        <v>654.53</v>
      </c>
      <c r="F15" s="15">
        <v>0</v>
      </c>
      <c r="G15" s="15">
        <v>479.98</v>
      </c>
      <c r="H15" s="15">
        <v>349.05</v>
      </c>
      <c r="I15" s="15">
        <v>416.43</v>
      </c>
      <c r="J15" s="15">
        <v>656.95</v>
      </c>
      <c r="K15" s="15">
        <v>43.42</v>
      </c>
      <c r="L15" s="15">
        <v>317.62</v>
      </c>
      <c r="M15" s="15">
        <v>275.35000000000002</v>
      </c>
      <c r="N15" s="15">
        <v>1538.08</v>
      </c>
      <c r="O15" s="15">
        <f t="shared" si="0"/>
        <v>5749.4400000000005</v>
      </c>
    </row>
    <row r="16" spans="1:15" ht="24.75" customHeight="1" x14ac:dyDescent="0.25">
      <c r="A16" s="26">
        <v>11817</v>
      </c>
      <c r="B16" s="6" t="s">
        <v>50</v>
      </c>
      <c r="C16" s="15">
        <v>1681.69</v>
      </c>
      <c r="D16" s="15">
        <v>1293.3599999999999</v>
      </c>
      <c r="E16" s="15">
        <v>1951.98</v>
      </c>
      <c r="F16" s="15">
        <v>564.11</v>
      </c>
      <c r="G16" s="15">
        <v>280.33999999999997</v>
      </c>
      <c r="H16" s="15">
        <v>293.75</v>
      </c>
      <c r="I16" s="15">
        <v>1428.25</v>
      </c>
      <c r="J16" s="15">
        <v>283.04000000000002</v>
      </c>
      <c r="K16" s="15">
        <v>176.18</v>
      </c>
      <c r="L16" s="15">
        <v>206</v>
      </c>
      <c r="M16" s="15">
        <v>2196.1799999999998</v>
      </c>
      <c r="N16" s="15">
        <v>505.07</v>
      </c>
      <c r="O16" s="15">
        <f t="shared" si="0"/>
        <v>10859.95</v>
      </c>
    </row>
    <row r="17" spans="1:15" ht="31.5" customHeight="1" x14ac:dyDescent="0.25">
      <c r="A17" s="26">
        <v>11818</v>
      </c>
      <c r="B17" s="6" t="s">
        <v>51</v>
      </c>
      <c r="C17" s="15">
        <v>696.29</v>
      </c>
      <c r="D17" s="15">
        <v>150.91999999999999</v>
      </c>
      <c r="E17" s="15">
        <v>356.72</v>
      </c>
      <c r="F17" s="15">
        <v>463.05</v>
      </c>
      <c r="G17" s="15">
        <v>644.84</v>
      </c>
      <c r="H17" s="15">
        <v>1389.15</v>
      </c>
      <c r="I17" s="15">
        <v>4081.7</v>
      </c>
      <c r="J17" s="15">
        <v>792.33</v>
      </c>
      <c r="K17" s="15">
        <v>2236.36</v>
      </c>
      <c r="L17" s="15">
        <v>44.59</v>
      </c>
      <c r="M17" s="15">
        <v>2088.87</v>
      </c>
      <c r="N17" s="15">
        <v>3.43</v>
      </c>
      <c r="O17" s="15">
        <f t="shared" si="0"/>
        <v>12948.249999999996</v>
      </c>
    </row>
    <row r="18" spans="1:15" ht="44.25" customHeight="1" x14ac:dyDescent="0.25">
      <c r="A18" s="26">
        <v>11899</v>
      </c>
      <c r="B18" s="8" t="s">
        <v>24</v>
      </c>
      <c r="C18" s="15">
        <v>10438.540000000001</v>
      </c>
      <c r="D18" s="15">
        <v>4360.4799999999996</v>
      </c>
      <c r="E18" s="15">
        <v>5034.1400000000003</v>
      </c>
      <c r="F18" s="15">
        <v>3166.93</v>
      </c>
      <c r="G18" s="15">
        <v>4678.18</v>
      </c>
      <c r="H18" s="15">
        <v>3668.6</v>
      </c>
      <c r="I18" s="15">
        <v>2405.41</v>
      </c>
      <c r="J18" s="15">
        <v>5334.46</v>
      </c>
      <c r="K18" s="15">
        <v>4305.84</v>
      </c>
      <c r="L18" s="15">
        <v>4113.16</v>
      </c>
      <c r="M18" s="15">
        <v>7395.88</v>
      </c>
      <c r="N18" s="15">
        <v>5545.72</v>
      </c>
      <c r="O18" s="15">
        <f t="shared" si="0"/>
        <v>60447.340000000004</v>
      </c>
    </row>
    <row r="19" spans="1:15" ht="57.75" customHeight="1" x14ac:dyDescent="0.25">
      <c r="A19" s="26">
        <v>12105</v>
      </c>
      <c r="B19" s="8" t="s">
        <v>25</v>
      </c>
      <c r="C19" s="15">
        <v>9679.76</v>
      </c>
      <c r="D19" s="15">
        <v>7680.6</v>
      </c>
      <c r="E19" s="15">
        <v>7759.02</v>
      </c>
      <c r="F19" s="15">
        <v>5929.45</v>
      </c>
      <c r="G19" s="15">
        <v>6345.22</v>
      </c>
      <c r="H19" s="15">
        <v>6048.35</v>
      </c>
      <c r="I19" s="15">
        <v>7490.95</v>
      </c>
      <c r="J19" s="15">
        <v>6184.25</v>
      </c>
      <c r="K19" s="15">
        <v>7480.02</v>
      </c>
      <c r="L19" s="15">
        <v>7005.02</v>
      </c>
      <c r="M19" s="15">
        <v>11317.2</v>
      </c>
      <c r="N19" s="15">
        <v>5315.48</v>
      </c>
      <c r="O19" s="15">
        <f t="shared" si="0"/>
        <v>88235.319999999992</v>
      </c>
    </row>
    <row r="20" spans="1:15" ht="44.25" customHeight="1" x14ac:dyDescent="0.25">
      <c r="A20" s="26">
        <v>12106</v>
      </c>
      <c r="B20" s="8" t="s">
        <v>26</v>
      </c>
      <c r="C20" s="15">
        <v>294</v>
      </c>
      <c r="D20" s="15">
        <v>88</v>
      </c>
      <c r="E20" s="15">
        <v>61</v>
      </c>
      <c r="F20" s="15">
        <v>23</v>
      </c>
      <c r="G20" s="15">
        <v>29</v>
      </c>
      <c r="H20" s="15">
        <v>41</v>
      </c>
      <c r="I20" s="15">
        <v>35</v>
      </c>
      <c r="J20" s="15">
        <v>33</v>
      </c>
      <c r="K20" s="15">
        <v>51</v>
      </c>
      <c r="L20" s="15">
        <v>42</v>
      </c>
      <c r="M20" s="15">
        <v>90</v>
      </c>
      <c r="N20" s="15">
        <v>245</v>
      </c>
      <c r="O20" s="15">
        <f t="shared" si="0"/>
        <v>1032</v>
      </c>
    </row>
    <row r="21" spans="1:15" ht="28.5" customHeight="1" x14ac:dyDescent="0.25">
      <c r="A21" s="26">
        <v>12108</v>
      </c>
      <c r="B21" s="8" t="s">
        <v>27</v>
      </c>
      <c r="C21" s="15">
        <v>12140.79</v>
      </c>
      <c r="D21" s="15">
        <v>6659.59</v>
      </c>
      <c r="E21" s="15">
        <v>7050.64</v>
      </c>
      <c r="F21" s="15">
        <v>4519.18</v>
      </c>
      <c r="G21" s="15">
        <v>5656.56</v>
      </c>
      <c r="H21" s="15">
        <v>6480.27</v>
      </c>
      <c r="I21" s="15">
        <v>5815.77</v>
      </c>
      <c r="J21" s="15">
        <v>5755.82</v>
      </c>
      <c r="K21" s="15">
        <v>6179.6</v>
      </c>
      <c r="L21" s="15">
        <v>4549.62</v>
      </c>
      <c r="M21" s="15">
        <v>6409.92</v>
      </c>
      <c r="N21" s="15">
        <v>10149.82</v>
      </c>
      <c r="O21" s="15">
        <f t="shared" si="0"/>
        <v>81367.580000000016</v>
      </c>
    </row>
    <row r="22" spans="1:15" ht="25.5" customHeight="1" x14ac:dyDescent="0.25">
      <c r="A22" s="26">
        <v>12109</v>
      </c>
      <c r="B22" s="6" t="s">
        <v>28</v>
      </c>
      <c r="C22" s="15">
        <v>14571.21</v>
      </c>
      <c r="D22" s="15">
        <v>13148.54</v>
      </c>
      <c r="E22" s="15">
        <v>16964.37</v>
      </c>
      <c r="F22" s="15">
        <v>8224.57</v>
      </c>
      <c r="G22" s="15">
        <v>18363.95</v>
      </c>
      <c r="H22" s="15">
        <v>12172</v>
      </c>
      <c r="I22" s="15">
        <v>14458.33</v>
      </c>
      <c r="J22" s="15">
        <v>20228.36</v>
      </c>
      <c r="K22" s="15">
        <v>10536.67</v>
      </c>
      <c r="L22" s="15">
        <v>11321.18</v>
      </c>
      <c r="M22" s="15">
        <v>13387.83</v>
      </c>
      <c r="N22" s="15">
        <v>14903.1</v>
      </c>
      <c r="O22" s="15">
        <f t="shared" si="0"/>
        <v>168280.11</v>
      </c>
    </row>
    <row r="23" spans="1:15" ht="31.5" customHeight="1" x14ac:dyDescent="0.25">
      <c r="A23" s="26">
        <v>12110</v>
      </c>
      <c r="B23" s="8" t="s">
        <v>29</v>
      </c>
      <c r="C23" s="15">
        <v>2101.09</v>
      </c>
      <c r="D23" s="15">
        <v>205.92</v>
      </c>
      <c r="E23" s="15">
        <v>0</v>
      </c>
      <c r="F23" s="15">
        <v>0</v>
      </c>
      <c r="G23" s="15">
        <v>137.28</v>
      </c>
      <c r="H23" s="15">
        <v>0</v>
      </c>
      <c r="I23" s="15">
        <v>0</v>
      </c>
      <c r="J23" s="15">
        <v>274.56</v>
      </c>
      <c r="K23" s="15">
        <v>0</v>
      </c>
      <c r="L23" s="15">
        <v>0</v>
      </c>
      <c r="M23" s="15">
        <v>0</v>
      </c>
      <c r="N23" s="15">
        <v>0</v>
      </c>
      <c r="O23" s="15">
        <f t="shared" si="0"/>
        <v>2718.8500000000004</v>
      </c>
    </row>
    <row r="24" spans="1:15" ht="34.5" customHeight="1" x14ac:dyDescent="0.25">
      <c r="A24" s="26">
        <v>12111</v>
      </c>
      <c r="B24" s="8" t="s">
        <v>30</v>
      </c>
      <c r="C24" s="15">
        <v>0</v>
      </c>
      <c r="D24" s="15">
        <v>2220.12</v>
      </c>
      <c r="E24" s="15">
        <v>2975.45</v>
      </c>
      <c r="F24" s="15">
        <v>2795.22</v>
      </c>
      <c r="G24" s="15">
        <v>2640.66</v>
      </c>
      <c r="H24" s="15">
        <v>2147.09</v>
      </c>
      <c r="I24" s="15">
        <v>2301.9</v>
      </c>
      <c r="J24" s="15">
        <v>2961.73</v>
      </c>
      <c r="K24" s="15">
        <v>2415.92</v>
      </c>
      <c r="L24" s="15">
        <v>3586.06</v>
      </c>
      <c r="M24" s="15">
        <v>3932.8</v>
      </c>
      <c r="N24" s="15">
        <v>1389.51</v>
      </c>
      <c r="O24" s="15">
        <f t="shared" si="0"/>
        <v>29366.460000000003</v>
      </c>
    </row>
    <row r="25" spans="1:15" ht="26.25" customHeight="1" x14ac:dyDescent="0.25">
      <c r="A25" s="26">
        <v>12112</v>
      </c>
      <c r="B25" s="8" t="s">
        <v>62</v>
      </c>
      <c r="C25" s="15">
        <v>320</v>
      </c>
      <c r="D25" s="15">
        <v>4170</v>
      </c>
      <c r="E25" s="15">
        <v>4300</v>
      </c>
      <c r="F25" s="15">
        <v>80</v>
      </c>
      <c r="G25" s="15">
        <v>80</v>
      </c>
      <c r="H25" s="15">
        <v>84</v>
      </c>
      <c r="I25" s="15">
        <v>3700</v>
      </c>
      <c r="J25" s="15">
        <v>80</v>
      </c>
      <c r="K25" s="15">
        <v>360</v>
      </c>
      <c r="L25" s="15">
        <v>242</v>
      </c>
      <c r="M25" s="15">
        <v>480</v>
      </c>
      <c r="N25" s="15">
        <v>246</v>
      </c>
      <c r="O25" s="15">
        <f t="shared" si="0"/>
        <v>14142</v>
      </c>
    </row>
    <row r="26" spans="1:15" ht="26.25" customHeight="1" x14ac:dyDescent="0.25">
      <c r="A26" s="26">
        <v>12114</v>
      </c>
      <c r="B26" s="6" t="s">
        <v>31</v>
      </c>
      <c r="C26" s="15">
        <v>8466.8799999999992</v>
      </c>
      <c r="D26" s="15">
        <v>12252.16</v>
      </c>
      <c r="E26" s="15">
        <v>11874.75</v>
      </c>
      <c r="F26" s="15">
        <v>8519.61</v>
      </c>
      <c r="G26" s="15">
        <v>13937.57</v>
      </c>
      <c r="H26" s="15">
        <v>11799.36</v>
      </c>
      <c r="I26" s="15">
        <v>9014.44</v>
      </c>
      <c r="J26" s="15">
        <v>15693.06</v>
      </c>
      <c r="K26" s="15">
        <v>9075.2199999999993</v>
      </c>
      <c r="L26" s="15">
        <v>6140.05</v>
      </c>
      <c r="M26" s="15">
        <v>20457.7</v>
      </c>
      <c r="N26" s="15">
        <v>7178.67</v>
      </c>
      <c r="O26" s="15">
        <f t="shared" si="0"/>
        <v>134409.47</v>
      </c>
    </row>
    <row r="27" spans="1:15" ht="26.25" customHeight="1" x14ac:dyDescent="0.25">
      <c r="A27" s="26">
        <v>12115</v>
      </c>
      <c r="B27" s="6" t="s">
        <v>32</v>
      </c>
      <c r="C27" s="15">
        <v>22618.97</v>
      </c>
      <c r="D27" s="15">
        <v>12628</v>
      </c>
      <c r="E27" s="15">
        <v>14672.95</v>
      </c>
      <c r="F27" s="15">
        <v>12058.25</v>
      </c>
      <c r="G27" s="15">
        <v>12492.75</v>
      </c>
      <c r="H27" s="15">
        <v>12460.25</v>
      </c>
      <c r="I27" s="15">
        <v>12843.75</v>
      </c>
      <c r="J27" s="15">
        <v>12955.75</v>
      </c>
      <c r="K27" s="15">
        <v>10921.95</v>
      </c>
      <c r="L27" s="15">
        <v>13624.75</v>
      </c>
      <c r="M27" s="15">
        <v>12783.75</v>
      </c>
      <c r="N27" s="15">
        <v>13123.35</v>
      </c>
      <c r="O27" s="15">
        <f t="shared" si="0"/>
        <v>163184.47</v>
      </c>
    </row>
    <row r="28" spans="1:15" ht="26.25" customHeight="1" x14ac:dyDescent="0.25">
      <c r="A28" s="26">
        <v>121151</v>
      </c>
      <c r="B28" s="6" t="s">
        <v>73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f t="shared" si="0"/>
        <v>0</v>
      </c>
    </row>
    <row r="29" spans="1:15" ht="28.5" customHeight="1" x14ac:dyDescent="0.25">
      <c r="A29" s="26">
        <v>12117</v>
      </c>
      <c r="B29" s="6" t="s">
        <v>33</v>
      </c>
      <c r="C29" s="15">
        <v>4818.66</v>
      </c>
      <c r="D29" s="15">
        <v>2750.23</v>
      </c>
      <c r="E29" s="15">
        <v>2821.96</v>
      </c>
      <c r="F29" s="15">
        <v>1843.55</v>
      </c>
      <c r="G29" s="15">
        <v>2590.11</v>
      </c>
      <c r="H29" s="15">
        <v>2581.79</v>
      </c>
      <c r="I29" s="15">
        <v>2147.44</v>
      </c>
      <c r="J29" s="15">
        <v>2193.84</v>
      </c>
      <c r="K29" s="15">
        <v>2426.0500000000002</v>
      </c>
      <c r="L29" s="15">
        <v>1873.79</v>
      </c>
      <c r="M29" s="15">
        <v>2338.12</v>
      </c>
      <c r="N29" s="15">
        <v>3603.33</v>
      </c>
      <c r="O29" s="15">
        <f t="shared" si="0"/>
        <v>31988.87</v>
      </c>
    </row>
    <row r="30" spans="1:15" ht="36.75" customHeight="1" x14ac:dyDescent="0.25">
      <c r="A30" s="26">
        <v>12118</v>
      </c>
      <c r="B30" s="8" t="s">
        <v>34</v>
      </c>
      <c r="C30" s="15">
        <v>10148</v>
      </c>
      <c r="D30" s="15">
        <v>63401.32</v>
      </c>
      <c r="E30" s="15">
        <v>8546.36</v>
      </c>
      <c r="F30" s="15">
        <v>87.01</v>
      </c>
      <c r="G30" s="15">
        <v>69811.539999999994</v>
      </c>
      <c r="H30" s="15">
        <v>9652</v>
      </c>
      <c r="I30" s="15">
        <v>1268</v>
      </c>
      <c r="J30" s="15">
        <v>62706.92</v>
      </c>
      <c r="K30" s="15">
        <v>6588</v>
      </c>
      <c r="L30" s="15">
        <v>13665.94</v>
      </c>
      <c r="M30" s="15">
        <v>60055.58</v>
      </c>
      <c r="N30" s="15">
        <v>3939.72</v>
      </c>
      <c r="O30" s="15">
        <f t="shared" si="0"/>
        <v>309870.39</v>
      </c>
    </row>
    <row r="31" spans="1:15" ht="25.5" customHeight="1" x14ac:dyDescent="0.25">
      <c r="A31" s="26">
        <v>12119</v>
      </c>
      <c r="B31" s="8" t="s">
        <v>35</v>
      </c>
      <c r="C31" s="15">
        <v>95</v>
      </c>
      <c r="D31" s="15">
        <v>65</v>
      </c>
      <c r="E31" s="15">
        <v>55</v>
      </c>
      <c r="F31" s="15">
        <v>0</v>
      </c>
      <c r="G31" s="15">
        <v>10</v>
      </c>
      <c r="H31" s="15">
        <v>0</v>
      </c>
      <c r="I31" s="15">
        <v>20</v>
      </c>
      <c r="J31" s="15">
        <v>5</v>
      </c>
      <c r="K31" s="15">
        <v>10</v>
      </c>
      <c r="L31" s="15">
        <v>5</v>
      </c>
      <c r="M31" s="15">
        <v>5</v>
      </c>
      <c r="N31" s="15">
        <v>5</v>
      </c>
      <c r="O31" s="15">
        <f t="shared" si="0"/>
        <v>275</v>
      </c>
    </row>
    <row r="32" spans="1:15" ht="26.25" customHeight="1" x14ac:dyDescent="0.25">
      <c r="A32" s="26">
        <v>12120</v>
      </c>
      <c r="B32" s="8" t="s">
        <v>36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f t="shared" si="0"/>
        <v>0</v>
      </c>
    </row>
    <row r="33" spans="1:15" ht="27" customHeight="1" x14ac:dyDescent="0.25">
      <c r="A33" s="26">
        <v>12199</v>
      </c>
      <c r="B33" s="6" t="s">
        <v>37</v>
      </c>
      <c r="C33" s="15">
        <v>605.69000000000005</v>
      </c>
      <c r="D33" s="15">
        <v>725.64</v>
      </c>
      <c r="E33" s="15">
        <v>742.81</v>
      </c>
      <c r="F33" s="15">
        <v>502.79</v>
      </c>
      <c r="G33" s="15">
        <v>434.24</v>
      </c>
      <c r="H33" s="15">
        <v>388.54</v>
      </c>
      <c r="I33" s="15">
        <v>274.27</v>
      </c>
      <c r="J33" s="15">
        <v>348.54</v>
      </c>
      <c r="K33" s="15">
        <v>371.42</v>
      </c>
      <c r="L33" s="15">
        <v>434.28</v>
      </c>
      <c r="M33" s="15">
        <v>302.83</v>
      </c>
      <c r="N33" s="15">
        <v>531.37</v>
      </c>
      <c r="O33" s="15">
        <f t="shared" si="0"/>
        <v>5662.42</v>
      </c>
    </row>
    <row r="34" spans="1:15" ht="41.25" customHeight="1" x14ac:dyDescent="0.25">
      <c r="A34" s="26">
        <v>12210</v>
      </c>
      <c r="B34" s="8" t="s">
        <v>38</v>
      </c>
      <c r="C34" s="15">
        <v>17560.79</v>
      </c>
      <c r="D34" s="15">
        <v>2698.47</v>
      </c>
      <c r="E34" s="15">
        <v>4299.62</v>
      </c>
      <c r="F34" s="15">
        <v>1993.65</v>
      </c>
      <c r="G34" s="15">
        <v>8090.06</v>
      </c>
      <c r="H34" s="15">
        <v>23682.82</v>
      </c>
      <c r="I34" s="15">
        <v>2577.83</v>
      </c>
      <c r="J34" s="15">
        <v>1045.6199999999999</v>
      </c>
      <c r="K34" s="15">
        <v>19739</v>
      </c>
      <c r="L34" s="15">
        <v>1320.18</v>
      </c>
      <c r="M34" s="15">
        <v>2175.7199999999998</v>
      </c>
      <c r="N34" s="15">
        <v>12994.07</v>
      </c>
      <c r="O34" s="15">
        <f t="shared" si="0"/>
        <v>98177.829999999987</v>
      </c>
    </row>
    <row r="35" spans="1:15" ht="21" customHeight="1" x14ac:dyDescent="0.25">
      <c r="A35" s="26">
        <v>12211</v>
      </c>
      <c r="B35" s="8" t="s">
        <v>39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f t="shared" si="0"/>
        <v>0</v>
      </c>
    </row>
    <row r="36" spans="1:15" ht="21.75" customHeight="1" x14ac:dyDescent="0.25">
      <c r="A36" s="26">
        <v>12299</v>
      </c>
      <c r="B36" s="8" t="s">
        <v>40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f t="shared" si="0"/>
        <v>0</v>
      </c>
    </row>
    <row r="37" spans="1:15" ht="29.25" customHeight="1" x14ac:dyDescent="0.25">
      <c r="A37" s="26">
        <v>14201</v>
      </c>
      <c r="B37" s="8" t="s">
        <v>41</v>
      </c>
      <c r="C37" s="15">
        <v>735</v>
      </c>
      <c r="D37" s="15">
        <v>447</v>
      </c>
      <c r="E37" s="15">
        <v>372</v>
      </c>
      <c r="F37" s="15">
        <v>396</v>
      </c>
      <c r="G37" s="15">
        <v>84</v>
      </c>
      <c r="H37" s="15">
        <v>330</v>
      </c>
      <c r="I37" s="15">
        <v>213</v>
      </c>
      <c r="J37" s="15">
        <v>366</v>
      </c>
      <c r="K37" s="15">
        <v>807</v>
      </c>
      <c r="L37" s="15">
        <v>402</v>
      </c>
      <c r="M37" s="15">
        <v>189</v>
      </c>
      <c r="N37" s="15">
        <v>606</v>
      </c>
      <c r="O37" s="15">
        <f t="shared" si="0"/>
        <v>4947</v>
      </c>
    </row>
    <row r="38" spans="1:15" ht="21.75" customHeight="1" x14ac:dyDescent="0.25">
      <c r="A38" s="26">
        <v>14299</v>
      </c>
      <c r="B38" s="8" t="s">
        <v>64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f t="shared" si="0"/>
        <v>0</v>
      </c>
    </row>
    <row r="39" spans="1:15" ht="30" customHeight="1" x14ac:dyDescent="0.25">
      <c r="A39" s="26">
        <v>14399</v>
      </c>
      <c r="B39" s="8" t="s">
        <v>58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11.42</v>
      </c>
      <c r="M39" s="15">
        <v>68.52</v>
      </c>
      <c r="N39" s="15">
        <v>11.42</v>
      </c>
      <c r="O39" s="15">
        <f t="shared" si="0"/>
        <v>91.36</v>
      </c>
    </row>
    <row r="40" spans="1:15" ht="30.75" customHeight="1" x14ac:dyDescent="0.25">
      <c r="A40" s="26">
        <v>15301</v>
      </c>
      <c r="B40" s="8" t="s">
        <v>65</v>
      </c>
      <c r="C40" s="15">
        <v>0</v>
      </c>
      <c r="D40" s="15">
        <v>1487.8</v>
      </c>
      <c r="E40" s="15">
        <v>1898.31</v>
      </c>
      <c r="F40" s="15">
        <v>1430.33</v>
      </c>
      <c r="G40" s="15">
        <v>1836.02</v>
      </c>
      <c r="H40" s="15">
        <v>0</v>
      </c>
      <c r="I40" s="15">
        <v>0</v>
      </c>
      <c r="J40" s="15">
        <v>0</v>
      </c>
      <c r="K40" s="15">
        <v>0</v>
      </c>
      <c r="L40" s="15">
        <v>1104.5999999999999</v>
      </c>
      <c r="M40" s="15">
        <v>327.22000000000003</v>
      </c>
      <c r="N40" s="15">
        <v>0</v>
      </c>
      <c r="O40" s="15">
        <f t="shared" si="0"/>
        <v>8084.28</v>
      </c>
    </row>
    <row r="41" spans="1:15" ht="32.25" customHeight="1" x14ac:dyDescent="0.25">
      <c r="A41" s="26">
        <v>15302</v>
      </c>
      <c r="B41" s="8" t="s">
        <v>42</v>
      </c>
      <c r="C41" s="15">
        <v>0</v>
      </c>
      <c r="D41" s="15">
        <v>2863.15</v>
      </c>
      <c r="E41" s="15">
        <v>3778.6</v>
      </c>
      <c r="F41" s="15">
        <v>2475.62</v>
      </c>
      <c r="G41" s="15">
        <v>2426.0300000000002</v>
      </c>
      <c r="H41" s="15">
        <v>0</v>
      </c>
      <c r="I41" s="15">
        <v>0</v>
      </c>
      <c r="J41" s="15">
        <v>0</v>
      </c>
      <c r="K41" s="15">
        <v>0</v>
      </c>
      <c r="L41" s="15">
        <v>1235.26</v>
      </c>
      <c r="M41" s="15">
        <v>196.8</v>
      </c>
      <c r="N41" s="15">
        <v>0</v>
      </c>
      <c r="O41" s="15">
        <f t="shared" si="0"/>
        <v>12975.46</v>
      </c>
    </row>
    <row r="42" spans="1:15" ht="41.25" customHeight="1" x14ac:dyDescent="0.25">
      <c r="A42" s="26">
        <v>15310</v>
      </c>
      <c r="B42" s="8" t="s">
        <v>66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f t="shared" si="0"/>
        <v>0</v>
      </c>
    </row>
    <row r="43" spans="1:15" ht="40.5" customHeight="1" x14ac:dyDescent="0.25">
      <c r="A43" s="26">
        <v>15312</v>
      </c>
      <c r="B43" s="8" t="s">
        <v>67</v>
      </c>
      <c r="C43" s="15">
        <v>74.099999999999994</v>
      </c>
      <c r="D43" s="15">
        <v>65.55</v>
      </c>
      <c r="E43" s="15">
        <v>94.05</v>
      </c>
      <c r="F43" s="15" t="s">
        <v>86</v>
      </c>
      <c r="G43" s="15">
        <v>48.45</v>
      </c>
      <c r="H43" s="15">
        <v>51.3</v>
      </c>
      <c r="I43" s="15">
        <v>74.099999999999994</v>
      </c>
      <c r="J43" s="15">
        <v>34.200000000000003</v>
      </c>
      <c r="K43" s="15">
        <v>45.6</v>
      </c>
      <c r="L43" s="15">
        <v>51.3</v>
      </c>
      <c r="M43" s="15">
        <v>88.35</v>
      </c>
      <c r="N43" s="15">
        <v>51.3</v>
      </c>
      <c r="O43" s="15"/>
    </row>
    <row r="44" spans="1:15" ht="40.5" customHeight="1" x14ac:dyDescent="0.25">
      <c r="A44" s="26">
        <v>15313</v>
      </c>
      <c r="B44" s="8" t="s">
        <v>85</v>
      </c>
      <c r="C44" s="15">
        <v>0</v>
      </c>
      <c r="D44" s="15">
        <v>0</v>
      </c>
      <c r="E44" s="15">
        <v>365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/>
      <c r="M44" s="15"/>
      <c r="N44" s="15"/>
      <c r="O44" s="15"/>
    </row>
    <row r="45" spans="1:15" ht="34.5" customHeight="1" x14ac:dyDescent="0.25">
      <c r="A45" s="26">
        <v>15314</v>
      </c>
      <c r="B45" s="8" t="s">
        <v>43</v>
      </c>
      <c r="C45" s="15">
        <v>0</v>
      </c>
      <c r="D45" s="15">
        <v>34.29</v>
      </c>
      <c r="E45" s="15">
        <v>152.86000000000001</v>
      </c>
      <c r="F45" s="15">
        <v>114.29</v>
      </c>
      <c r="G45" s="15">
        <v>11.43</v>
      </c>
      <c r="H45" s="15">
        <v>57.15</v>
      </c>
      <c r="I45" s="15">
        <v>537.16999999999996</v>
      </c>
      <c r="J45" s="15">
        <v>235.19</v>
      </c>
      <c r="K45" s="15">
        <v>171.44</v>
      </c>
      <c r="L45" s="15">
        <v>451.48</v>
      </c>
      <c r="M45" s="15">
        <v>398.58</v>
      </c>
      <c r="N45" s="15">
        <v>114.29</v>
      </c>
      <c r="O45" s="15">
        <f t="shared" si="0"/>
        <v>2278.1700000000005</v>
      </c>
    </row>
    <row r="46" spans="1:15" ht="36.75" customHeight="1" x14ac:dyDescent="0.25">
      <c r="A46" s="26">
        <v>15402</v>
      </c>
      <c r="B46" s="8" t="s">
        <v>44</v>
      </c>
      <c r="C46" s="15">
        <v>1548.35</v>
      </c>
      <c r="D46" s="15">
        <v>170.87</v>
      </c>
      <c r="E46" s="15">
        <v>253.49</v>
      </c>
      <c r="F46" s="15">
        <v>75.150000000000006</v>
      </c>
      <c r="G46" s="15">
        <v>274.06</v>
      </c>
      <c r="H46" s="15">
        <v>335.19</v>
      </c>
      <c r="I46" s="15">
        <v>75.150000000000006</v>
      </c>
      <c r="J46" s="15">
        <v>1651.7</v>
      </c>
      <c r="K46" s="15">
        <v>75.150000000000006</v>
      </c>
      <c r="L46" s="15">
        <v>246.02</v>
      </c>
      <c r="M46" s="15">
        <v>75.150000000000006</v>
      </c>
      <c r="N46" s="15">
        <v>4302.57</v>
      </c>
      <c r="O46" s="15">
        <f t="shared" si="0"/>
        <v>9082.8499999999985</v>
      </c>
    </row>
    <row r="47" spans="1:15" ht="34.5" customHeight="1" x14ac:dyDescent="0.25">
      <c r="A47" s="26">
        <v>15703</v>
      </c>
      <c r="B47" s="8" t="s">
        <v>45</v>
      </c>
      <c r="C47" s="15">
        <v>65988.149999999994</v>
      </c>
      <c r="D47" s="15">
        <v>36431.800000000003</v>
      </c>
      <c r="E47" s="15">
        <v>33143.83</v>
      </c>
      <c r="F47" s="15">
        <v>36456.620000000003</v>
      </c>
      <c r="G47" s="15">
        <v>64027.4</v>
      </c>
      <c r="H47" s="15">
        <v>0</v>
      </c>
      <c r="I47" s="15">
        <v>36404.379999999997</v>
      </c>
      <c r="J47" s="15">
        <v>0</v>
      </c>
      <c r="K47" s="15">
        <v>0.01</v>
      </c>
      <c r="L47" s="15">
        <v>74526.44</v>
      </c>
      <c r="M47" s="15">
        <v>62.45</v>
      </c>
      <c r="N47" s="15">
        <v>0</v>
      </c>
      <c r="O47" s="15">
        <f t="shared" si="0"/>
        <v>347041.07999999996</v>
      </c>
    </row>
    <row r="48" spans="1:15" ht="32.25" customHeight="1" x14ac:dyDescent="0.25">
      <c r="A48" s="26">
        <v>15799</v>
      </c>
      <c r="B48" s="8" t="s">
        <v>46</v>
      </c>
      <c r="C48" s="15">
        <v>51.15</v>
      </c>
      <c r="D48" s="15">
        <v>450.9</v>
      </c>
      <c r="E48" s="15">
        <v>107.36</v>
      </c>
      <c r="F48" s="15">
        <v>201.77</v>
      </c>
      <c r="G48" s="15">
        <v>420.45</v>
      </c>
      <c r="H48" s="15">
        <v>1037.17</v>
      </c>
      <c r="I48" s="15">
        <v>95.86</v>
      </c>
      <c r="J48" s="15">
        <v>0</v>
      </c>
      <c r="K48" s="15">
        <v>402.15</v>
      </c>
      <c r="L48" s="15">
        <v>351.46</v>
      </c>
      <c r="M48" s="15">
        <v>1384.92</v>
      </c>
      <c r="N48" s="15">
        <v>69.81</v>
      </c>
      <c r="O48" s="15">
        <f t="shared" si="0"/>
        <v>4573</v>
      </c>
    </row>
    <row r="49" spans="1:16" ht="67.5" customHeight="1" x14ac:dyDescent="0.25">
      <c r="A49" s="27">
        <v>1620701</v>
      </c>
      <c r="B49" s="25" t="s">
        <v>79</v>
      </c>
      <c r="C49" s="24"/>
      <c r="D49" s="24"/>
      <c r="E49" s="24"/>
      <c r="F49" s="24"/>
      <c r="G49" s="24"/>
      <c r="H49" s="24"/>
      <c r="I49" s="24"/>
      <c r="J49" s="24">
        <v>0</v>
      </c>
      <c r="K49" s="24"/>
      <c r="L49" s="24">
        <v>0</v>
      </c>
      <c r="M49" s="24"/>
      <c r="N49" s="24"/>
      <c r="O49" s="24">
        <f t="shared" si="0"/>
        <v>0</v>
      </c>
    </row>
    <row r="50" spans="1:16" ht="42" customHeight="1" x14ac:dyDescent="0.25">
      <c r="A50" s="26">
        <v>21201</v>
      </c>
      <c r="B50" s="8" t="s">
        <v>47</v>
      </c>
      <c r="C50" s="15"/>
      <c r="D50" s="15">
        <v>1157.44</v>
      </c>
      <c r="E50" s="15">
        <v>35.69</v>
      </c>
      <c r="F50" s="15"/>
      <c r="G50" s="15">
        <v>11.98</v>
      </c>
      <c r="H50" s="15">
        <v>0</v>
      </c>
      <c r="I50" s="15"/>
      <c r="J50" s="15">
        <v>88.28</v>
      </c>
      <c r="K50" s="15">
        <v>215.22</v>
      </c>
      <c r="L50" s="15">
        <v>0</v>
      </c>
      <c r="M50" s="15"/>
      <c r="N50" s="15"/>
      <c r="O50" s="15">
        <f t="shared" si="0"/>
        <v>1508.6100000000001</v>
      </c>
    </row>
    <row r="51" spans="1:16" ht="48.75" customHeight="1" x14ac:dyDescent="0.25">
      <c r="A51" s="26">
        <v>31308</v>
      </c>
      <c r="B51" s="8" t="s">
        <v>78</v>
      </c>
      <c r="C51" s="15"/>
      <c r="D51" s="15"/>
      <c r="E51" s="15"/>
      <c r="F51" s="15"/>
      <c r="G51" s="15">
        <v>0</v>
      </c>
      <c r="H51" s="15">
        <v>0</v>
      </c>
      <c r="I51" s="15"/>
      <c r="J51" s="15"/>
      <c r="K51" s="15"/>
      <c r="L51" s="15">
        <v>0</v>
      </c>
      <c r="M51" s="15"/>
      <c r="N51" s="15"/>
      <c r="O51" s="15">
        <f t="shared" si="0"/>
        <v>0</v>
      </c>
    </row>
    <row r="52" spans="1:16" ht="34.5" customHeight="1" x14ac:dyDescent="0.25">
      <c r="A52" s="26">
        <v>32101</v>
      </c>
      <c r="B52" s="8" t="s">
        <v>48</v>
      </c>
      <c r="C52" s="15"/>
      <c r="D52" s="15"/>
      <c r="E52" s="15"/>
      <c r="F52" s="15"/>
      <c r="G52" s="15">
        <v>0</v>
      </c>
      <c r="H52" s="15">
        <v>0</v>
      </c>
      <c r="I52" s="15"/>
      <c r="J52" s="15">
        <v>0</v>
      </c>
      <c r="K52" s="15"/>
      <c r="L52" s="15">
        <v>0</v>
      </c>
      <c r="M52" s="15"/>
      <c r="N52" s="15"/>
      <c r="O52" s="15">
        <f t="shared" si="0"/>
        <v>0</v>
      </c>
    </row>
    <row r="53" spans="1:16" ht="66.75" customHeight="1" x14ac:dyDescent="0.25">
      <c r="A53" s="26">
        <v>32102</v>
      </c>
      <c r="B53" s="8" t="s">
        <v>75</v>
      </c>
      <c r="C53" s="15"/>
      <c r="D53" s="15"/>
      <c r="E53" s="15"/>
      <c r="F53" s="15"/>
      <c r="G53" s="15">
        <v>0</v>
      </c>
      <c r="H53" s="15"/>
      <c r="I53" s="15"/>
      <c r="J53" s="15">
        <v>0</v>
      </c>
      <c r="K53" s="15"/>
      <c r="L53" s="15">
        <v>0</v>
      </c>
      <c r="M53" s="15"/>
      <c r="N53" s="15"/>
      <c r="O53" s="15">
        <f t="shared" si="0"/>
        <v>0</v>
      </c>
    </row>
    <row r="54" spans="1:16" ht="36" customHeight="1" x14ac:dyDescent="0.25">
      <c r="A54" s="26">
        <v>32102</v>
      </c>
      <c r="B54" s="8" t="s">
        <v>76</v>
      </c>
      <c r="C54" s="15"/>
      <c r="D54" s="15"/>
      <c r="E54" s="15"/>
      <c r="F54" s="15"/>
      <c r="G54" s="15"/>
      <c r="H54" s="15"/>
      <c r="I54" s="15"/>
      <c r="J54" s="15"/>
      <c r="K54" s="15">
        <v>0</v>
      </c>
      <c r="L54" s="15">
        <v>0</v>
      </c>
      <c r="M54" s="15"/>
      <c r="N54" s="15"/>
      <c r="O54" s="15">
        <f>N54+M54+L54+K54+J54+I54+H54+G54+F54+E54+D54+C54</f>
        <v>0</v>
      </c>
    </row>
    <row r="55" spans="1:16" ht="39" customHeight="1" x14ac:dyDescent="0.25">
      <c r="A55" s="26">
        <v>32102</v>
      </c>
      <c r="B55" s="8" t="s">
        <v>77</v>
      </c>
      <c r="C55" s="15"/>
      <c r="D55" s="15"/>
      <c r="E55" s="15"/>
      <c r="F55" s="15"/>
      <c r="G55" s="15"/>
      <c r="H55" s="15"/>
      <c r="I55" s="15"/>
      <c r="J55" s="15"/>
      <c r="K55" s="15"/>
      <c r="L55" s="15">
        <v>0</v>
      </c>
      <c r="M55" s="15"/>
      <c r="N55" s="15"/>
      <c r="O55" s="15">
        <f t="shared" si="0"/>
        <v>0</v>
      </c>
    </row>
    <row r="56" spans="1:16" ht="30.75" customHeight="1" x14ac:dyDescent="0.25">
      <c r="A56" s="26">
        <v>32102</v>
      </c>
      <c r="B56" s="8" t="s">
        <v>72</v>
      </c>
      <c r="C56" s="15"/>
      <c r="D56" s="15"/>
      <c r="E56" s="15"/>
      <c r="F56" s="15"/>
      <c r="G56" s="15"/>
      <c r="H56" s="15"/>
      <c r="I56" s="15"/>
      <c r="J56" s="15"/>
      <c r="K56" s="15"/>
      <c r="L56" s="15">
        <v>0</v>
      </c>
      <c r="M56" s="15"/>
      <c r="N56" s="15"/>
      <c r="O56" s="15">
        <f t="shared" si="0"/>
        <v>0</v>
      </c>
    </row>
    <row r="57" spans="1:16" ht="38.25" customHeight="1" x14ac:dyDescent="0.25">
      <c r="A57" s="26">
        <v>32201</v>
      </c>
      <c r="B57" s="8" t="s">
        <v>56</v>
      </c>
      <c r="C57" s="15"/>
      <c r="D57" s="15"/>
      <c r="E57" s="15"/>
      <c r="F57" s="15"/>
      <c r="G57" s="15"/>
      <c r="H57" s="15"/>
      <c r="I57" s="15"/>
      <c r="J57" s="15"/>
      <c r="K57" s="15"/>
      <c r="L57" s="15">
        <v>0</v>
      </c>
      <c r="M57" s="15"/>
      <c r="N57" s="15"/>
      <c r="O57" s="15">
        <f>N57+M57+L57+K57+J57+I57+H57+G57+F57+E57+D57+C57</f>
        <v>0</v>
      </c>
    </row>
    <row r="58" spans="1:16" ht="52.5" customHeight="1" x14ac:dyDescent="0.25">
      <c r="A58" s="26">
        <v>32201</v>
      </c>
      <c r="B58" s="8" t="s">
        <v>69</v>
      </c>
      <c r="C58" s="15"/>
      <c r="D58" s="15"/>
      <c r="E58" s="15"/>
      <c r="F58" s="15"/>
      <c r="G58" s="15"/>
      <c r="H58" s="15"/>
      <c r="I58" s="15"/>
      <c r="J58" s="15"/>
      <c r="K58" s="15"/>
      <c r="L58" s="15">
        <v>0</v>
      </c>
      <c r="M58" s="15"/>
      <c r="N58" s="15"/>
      <c r="O58" s="15">
        <f t="shared" si="0"/>
        <v>0</v>
      </c>
    </row>
    <row r="59" spans="1:16" ht="53.25" customHeight="1" x14ac:dyDescent="0.25">
      <c r="A59" s="26">
        <v>32201</v>
      </c>
      <c r="B59" s="8" t="s">
        <v>70</v>
      </c>
      <c r="C59" s="15"/>
      <c r="D59" s="15"/>
      <c r="E59" s="15"/>
      <c r="F59" s="15"/>
      <c r="G59" s="15"/>
      <c r="H59" s="15"/>
      <c r="I59" s="15"/>
      <c r="J59" s="15"/>
      <c r="K59" s="15"/>
      <c r="L59" s="15">
        <v>0</v>
      </c>
      <c r="M59" s="15"/>
      <c r="N59" s="15"/>
      <c r="O59" s="15">
        <f t="shared" si="0"/>
        <v>0</v>
      </c>
    </row>
    <row r="60" spans="1:16" ht="53.25" customHeight="1" x14ac:dyDescent="0.25">
      <c r="A60" s="26">
        <v>32201</v>
      </c>
      <c r="B60" s="8" t="s">
        <v>71</v>
      </c>
      <c r="C60" s="15"/>
      <c r="D60" s="15"/>
      <c r="E60" s="15"/>
      <c r="F60" s="15"/>
      <c r="G60" s="15"/>
      <c r="H60" s="15"/>
      <c r="I60" s="15"/>
      <c r="J60" s="15"/>
      <c r="K60" s="15"/>
      <c r="L60" s="15">
        <v>0</v>
      </c>
      <c r="M60" s="15"/>
      <c r="N60" s="15"/>
      <c r="O60" s="15">
        <f t="shared" si="0"/>
        <v>0</v>
      </c>
    </row>
    <row r="61" spans="1:16" ht="32.25" customHeight="1" x14ac:dyDescent="0.25">
      <c r="A61" s="63" t="s">
        <v>61</v>
      </c>
      <c r="B61" s="64"/>
      <c r="C61" s="16">
        <f t="shared" ref="C61:O61" si="1">SUM(C3:C60)</f>
        <v>269352.49</v>
      </c>
      <c r="D61" s="16">
        <f t="shared" si="1"/>
        <v>316558.72000000003</v>
      </c>
      <c r="E61" s="16">
        <f t="shared" si="1"/>
        <v>305828.06999999995</v>
      </c>
      <c r="F61" s="16">
        <f t="shared" si="1"/>
        <v>233307.74999999994</v>
      </c>
      <c r="G61" s="16">
        <f t="shared" si="1"/>
        <v>368558.44000000006</v>
      </c>
      <c r="H61" s="16">
        <f t="shared" si="1"/>
        <v>255341.77000000002</v>
      </c>
      <c r="I61" s="16">
        <f t="shared" si="1"/>
        <v>244320.36999999997</v>
      </c>
      <c r="J61" s="16">
        <f t="shared" si="1"/>
        <v>353410.33000000007</v>
      </c>
      <c r="K61" s="16">
        <f>SUM(K3:K60)</f>
        <v>205311.68000000005</v>
      </c>
      <c r="L61" s="16">
        <f t="shared" si="1"/>
        <v>220859.23</v>
      </c>
      <c r="M61" s="16">
        <f t="shared" si="1"/>
        <v>447518.34</v>
      </c>
      <c r="N61" s="16">
        <f t="shared" si="1"/>
        <v>168619.14</v>
      </c>
      <c r="O61" s="16">
        <f t="shared" si="1"/>
        <v>3387017.97</v>
      </c>
    </row>
    <row r="62" spans="1:16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18">
        <f>N61+M61+L61+K61+J61+I61+H61+G61+F61+E61+D61+C61</f>
        <v>3388986.33</v>
      </c>
    </row>
    <row r="63" spans="1:16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19" t="s">
        <v>74</v>
      </c>
      <c r="M63" s="9"/>
      <c r="N63" s="9"/>
      <c r="O63" s="18">
        <f>'[1]PROYECCION DE INGRESOS 2023'!$I$68</f>
        <v>0</v>
      </c>
      <c r="P63" s="2">
        <f>O62-O63</f>
        <v>3388986.33</v>
      </c>
    </row>
    <row r="64" spans="1:16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19" t="s">
        <v>68</v>
      </c>
      <c r="N64" s="9"/>
      <c r="O64" s="18">
        <f>'[2]ANEXO 3 CONSOLIDADO DE INGRESO'!$I$55</f>
        <v>0</v>
      </c>
    </row>
    <row r="65" spans="2:15" x14ac:dyDescent="0.25">
      <c r="B65" s="1"/>
      <c r="O65" s="4">
        <f>O61-O63</f>
        <v>3387017.97</v>
      </c>
    </row>
    <row r="66" spans="2:15" x14ac:dyDescent="0.25">
      <c r="B66" s="1"/>
    </row>
    <row r="67" spans="2:15" x14ac:dyDescent="0.25">
      <c r="B67" s="1"/>
    </row>
    <row r="68" spans="2:15" x14ac:dyDescent="0.25">
      <c r="B68" s="1"/>
    </row>
    <row r="69" spans="2:15" x14ac:dyDescent="0.25">
      <c r="B69" s="1"/>
    </row>
    <row r="70" spans="2:15" x14ac:dyDescent="0.25">
      <c r="B70" s="1"/>
    </row>
    <row r="71" spans="2:15" x14ac:dyDescent="0.25">
      <c r="B71" s="1"/>
    </row>
    <row r="72" spans="2:15" x14ac:dyDescent="0.25">
      <c r="B72" s="1"/>
    </row>
    <row r="73" spans="2:15" x14ac:dyDescent="0.25">
      <c r="B73" s="1"/>
    </row>
    <row r="74" spans="2:15" x14ac:dyDescent="0.25">
      <c r="B74" s="1"/>
    </row>
    <row r="75" spans="2:15" x14ac:dyDescent="0.25">
      <c r="B75" s="1"/>
    </row>
    <row r="76" spans="2:15" x14ac:dyDescent="0.25">
      <c r="B76" s="1"/>
    </row>
    <row r="77" spans="2:15" x14ac:dyDescent="0.25">
      <c r="B77" s="1"/>
    </row>
    <row r="78" spans="2:15" x14ac:dyDescent="0.25">
      <c r="B78" s="1"/>
    </row>
    <row r="79" spans="2:15" x14ac:dyDescent="0.25">
      <c r="B79" s="1"/>
    </row>
    <row r="80" spans="2:15" x14ac:dyDescent="0.25">
      <c r="B80" s="1"/>
    </row>
    <row r="81" spans="2:2" x14ac:dyDescent="0.25">
      <c r="B81" s="1"/>
    </row>
    <row r="82" spans="2:2" x14ac:dyDescent="0.25">
      <c r="B82" s="1"/>
    </row>
    <row r="83" spans="2:2" x14ac:dyDescent="0.25">
      <c r="B83" s="1"/>
    </row>
  </sheetData>
  <mergeCells count="2">
    <mergeCell ref="A1:O1"/>
    <mergeCell ref="A61:B6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9"/>
  <sheetViews>
    <sheetView topLeftCell="A4" workbookViewId="0">
      <selection activeCell="I10" sqref="I10"/>
    </sheetView>
  </sheetViews>
  <sheetFormatPr baseColWidth="10" defaultRowHeight="15" x14ac:dyDescent="0.25"/>
  <cols>
    <col min="1" max="1" width="7.140625" customWidth="1"/>
    <col min="2" max="2" width="42.7109375" customWidth="1"/>
    <col min="3" max="3" width="13.28515625" bestFit="1" customWidth="1"/>
    <col min="257" max="257" width="7.140625" customWidth="1"/>
    <col min="258" max="258" width="42.7109375" customWidth="1"/>
    <col min="259" max="259" width="13.28515625" bestFit="1" customWidth="1"/>
    <col min="513" max="513" width="7.140625" customWidth="1"/>
    <col min="514" max="514" width="42.7109375" customWidth="1"/>
    <col min="515" max="515" width="13.28515625" bestFit="1" customWidth="1"/>
    <col min="769" max="769" width="7.140625" customWidth="1"/>
    <col min="770" max="770" width="42.7109375" customWidth="1"/>
    <col min="771" max="771" width="13.28515625" bestFit="1" customWidth="1"/>
    <col min="1025" max="1025" width="7.140625" customWidth="1"/>
    <col min="1026" max="1026" width="42.7109375" customWidth="1"/>
    <col min="1027" max="1027" width="13.28515625" bestFit="1" customWidth="1"/>
    <col min="1281" max="1281" width="7.140625" customWidth="1"/>
    <col min="1282" max="1282" width="42.7109375" customWidth="1"/>
    <col min="1283" max="1283" width="13.28515625" bestFit="1" customWidth="1"/>
    <col min="1537" max="1537" width="7.140625" customWidth="1"/>
    <col min="1538" max="1538" width="42.7109375" customWidth="1"/>
    <col min="1539" max="1539" width="13.28515625" bestFit="1" customWidth="1"/>
    <col min="1793" max="1793" width="7.140625" customWidth="1"/>
    <col min="1794" max="1794" width="42.7109375" customWidth="1"/>
    <col min="1795" max="1795" width="13.28515625" bestFit="1" customWidth="1"/>
    <col min="2049" max="2049" width="7.140625" customWidth="1"/>
    <col min="2050" max="2050" width="42.7109375" customWidth="1"/>
    <col min="2051" max="2051" width="13.28515625" bestFit="1" customWidth="1"/>
    <col min="2305" max="2305" width="7.140625" customWidth="1"/>
    <col min="2306" max="2306" width="42.7109375" customWidth="1"/>
    <col min="2307" max="2307" width="13.28515625" bestFit="1" customWidth="1"/>
    <col min="2561" max="2561" width="7.140625" customWidth="1"/>
    <col min="2562" max="2562" width="42.7109375" customWidth="1"/>
    <col min="2563" max="2563" width="13.28515625" bestFit="1" customWidth="1"/>
    <col min="2817" max="2817" width="7.140625" customWidth="1"/>
    <col min="2818" max="2818" width="42.7109375" customWidth="1"/>
    <col min="2819" max="2819" width="13.28515625" bestFit="1" customWidth="1"/>
    <col min="3073" max="3073" width="7.140625" customWidth="1"/>
    <col min="3074" max="3074" width="42.7109375" customWidth="1"/>
    <col min="3075" max="3075" width="13.28515625" bestFit="1" customWidth="1"/>
    <col min="3329" max="3329" width="7.140625" customWidth="1"/>
    <col min="3330" max="3330" width="42.7109375" customWidth="1"/>
    <col min="3331" max="3331" width="13.28515625" bestFit="1" customWidth="1"/>
    <col min="3585" max="3585" width="7.140625" customWidth="1"/>
    <col min="3586" max="3586" width="42.7109375" customWidth="1"/>
    <col min="3587" max="3587" width="13.28515625" bestFit="1" customWidth="1"/>
    <col min="3841" max="3841" width="7.140625" customWidth="1"/>
    <col min="3842" max="3842" width="42.7109375" customWidth="1"/>
    <col min="3843" max="3843" width="13.28515625" bestFit="1" customWidth="1"/>
    <col min="4097" max="4097" width="7.140625" customWidth="1"/>
    <col min="4098" max="4098" width="42.7109375" customWidth="1"/>
    <col min="4099" max="4099" width="13.28515625" bestFit="1" customWidth="1"/>
    <col min="4353" max="4353" width="7.140625" customWidth="1"/>
    <col min="4354" max="4354" width="42.7109375" customWidth="1"/>
    <col min="4355" max="4355" width="13.28515625" bestFit="1" customWidth="1"/>
    <col min="4609" max="4609" width="7.140625" customWidth="1"/>
    <col min="4610" max="4610" width="42.7109375" customWidth="1"/>
    <col min="4611" max="4611" width="13.28515625" bestFit="1" customWidth="1"/>
    <col min="4865" max="4865" width="7.140625" customWidth="1"/>
    <col min="4866" max="4866" width="42.7109375" customWidth="1"/>
    <col min="4867" max="4867" width="13.28515625" bestFit="1" customWidth="1"/>
    <col min="5121" max="5121" width="7.140625" customWidth="1"/>
    <col min="5122" max="5122" width="42.7109375" customWidth="1"/>
    <col min="5123" max="5123" width="13.28515625" bestFit="1" customWidth="1"/>
    <col min="5377" max="5377" width="7.140625" customWidth="1"/>
    <col min="5378" max="5378" width="42.7109375" customWidth="1"/>
    <col min="5379" max="5379" width="13.28515625" bestFit="1" customWidth="1"/>
    <col min="5633" max="5633" width="7.140625" customWidth="1"/>
    <col min="5634" max="5634" width="42.7109375" customWidth="1"/>
    <col min="5635" max="5635" width="13.28515625" bestFit="1" customWidth="1"/>
    <col min="5889" max="5889" width="7.140625" customWidth="1"/>
    <col min="5890" max="5890" width="42.7109375" customWidth="1"/>
    <col min="5891" max="5891" width="13.28515625" bestFit="1" customWidth="1"/>
    <col min="6145" max="6145" width="7.140625" customWidth="1"/>
    <col min="6146" max="6146" width="42.7109375" customWidth="1"/>
    <col min="6147" max="6147" width="13.28515625" bestFit="1" customWidth="1"/>
    <col min="6401" max="6401" width="7.140625" customWidth="1"/>
    <col min="6402" max="6402" width="42.7109375" customWidth="1"/>
    <col min="6403" max="6403" width="13.28515625" bestFit="1" customWidth="1"/>
    <col min="6657" max="6657" width="7.140625" customWidth="1"/>
    <col min="6658" max="6658" width="42.7109375" customWidth="1"/>
    <col min="6659" max="6659" width="13.28515625" bestFit="1" customWidth="1"/>
    <col min="6913" max="6913" width="7.140625" customWidth="1"/>
    <col min="6914" max="6914" width="42.7109375" customWidth="1"/>
    <col min="6915" max="6915" width="13.28515625" bestFit="1" customWidth="1"/>
    <col min="7169" max="7169" width="7.140625" customWidth="1"/>
    <col min="7170" max="7170" width="42.7109375" customWidth="1"/>
    <col min="7171" max="7171" width="13.28515625" bestFit="1" customWidth="1"/>
    <col min="7425" max="7425" width="7.140625" customWidth="1"/>
    <col min="7426" max="7426" width="42.7109375" customWidth="1"/>
    <col min="7427" max="7427" width="13.28515625" bestFit="1" customWidth="1"/>
    <col min="7681" max="7681" width="7.140625" customWidth="1"/>
    <col min="7682" max="7682" width="42.7109375" customWidth="1"/>
    <col min="7683" max="7683" width="13.28515625" bestFit="1" customWidth="1"/>
    <col min="7937" max="7937" width="7.140625" customWidth="1"/>
    <col min="7938" max="7938" width="42.7109375" customWidth="1"/>
    <col min="7939" max="7939" width="13.28515625" bestFit="1" customWidth="1"/>
    <col min="8193" max="8193" width="7.140625" customWidth="1"/>
    <col min="8194" max="8194" width="42.7109375" customWidth="1"/>
    <col min="8195" max="8195" width="13.28515625" bestFit="1" customWidth="1"/>
    <col min="8449" max="8449" width="7.140625" customWidth="1"/>
    <col min="8450" max="8450" width="42.7109375" customWidth="1"/>
    <col min="8451" max="8451" width="13.28515625" bestFit="1" customWidth="1"/>
    <col min="8705" max="8705" width="7.140625" customWidth="1"/>
    <col min="8706" max="8706" width="42.7109375" customWidth="1"/>
    <col min="8707" max="8707" width="13.28515625" bestFit="1" customWidth="1"/>
    <col min="8961" max="8961" width="7.140625" customWidth="1"/>
    <col min="8962" max="8962" width="42.7109375" customWidth="1"/>
    <col min="8963" max="8963" width="13.28515625" bestFit="1" customWidth="1"/>
    <col min="9217" max="9217" width="7.140625" customWidth="1"/>
    <col min="9218" max="9218" width="42.7109375" customWidth="1"/>
    <col min="9219" max="9219" width="13.28515625" bestFit="1" customWidth="1"/>
    <col min="9473" max="9473" width="7.140625" customWidth="1"/>
    <col min="9474" max="9474" width="42.7109375" customWidth="1"/>
    <col min="9475" max="9475" width="13.28515625" bestFit="1" customWidth="1"/>
    <col min="9729" max="9729" width="7.140625" customWidth="1"/>
    <col min="9730" max="9730" width="42.7109375" customWidth="1"/>
    <col min="9731" max="9731" width="13.28515625" bestFit="1" customWidth="1"/>
    <col min="9985" max="9985" width="7.140625" customWidth="1"/>
    <col min="9986" max="9986" width="42.7109375" customWidth="1"/>
    <col min="9987" max="9987" width="13.28515625" bestFit="1" customWidth="1"/>
    <col min="10241" max="10241" width="7.140625" customWidth="1"/>
    <col min="10242" max="10242" width="42.7109375" customWidth="1"/>
    <col min="10243" max="10243" width="13.28515625" bestFit="1" customWidth="1"/>
    <col min="10497" max="10497" width="7.140625" customWidth="1"/>
    <col min="10498" max="10498" width="42.7109375" customWidth="1"/>
    <col min="10499" max="10499" width="13.28515625" bestFit="1" customWidth="1"/>
    <col min="10753" max="10753" width="7.140625" customWidth="1"/>
    <col min="10754" max="10754" width="42.7109375" customWidth="1"/>
    <col min="10755" max="10755" width="13.28515625" bestFit="1" customWidth="1"/>
    <col min="11009" max="11009" width="7.140625" customWidth="1"/>
    <col min="11010" max="11010" width="42.7109375" customWidth="1"/>
    <col min="11011" max="11011" width="13.28515625" bestFit="1" customWidth="1"/>
    <col min="11265" max="11265" width="7.140625" customWidth="1"/>
    <col min="11266" max="11266" width="42.7109375" customWidth="1"/>
    <col min="11267" max="11267" width="13.28515625" bestFit="1" customWidth="1"/>
    <col min="11521" max="11521" width="7.140625" customWidth="1"/>
    <col min="11522" max="11522" width="42.7109375" customWidth="1"/>
    <col min="11523" max="11523" width="13.28515625" bestFit="1" customWidth="1"/>
    <col min="11777" max="11777" width="7.140625" customWidth="1"/>
    <col min="11778" max="11778" width="42.7109375" customWidth="1"/>
    <col min="11779" max="11779" width="13.28515625" bestFit="1" customWidth="1"/>
    <col min="12033" max="12033" width="7.140625" customWidth="1"/>
    <col min="12034" max="12034" width="42.7109375" customWidth="1"/>
    <col min="12035" max="12035" width="13.28515625" bestFit="1" customWidth="1"/>
    <col min="12289" max="12289" width="7.140625" customWidth="1"/>
    <col min="12290" max="12290" width="42.7109375" customWidth="1"/>
    <col min="12291" max="12291" width="13.28515625" bestFit="1" customWidth="1"/>
    <col min="12545" max="12545" width="7.140625" customWidth="1"/>
    <col min="12546" max="12546" width="42.7109375" customWidth="1"/>
    <col min="12547" max="12547" width="13.28515625" bestFit="1" customWidth="1"/>
    <col min="12801" max="12801" width="7.140625" customWidth="1"/>
    <col min="12802" max="12802" width="42.7109375" customWidth="1"/>
    <col min="12803" max="12803" width="13.28515625" bestFit="1" customWidth="1"/>
    <col min="13057" max="13057" width="7.140625" customWidth="1"/>
    <col min="13058" max="13058" width="42.7109375" customWidth="1"/>
    <col min="13059" max="13059" width="13.28515625" bestFit="1" customWidth="1"/>
    <col min="13313" max="13313" width="7.140625" customWidth="1"/>
    <col min="13314" max="13314" width="42.7109375" customWidth="1"/>
    <col min="13315" max="13315" width="13.28515625" bestFit="1" customWidth="1"/>
    <col min="13569" max="13569" width="7.140625" customWidth="1"/>
    <col min="13570" max="13570" width="42.7109375" customWidth="1"/>
    <col min="13571" max="13571" width="13.28515625" bestFit="1" customWidth="1"/>
    <col min="13825" max="13825" width="7.140625" customWidth="1"/>
    <col min="13826" max="13826" width="42.7109375" customWidth="1"/>
    <col min="13827" max="13827" width="13.28515625" bestFit="1" customWidth="1"/>
    <col min="14081" max="14081" width="7.140625" customWidth="1"/>
    <col min="14082" max="14082" width="42.7109375" customWidth="1"/>
    <col min="14083" max="14083" width="13.28515625" bestFit="1" customWidth="1"/>
    <col min="14337" max="14337" width="7.140625" customWidth="1"/>
    <col min="14338" max="14338" width="42.7109375" customWidth="1"/>
    <col min="14339" max="14339" width="13.28515625" bestFit="1" customWidth="1"/>
    <col min="14593" max="14593" width="7.140625" customWidth="1"/>
    <col min="14594" max="14594" width="42.7109375" customWidth="1"/>
    <col min="14595" max="14595" width="13.28515625" bestFit="1" customWidth="1"/>
    <col min="14849" max="14849" width="7.140625" customWidth="1"/>
    <col min="14850" max="14850" width="42.7109375" customWidth="1"/>
    <col min="14851" max="14851" width="13.28515625" bestFit="1" customWidth="1"/>
    <col min="15105" max="15105" width="7.140625" customWidth="1"/>
    <col min="15106" max="15106" width="42.7109375" customWidth="1"/>
    <col min="15107" max="15107" width="13.28515625" bestFit="1" customWidth="1"/>
    <col min="15361" max="15361" width="7.140625" customWidth="1"/>
    <col min="15362" max="15362" width="42.7109375" customWidth="1"/>
    <col min="15363" max="15363" width="13.28515625" bestFit="1" customWidth="1"/>
    <col min="15617" max="15617" width="7.140625" customWidth="1"/>
    <col min="15618" max="15618" width="42.7109375" customWidth="1"/>
    <col min="15619" max="15619" width="13.28515625" bestFit="1" customWidth="1"/>
    <col min="15873" max="15873" width="7.140625" customWidth="1"/>
    <col min="15874" max="15874" width="42.7109375" customWidth="1"/>
    <col min="15875" max="15875" width="13.28515625" bestFit="1" customWidth="1"/>
    <col min="16129" max="16129" width="7.140625" customWidth="1"/>
    <col min="16130" max="16130" width="42.7109375" customWidth="1"/>
    <col min="16131" max="16131" width="13.28515625" bestFit="1" customWidth="1"/>
  </cols>
  <sheetData>
    <row r="1" spans="1:9" s="28" customFormat="1" ht="15" customHeight="1" x14ac:dyDescent="0.25">
      <c r="A1" s="65" t="s">
        <v>97</v>
      </c>
      <c r="B1" s="65"/>
      <c r="C1" s="65"/>
    </row>
    <row r="2" spans="1:9" ht="15" customHeight="1" x14ac:dyDescent="0.25">
      <c r="A2" s="65" t="s">
        <v>96</v>
      </c>
      <c r="B2" s="65"/>
      <c r="C2" s="65"/>
    </row>
    <row r="3" spans="1:9" ht="15" customHeight="1" x14ac:dyDescent="0.25">
      <c r="A3" s="65" t="s">
        <v>87</v>
      </c>
      <c r="B3" s="65"/>
      <c r="C3" s="65"/>
    </row>
    <row r="4" spans="1:9" ht="18" x14ac:dyDescent="0.25">
      <c r="A4" s="29"/>
      <c r="B4" s="29"/>
      <c r="C4" s="29"/>
    </row>
    <row r="5" spans="1:9" ht="50.1" customHeight="1" x14ac:dyDescent="0.25">
      <c r="A5" s="30" t="s">
        <v>88</v>
      </c>
      <c r="B5" s="31" t="s">
        <v>89</v>
      </c>
      <c r="C5" s="31" t="s">
        <v>90</v>
      </c>
    </row>
    <row r="6" spans="1:9" ht="50.1" customHeight="1" x14ac:dyDescent="0.25">
      <c r="A6" s="32"/>
      <c r="B6" s="33" t="s">
        <v>91</v>
      </c>
      <c r="C6" s="34">
        <f>C7</f>
        <v>3163010.94</v>
      </c>
    </row>
    <row r="7" spans="1:9" ht="50.1" customHeight="1" x14ac:dyDescent="0.25">
      <c r="A7" s="35" t="s">
        <v>92</v>
      </c>
      <c r="B7" s="36" t="s">
        <v>93</v>
      </c>
      <c r="C7" s="37">
        <f>C8</f>
        <v>3163010.94</v>
      </c>
      <c r="I7" t="s">
        <v>98</v>
      </c>
    </row>
    <row r="8" spans="1:9" ht="50.1" customHeight="1" x14ac:dyDescent="0.25">
      <c r="A8" s="38">
        <v>162</v>
      </c>
      <c r="B8" s="39" t="s">
        <v>94</v>
      </c>
      <c r="C8" s="40">
        <f>C9+C10+C11</f>
        <v>3163010.94</v>
      </c>
    </row>
    <row r="9" spans="1:9" ht="50.1" customHeight="1" x14ac:dyDescent="0.25">
      <c r="A9" s="41">
        <v>1620701</v>
      </c>
      <c r="B9" s="42" t="s">
        <v>99</v>
      </c>
      <c r="C9" s="43">
        <v>902349.87</v>
      </c>
    </row>
    <row r="10" spans="1:9" ht="35.1" customHeight="1" x14ac:dyDescent="0.25">
      <c r="A10" s="41">
        <v>1620701</v>
      </c>
      <c r="B10" s="42" t="s">
        <v>100</v>
      </c>
      <c r="C10" s="43">
        <v>480000.03</v>
      </c>
    </row>
    <row r="11" spans="1:9" ht="22.5" x14ac:dyDescent="0.25">
      <c r="A11" s="41">
        <v>1620703</v>
      </c>
      <c r="B11" s="42" t="s">
        <v>101</v>
      </c>
      <c r="C11" s="49">
        <v>1780661.04</v>
      </c>
    </row>
    <row r="12" spans="1:9" x14ac:dyDescent="0.25">
      <c r="A12" s="66" t="s">
        <v>95</v>
      </c>
      <c r="B12" s="66"/>
      <c r="C12" s="44">
        <f>C6</f>
        <v>3163010.94</v>
      </c>
    </row>
    <row r="13" spans="1:9" x14ac:dyDescent="0.25">
      <c r="A13" s="45"/>
      <c r="B13" s="46"/>
      <c r="C13" s="47"/>
    </row>
    <row r="14" spans="1:9" ht="20.25" x14ac:dyDescent="0.25">
      <c r="A14" s="45"/>
      <c r="B14" s="46"/>
      <c r="C14" s="48"/>
    </row>
    <row r="15" spans="1:9" x14ac:dyDescent="0.25">
      <c r="A15" s="45"/>
      <c r="B15" s="46"/>
      <c r="C15" s="47"/>
    </row>
    <row r="16" spans="1:9" x14ac:dyDescent="0.25">
      <c r="A16" s="45"/>
      <c r="B16" s="46"/>
      <c r="C16" s="47"/>
    </row>
    <row r="17" spans="1:3" x14ac:dyDescent="0.25">
      <c r="A17" s="45"/>
      <c r="B17" s="46"/>
      <c r="C17" s="47"/>
    </row>
    <row r="18" spans="1:3" x14ac:dyDescent="0.25">
      <c r="A18" s="45"/>
      <c r="B18" s="46"/>
      <c r="C18" s="47"/>
    </row>
    <row r="19" spans="1:3" x14ac:dyDescent="0.25">
      <c r="A19" s="45"/>
      <c r="B19" s="46"/>
      <c r="C19" s="47"/>
    </row>
  </sheetData>
  <mergeCells count="4">
    <mergeCell ref="A1:C1"/>
    <mergeCell ref="A2:C2"/>
    <mergeCell ref="A3:C3"/>
    <mergeCell ref="A12:B12"/>
  </mergeCells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5E1BC-0EAB-4229-94CD-FE7BFD1D59D0}">
  <dimension ref="A1:P72"/>
  <sheetViews>
    <sheetView topLeftCell="A46" workbookViewId="0">
      <selection activeCell="B52" sqref="B52:O57"/>
    </sheetView>
  </sheetViews>
  <sheetFormatPr baseColWidth="10" defaultRowHeight="15" x14ac:dyDescent="0.25"/>
  <cols>
    <col min="1" max="1" width="7.85546875" customWidth="1"/>
    <col min="2" max="2" width="17.85546875" customWidth="1"/>
    <col min="3" max="3" width="10.85546875" customWidth="1"/>
    <col min="4" max="4" width="10.140625" customWidth="1"/>
    <col min="5" max="5" width="10.7109375" customWidth="1"/>
    <col min="6" max="6" width="10.85546875" customWidth="1"/>
    <col min="7" max="7" width="9.140625" customWidth="1"/>
    <col min="8" max="8" width="10.140625" customWidth="1"/>
    <col min="9" max="9" width="10.42578125" customWidth="1"/>
    <col min="10" max="11" width="10.28515625" customWidth="1"/>
    <col min="12" max="12" width="10.140625" customWidth="1"/>
    <col min="13" max="13" width="9.5703125" customWidth="1"/>
    <col min="14" max="14" width="9.28515625" customWidth="1"/>
    <col min="15" max="15" width="12.85546875" customWidth="1"/>
    <col min="16" max="16" width="11.7109375" bestFit="1" customWidth="1"/>
  </cols>
  <sheetData>
    <row r="1" spans="1:15" ht="30.75" customHeight="1" x14ac:dyDescent="0.25">
      <c r="A1" s="62" t="s">
        <v>83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ht="64.5" customHeight="1" x14ac:dyDescent="0.25">
      <c r="A2" s="5" t="s">
        <v>14</v>
      </c>
      <c r="B2" s="11" t="s">
        <v>11</v>
      </c>
      <c r="C2" s="22">
        <v>44927</v>
      </c>
      <c r="D2" s="22">
        <v>44958</v>
      </c>
      <c r="E2" s="22">
        <v>44986</v>
      </c>
      <c r="F2" s="23">
        <v>45017</v>
      </c>
      <c r="G2" s="22">
        <v>45047</v>
      </c>
      <c r="H2" s="55">
        <v>45078</v>
      </c>
      <c r="I2" s="55">
        <v>45108</v>
      </c>
      <c r="J2" s="55">
        <v>45139</v>
      </c>
      <c r="K2" s="55">
        <v>45170</v>
      </c>
      <c r="L2" s="53">
        <v>44835</v>
      </c>
      <c r="M2" s="53">
        <v>44866</v>
      </c>
      <c r="N2" s="53">
        <v>44896</v>
      </c>
      <c r="O2" s="12" t="s">
        <v>9</v>
      </c>
    </row>
    <row r="3" spans="1:15" ht="27" customHeight="1" x14ac:dyDescent="0.25">
      <c r="A3" s="26">
        <v>11801</v>
      </c>
      <c r="B3" s="6" t="s">
        <v>15</v>
      </c>
      <c r="C3" s="15">
        <f>32622.31+50449.54</f>
        <v>83071.850000000006</v>
      </c>
      <c r="D3" s="15">
        <f>34009.18+1536.52</f>
        <v>35545.699999999997</v>
      </c>
      <c r="E3" s="15">
        <f>43695.43+871.36</f>
        <v>44566.79</v>
      </c>
      <c r="F3" s="15">
        <f>49899.84+88.42</f>
        <v>49988.259999999995</v>
      </c>
      <c r="G3" s="15">
        <f>23396.18+239.48</f>
        <v>23635.66</v>
      </c>
      <c r="H3" s="15">
        <f>55139.95+332.18</f>
        <v>55472.13</v>
      </c>
      <c r="I3" s="15">
        <f>28835.76+860.31</f>
        <v>29696.07</v>
      </c>
      <c r="J3" s="15">
        <f>40831.92+672.97</f>
        <v>41504.89</v>
      </c>
      <c r="K3" s="15">
        <f>16935.61+2967.12</f>
        <v>19902.73</v>
      </c>
      <c r="L3" s="51">
        <v>11839.99</v>
      </c>
      <c r="M3" s="51">
        <v>112848.29</v>
      </c>
      <c r="N3" s="51">
        <v>10475.209999999999</v>
      </c>
      <c r="O3" s="15">
        <f>N3+M3+L3+K3+J3+I3+H3+G3+F3+E3+D3+C3</f>
        <v>518547.56999999995</v>
      </c>
    </row>
    <row r="4" spans="1:15" ht="23.25" customHeight="1" x14ac:dyDescent="0.25">
      <c r="A4" s="26">
        <v>11802</v>
      </c>
      <c r="B4" s="6" t="s">
        <v>16</v>
      </c>
      <c r="C4" s="15">
        <f>13224.34+21393.97</f>
        <v>34618.31</v>
      </c>
      <c r="D4" s="15">
        <f>55337.01+54916.03</f>
        <v>110253.04000000001</v>
      </c>
      <c r="E4" s="15">
        <v>64181.8</v>
      </c>
      <c r="F4" s="15">
        <f>58017.01+68.52</f>
        <v>58085.53</v>
      </c>
      <c r="G4" s="15">
        <v>83088.33</v>
      </c>
      <c r="H4" s="15">
        <v>49506.59</v>
      </c>
      <c r="I4" s="15">
        <v>53997.61</v>
      </c>
      <c r="J4" s="52">
        <v>103134.98</v>
      </c>
      <c r="K4" s="15">
        <v>52278.77</v>
      </c>
      <c r="L4" s="51">
        <v>26838.3</v>
      </c>
      <c r="M4" s="51">
        <v>116180.12</v>
      </c>
      <c r="N4" s="51">
        <v>32046.23</v>
      </c>
      <c r="O4" s="15">
        <f t="shared" ref="O4:O50" si="0">N4+M4+L4+K4+J4+I4+H4+G4+F4+E4+D4+C4</f>
        <v>784209.6100000001</v>
      </c>
    </row>
    <row r="5" spans="1:15" ht="24" customHeight="1" x14ac:dyDescent="0.25">
      <c r="A5" s="26">
        <v>11803</v>
      </c>
      <c r="B5" s="6" t="s">
        <v>59</v>
      </c>
      <c r="C5" s="15">
        <v>4869.1000000000004</v>
      </c>
      <c r="D5" s="15">
        <f>5553.91+927.78</f>
        <v>6481.69</v>
      </c>
      <c r="E5" s="15">
        <v>4934.38</v>
      </c>
      <c r="F5" s="15">
        <v>5758.17</v>
      </c>
      <c r="G5" s="15">
        <v>5403.19</v>
      </c>
      <c r="H5" s="15">
        <v>7257.48</v>
      </c>
      <c r="I5" s="15">
        <v>5499.42</v>
      </c>
      <c r="J5" s="15">
        <v>5645.16</v>
      </c>
      <c r="K5" s="15">
        <v>5083.09</v>
      </c>
      <c r="L5" s="51">
        <v>6609.51</v>
      </c>
      <c r="M5" s="51">
        <v>5979.54</v>
      </c>
      <c r="N5" s="51">
        <v>5029.03</v>
      </c>
      <c r="O5" s="15">
        <f t="shared" si="0"/>
        <v>68549.759999999995</v>
      </c>
    </row>
    <row r="6" spans="1:15" ht="25.5" customHeight="1" x14ac:dyDescent="0.25">
      <c r="A6" s="26">
        <v>11804</v>
      </c>
      <c r="B6" s="6" t="s">
        <v>17</v>
      </c>
      <c r="C6" s="15">
        <f>32441.71+28526.35</f>
        <v>60968.06</v>
      </c>
      <c r="D6" s="15">
        <f>42607.28+7022.74</f>
        <v>49630.02</v>
      </c>
      <c r="E6" s="15">
        <f>61990.41+4040.36</f>
        <v>66030.77</v>
      </c>
      <c r="F6" s="15">
        <f>26882.05+110.8</f>
        <v>26992.85</v>
      </c>
      <c r="G6" s="15">
        <f>40618.45+77.13</f>
        <v>40695.579999999994</v>
      </c>
      <c r="H6" s="15">
        <f>48272.41+461.55</f>
        <v>48733.960000000006</v>
      </c>
      <c r="I6" s="15">
        <f>48064.06+2058.84</f>
        <v>50122.899999999994</v>
      </c>
      <c r="J6" s="15">
        <f>63705.3+688.51</f>
        <v>64393.810000000005</v>
      </c>
      <c r="K6" s="15">
        <f>46063.48+2722.25</f>
        <v>48785.73</v>
      </c>
      <c r="L6" s="51">
        <v>28641.96</v>
      </c>
      <c r="M6" s="51">
        <v>63273.75</v>
      </c>
      <c r="N6" s="51">
        <v>33932.49</v>
      </c>
      <c r="O6" s="15">
        <f t="shared" si="0"/>
        <v>582201.88000000012</v>
      </c>
    </row>
    <row r="7" spans="1:15" ht="25.5" customHeight="1" x14ac:dyDescent="0.25">
      <c r="A7" s="26">
        <v>11805</v>
      </c>
      <c r="B7" s="6" t="s">
        <v>63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50.74</v>
      </c>
      <c r="K7" s="15">
        <v>0</v>
      </c>
      <c r="L7" s="51">
        <v>0</v>
      </c>
      <c r="M7" s="51">
        <v>0</v>
      </c>
      <c r="N7" s="51">
        <v>0</v>
      </c>
      <c r="O7" s="15">
        <f t="shared" si="0"/>
        <v>50.74</v>
      </c>
    </row>
    <row r="8" spans="1:15" ht="29.25" customHeight="1" x14ac:dyDescent="0.25">
      <c r="A8" s="26">
        <v>11806</v>
      </c>
      <c r="B8" s="8" t="s">
        <v>60</v>
      </c>
      <c r="C8" s="15">
        <v>17.13</v>
      </c>
      <c r="D8" s="15">
        <v>92.51</v>
      </c>
      <c r="E8" s="15">
        <v>493.36</v>
      </c>
      <c r="F8" s="15">
        <v>125.62</v>
      </c>
      <c r="G8" s="15">
        <v>11.42</v>
      </c>
      <c r="H8" s="15">
        <v>17.13</v>
      </c>
      <c r="I8" s="15">
        <v>140.49</v>
      </c>
      <c r="J8" s="15">
        <v>0</v>
      </c>
      <c r="K8" s="15">
        <v>114.2</v>
      </c>
      <c r="L8" s="51">
        <v>17.13</v>
      </c>
      <c r="M8" s="51">
        <v>22.84</v>
      </c>
      <c r="N8" s="51">
        <v>17.13</v>
      </c>
      <c r="O8" s="15">
        <f t="shared" si="0"/>
        <v>1068.9600000000003</v>
      </c>
    </row>
    <row r="9" spans="1:15" ht="30.75" customHeight="1" x14ac:dyDescent="0.25">
      <c r="A9" s="26">
        <v>11809</v>
      </c>
      <c r="B9" s="8" t="s">
        <v>18</v>
      </c>
      <c r="C9" s="15">
        <v>9.16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51">
        <v>0</v>
      </c>
      <c r="M9" s="51">
        <v>0</v>
      </c>
      <c r="N9" s="51">
        <v>0</v>
      </c>
      <c r="O9" s="15">
        <f t="shared" si="0"/>
        <v>9.16</v>
      </c>
    </row>
    <row r="10" spans="1:15" ht="30.75" customHeight="1" x14ac:dyDescent="0.25">
      <c r="A10" s="26">
        <v>11810</v>
      </c>
      <c r="B10" s="8" t="s">
        <v>19</v>
      </c>
      <c r="C10" s="15">
        <v>255.86</v>
      </c>
      <c r="D10" s="15">
        <v>171.39</v>
      </c>
      <c r="E10" s="15">
        <v>51.4</v>
      </c>
      <c r="F10" s="15">
        <v>202.18</v>
      </c>
      <c r="G10" s="15">
        <v>82.25</v>
      </c>
      <c r="H10" s="15">
        <v>99.38</v>
      </c>
      <c r="I10" s="15">
        <v>77.67</v>
      </c>
      <c r="J10" s="15">
        <v>60.53</v>
      </c>
      <c r="K10" s="15">
        <v>116.5</v>
      </c>
      <c r="L10" s="51">
        <v>0</v>
      </c>
      <c r="M10" s="51">
        <v>9.14</v>
      </c>
      <c r="N10" s="51">
        <v>322.08</v>
      </c>
      <c r="O10" s="15">
        <f t="shared" si="0"/>
        <v>1448.38</v>
      </c>
    </row>
    <row r="11" spans="1:15" ht="32.25" customHeight="1" x14ac:dyDescent="0.25">
      <c r="A11" s="26">
        <v>11812</v>
      </c>
      <c r="B11" s="8" t="s">
        <v>49</v>
      </c>
      <c r="C11" s="15">
        <v>713.16</v>
      </c>
      <c r="D11" s="15">
        <v>351.89</v>
      </c>
      <c r="E11" s="15">
        <v>0</v>
      </c>
      <c r="F11" s="15">
        <v>0</v>
      </c>
      <c r="G11" s="15">
        <v>36.56</v>
      </c>
      <c r="H11" s="15">
        <v>0</v>
      </c>
      <c r="I11" s="15">
        <v>0</v>
      </c>
      <c r="J11" s="15">
        <v>0</v>
      </c>
      <c r="K11" s="15">
        <v>0</v>
      </c>
      <c r="L11" s="51">
        <v>0</v>
      </c>
      <c r="M11" s="51">
        <v>356.58</v>
      </c>
      <c r="N11" s="51">
        <v>0</v>
      </c>
      <c r="O11" s="15">
        <f t="shared" si="0"/>
        <v>1458.19</v>
      </c>
    </row>
    <row r="12" spans="1:15" ht="31.5" customHeight="1" x14ac:dyDescent="0.25">
      <c r="A12" s="26">
        <v>11813</v>
      </c>
      <c r="B12" s="8" t="s">
        <v>20</v>
      </c>
      <c r="C12" s="15">
        <v>113.19</v>
      </c>
      <c r="D12" s="15">
        <v>113.19</v>
      </c>
      <c r="E12" s="15">
        <v>0</v>
      </c>
      <c r="F12" s="15">
        <v>154.16999999999999</v>
      </c>
      <c r="G12" s="15">
        <v>17.149999999999999</v>
      </c>
      <c r="H12" s="15">
        <v>0</v>
      </c>
      <c r="I12" s="15">
        <v>0</v>
      </c>
      <c r="J12" s="15">
        <v>33.130000000000003</v>
      </c>
      <c r="K12" s="15">
        <v>51.39</v>
      </c>
      <c r="L12" s="51">
        <v>41.12</v>
      </c>
      <c r="M12" s="51">
        <v>0</v>
      </c>
      <c r="N12" s="51">
        <v>82.24</v>
      </c>
      <c r="O12" s="15">
        <f t="shared" si="0"/>
        <v>605.57999999999993</v>
      </c>
    </row>
    <row r="13" spans="1:15" ht="33.75" customHeight="1" x14ac:dyDescent="0.25">
      <c r="A13" s="26">
        <v>11814</v>
      </c>
      <c r="B13" s="8" t="s">
        <v>21</v>
      </c>
      <c r="C13" s="15">
        <v>110.78</v>
      </c>
      <c r="D13" s="15">
        <v>131.33000000000001</v>
      </c>
      <c r="E13" s="15">
        <v>158.80000000000001</v>
      </c>
      <c r="F13" s="15">
        <v>0</v>
      </c>
      <c r="G13" s="15">
        <v>62.81</v>
      </c>
      <c r="H13" s="15">
        <v>0</v>
      </c>
      <c r="I13" s="15">
        <v>188.43</v>
      </c>
      <c r="J13" s="15">
        <v>39.97</v>
      </c>
      <c r="K13" s="15">
        <v>375.86</v>
      </c>
      <c r="L13" s="51">
        <v>0</v>
      </c>
      <c r="M13" s="51">
        <v>0</v>
      </c>
      <c r="N13" s="51">
        <v>114.22</v>
      </c>
      <c r="O13" s="15">
        <f t="shared" si="0"/>
        <v>1182.1999999999998</v>
      </c>
    </row>
    <row r="14" spans="1:15" ht="34.5" customHeight="1" x14ac:dyDescent="0.25">
      <c r="A14" s="26">
        <v>11815</v>
      </c>
      <c r="B14" s="8" t="s">
        <v>22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51">
        <v>0</v>
      </c>
      <c r="M14" s="51">
        <v>0</v>
      </c>
      <c r="N14" s="51">
        <v>0</v>
      </c>
      <c r="O14" s="15">
        <f t="shared" si="0"/>
        <v>0</v>
      </c>
    </row>
    <row r="15" spans="1:15" ht="25.5" customHeight="1" x14ac:dyDescent="0.25">
      <c r="A15" s="26">
        <v>11816</v>
      </c>
      <c r="B15" s="6" t="s">
        <v>23</v>
      </c>
      <c r="C15" s="15">
        <v>341.64</v>
      </c>
      <c r="D15" s="15">
        <v>676.39</v>
      </c>
      <c r="E15" s="15">
        <v>654.53</v>
      </c>
      <c r="F15" s="15">
        <v>502.73</v>
      </c>
      <c r="G15" s="15">
        <v>479.98</v>
      </c>
      <c r="H15" s="15">
        <v>563.84</v>
      </c>
      <c r="I15" s="15">
        <v>452.99</v>
      </c>
      <c r="J15" s="15">
        <v>656.95</v>
      </c>
      <c r="K15" s="15">
        <v>43.42</v>
      </c>
      <c r="L15" s="51">
        <v>317.62</v>
      </c>
      <c r="M15" s="51">
        <v>275.35000000000002</v>
      </c>
      <c r="N15" s="51">
        <v>1106.2</v>
      </c>
      <c r="O15" s="15">
        <f t="shared" si="0"/>
        <v>6071.64</v>
      </c>
    </row>
    <row r="16" spans="1:15" ht="24.75" customHeight="1" x14ac:dyDescent="0.25">
      <c r="A16" s="26">
        <v>11817</v>
      </c>
      <c r="B16" s="6" t="s">
        <v>50</v>
      </c>
      <c r="C16" s="15">
        <v>1681.69</v>
      </c>
      <c r="D16" s="15">
        <v>1293.3599999999999</v>
      </c>
      <c r="E16" s="15">
        <v>1951.98</v>
      </c>
      <c r="F16" s="15">
        <v>564.11</v>
      </c>
      <c r="G16" s="15">
        <v>280.33999999999997</v>
      </c>
      <c r="H16" s="15">
        <v>413.75</v>
      </c>
      <c r="I16" s="15">
        <v>1440.25</v>
      </c>
      <c r="J16" s="15">
        <v>343.54</v>
      </c>
      <c r="K16" s="15">
        <v>176.18</v>
      </c>
      <c r="L16" s="51">
        <v>206</v>
      </c>
      <c r="M16" s="51">
        <v>2116.98</v>
      </c>
      <c r="N16" s="51">
        <v>505.07</v>
      </c>
      <c r="O16" s="15">
        <f t="shared" si="0"/>
        <v>10973.250000000002</v>
      </c>
    </row>
    <row r="17" spans="1:15" ht="31.5" customHeight="1" x14ac:dyDescent="0.25">
      <c r="A17" s="26">
        <v>11818</v>
      </c>
      <c r="B17" s="6" t="s">
        <v>51</v>
      </c>
      <c r="C17" s="15">
        <v>696.29</v>
      </c>
      <c r="D17" s="15">
        <v>150.91999999999999</v>
      </c>
      <c r="E17" s="15">
        <v>356.72</v>
      </c>
      <c r="F17" s="15">
        <v>463.05</v>
      </c>
      <c r="G17" s="15">
        <v>644.84</v>
      </c>
      <c r="H17" s="15">
        <v>1389.15</v>
      </c>
      <c r="I17" s="15">
        <v>4081.7</v>
      </c>
      <c r="J17" s="15">
        <v>792.33</v>
      </c>
      <c r="K17" s="15">
        <v>2236.36</v>
      </c>
      <c r="L17" s="51">
        <v>44.59</v>
      </c>
      <c r="M17" s="51">
        <v>2088.87</v>
      </c>
      <c r="N17" s="51">
        <v>3.43</v>
      </c>
      <c r="O17" s="15">
        <f t="shared" si="0"/>
        <v>12948.249999999996</v>
      </c>
    </row>
    <row r="18" spans="1:15" ht="44.25" customHeight="1" x14ac:dyDescent="0.25">
      <c r="A18" s="26">
        <v>11899</v>
      </c>
      <c r="B18" s="8" t="s">
        <v>24</v>
      </c>
      <c r="C18" s="15">
        <v>10438.540000000001</v>
      </c>
      <c r="D18" s="15">
        <v>4360.4799999999996</v>
      </c>
      <c r="E18" s="15">
        <v>5034.1400000000003</v>
      </c>
      <c r="F18" s="15">
        <v>3166.93</v>
      </c>
      <c r="G18" s="15">
        <v>4678.18</v>
      </c>
      <c r="H18" s="15">
        <v>4169.07</v>
      </c>
      <c r="I18" s="15">
        <v>2548.2800000000002</v>
      </c>
      <c r="J18" s="15">
        <v>5891.07</v>
      </c>
      <c r="K18" s="15">
        <v>4481.82</v>
      </c>
      <c r="L18" s="51">
        <v>3727.35</v>
      </c>
      <c r="M18" s="51">
        <v>7089.77</v>
      </c>
      <c r="N18" s="51">
        <v>5080.2299999999996</v>
      </c>
      <c r="O18" s="15">
        <f t="shared" si="0"/>
        <v>60665.859999999993</v>
      </c>
    </row>
    <row r="19" spans="1:15" ht="57.75" customHeight="1" x14ac:dyDescent="0.25">
      <c r="A19" s="26">
        <v>12105</v>
      </c>
      <c r="B19" s="8" t="s">
        <v>25</v>
      </c>
      <c r="C19" s="15">
        <v>9679.76</v>
      </c>
      <c r="D19" s="15">
        <v>7680.6</v>
      </c>
      <c r="E19" s="15">
        <v>7759.02</v>
      </c>
      <c r="F19" s="15">
        <v>5929.45</v>
      </c>
      <c r="G19" s="15">
        <v>6345.22</v>
      </c>
      <c r="H19" s="15">
        <v>6048.35</v>
      </c>
      <c r="I19" s="15">
        <v>7490.95</v>
      </c>
      <c r="J19" s="15">
        <v>6184.25</v>
      </c>
      <c r="K19" s="15">
        <v>7480.02</v>
      </c>
      <c r="L19" s="51">
        <v>7005.02</v>
      </c>
      <c r="M19" s="51">
        <v>11317.2</v>
      </c>
      <c r="N19" s="51">
        <v>5315.48</v>
      </c>
      <c r="O19" s="15">
        <f t="shared" si="0"/>
        <v>88235.319999999992</v>
      </c>
    </row>
    <row r="20" spans="1:15" ht="44.25" customHeight="1" x14ac:dyDescent="0.25">
      <c r="A20" s="26">
        <v>12106</v>
      </c>
      <c r="B20" s="8" t="s">
        <v>26</v>
      </c>
      <c r="C20" s="15">
        <v>294</v>
      </c>
      <c r="D20" s="15">
        <v>88</v>
      </c>
      <c r="E20" s="15">
        <v>61</v>
      </c>
      <c r="F20" s="15">
        <v>23</v>
      </c>
      <c r="G20" s="15">
        <v>29</v>
      </c>
      <c r="H20" s="15">
        <v>41</v>
      </c>
      <c r="I20" s="15">
        <v>35</v>
      </c>
      <c r="J20" s="15">
        <v>33</v>
      </c>
      <c r="K20" s="15">
        <v>51</v>
      </c>
      <c r="L20" s="51">
        <v>42</v>
      </c>
      <c r="M20" s="51">
        <v>90</v>
      </c>
      <c r="N20" s="51">
        <v>245</v>
      </c>
      <c r="O20" s="15">
        <f t="shared" si="0"/>
        <v>1032</v>
      </c>
    </row>
    <row r="21" spans="1:15" ht="28.5" customHeight="1" x14ac:dyDescent="0.25">
      <c r="A21" s="26">
        <v>12108</v>
      </c>
      <c r="B21" s="8" t="s">
        <v>27</v>
      </c>
      <c r="C21" s="15">
        <f>12140.79+21013.95</f>
        <v>33154.740000000005</v>
      </c>
      <c r="D21" s="15">
        <f>6659.59+4326.56</f>
        <v>10986.150000000001</v>
      </c>
      <c r="E21" s="15">
        <f>7050.64+5530.52</f>
        <v>12581.16</v>
      </c>
      <c r="F21" s="15">
        <f>4519.18+4437.09</f>
        <v>8956.27</v>
      </c>
      <c r="G21" s="15">
        <f>5656.56+3980.92</f>
        <v>9637.48</v>
      </c>
      <c r="H21" s="15">
        <f>6480.27+3456.17</f>
        <v>9936.44</v>
      </c>
      <c r="I21" s="15">
        <f>5815.77+3754.84</f>
        <v>9570.61</v>
      </c>
      <c r="J21" s="15">
        <f>5755.82+2668.91</f>
        <v>8424.73</v>
      </c>
      <c r="K21" s="15">
        <f>6179.6+3109.22</f>
        <v>9288.82</v>
      </c>
      <c r="L21" s="51">
        <v>4549.62</v>
      </c>
      <c r="M21" s="51">
        <v>6409.92</v>
      </c>
      <c r="N21" s="51">
        <v>10149.82</v>
      </c>
      <c r="O21" s="15">
        <f t="shared" si="0"/>
        <v>133645.76000000001</v>
      </c>
    </row>
    <row r="22" spans="1:15" ht="25.5" customHeight="1" x14ac:dyDescent="0.25">
      <c r="A22" s="26">
        <v>12109</v>
      </c>
      <c r="B22" s="6" t="s">
        <v>28</v>
      </c>
      <c r="C22" s="15">
        <f>14571.21+28661.81</f>
        <v>43233.020000000004</v>
      </c>
      <c r="D22" s="15">
        <f>13148.54+4839.82</f>
        <v>17988.36</v>
      </c>
      <c r="E22" s="15">
        <f>16964.37+4742.48</f>
        <v>21706.85</v>
      </c>
      <c r="F22" s="15">
        <f>8224.57+5293.93</f>
        <v>13518.5</v>
      </c>
      <c r="G22" s="15">
        <f>18363.95+3038.32</f>
        <v>21402.27</v>
      </c>
      <c r="H22" s="15">
        <f>12172+1531.25</f>
        <v>13703.25</v>
      </c>
      <c r="I22" s="15">
        <f>14458.33+1470</f>
        <v>15928.33</v>
      </c>
      <c r="J22" s="15">
        <f>20228.36+2776.85</f>
        <v>23005.21</v>
      </c>
      <c r="K22" s="15">
        <f>10536.67+2667.3</f>
        <v>13203.970000000001</v>
      </c>
      <c r="L22" s="51">
        <v>11321.18</v>
      </c>
      <c r="M22" s="51">
        <v>13387.83</v>
      </c>
      <c r="N22" s="51">
        <v>14903.1</v>
      </c>
      <c r="O22" s="15">
        <f t="shared" si="0"/>
        <v>223301.87000000005</v>
      </c>
    </row>
    <row r="23" spans="1:15" ht="31.5" customHeight="1" x14ac:dyDescent="0.25">
      <c r="A23" s="26">
        <v>12110</v>
      </c>
      <c r="B23" s="8" t="s">
        <v>29</v>
      </c>
      <c r="C23" s="15">
        <v>2101.09</v>
      </c>
      <c r="D23" s="15">
        <v>205.92</v>
      </c>
      <c r="E23" s="15">
        <v>0</v>
      </c>
      <c r="F23" s="15">
        <v>0</v>
      </c>
      <c r="G23" s="15">
        <v>137.28</v>
      </c>
      <c r="H23" s="15">
        <v>0</v>
      </c>
      <c r="I23" s="15">
        <v>0</v>
      </c>
      <c r="J23" s="15">
        <v>274.56</v>
      </c>
      <c r="K23" s="15">
        <v>0</v>
      </c>
      <c r="L23" s="51">
        <v>0</v>
      </c>
      <c r="M23" s="51">
        <v>0</v>
      </c>
      <c r="N23" s="51">
        <v>0</v>
      </c>
      <c r="O23" s="15">
        <f t="shared" si="0"/>
        <v>2718.8500000000004</v>
      </c>
    </row>
    <row r="24" spans="1:15" ht="34.5" customHeight="1" x14ac:dyDescent="0.25">
      <c r="A24" s="26">
        <v>12111</v>
      </c>
      <c r="B24" s="8" t="s">
        <v>30</v>
      </c>
      <c r="C24" s="15">
        <v>0</v>
      </c>
      <c r="D24" s="15">
        <v>2220.12</v>
      </c>
      <c r="E24" s="15">
        <v>2975.45</v>
      </c>
      <c r="F24" s="15">
        <v>2795.22</v>
      </c>
      <c r="G24" s="15">
        <v>2640.66</v>
      </c>
      <c r="H24" s="15">
        <v>2147.09</v>
      </c>
      <c r="I24" s="15">
        <v>2301.9</v>
      </c>
      <c r="J24" s="15">
        <v>2961.73</v>
      </c>
      <c r="K24" s="15">
        <v>2415.92</v>
      </c>
      <c r="L24" s="51">
        <v>3586.06</v>
      </c>
      <c r="M24" s="51">
        <v>3932.8</v>
      </c>
      <c r="N24" s="51">
        <v>1389.51</v>
      </c>
      <c r="O24" s="15">
        <f t="shared" si="0"/>
        <v>29366.460000000003</v>
      </c>
    </row>
    <row r="25" spans="1:15" ht="26.25" customHeight="1" x14ac:dyDescent="0.25">
      <c r="A25" s="26">
        <v>12112</v>
      </c>
      <c r="B25" s="8" t="s">
        <v>62</v>
      </c>
      <c r="C25" s="15">
        <v>320</v>
      </c>
      <c r="D25" s="15">
        <v>4170</v>
      </c>
      <c r="E25" s="15">
        <v>4300</v>
      </c>
      <c r="F25" s="15">
        <v>80</v>
      </c>
      <c r="G25" s="15">
        <v>80</v>
      </c>
      <c r="H25" s="15">
        <v>84</v>
      </c>
      <c r="I25" s="15">
        <v>3700</v>
      </c>
      <c r="J25" s="15">
        <v>80</v>
      </c>
      <c r="K25" s="15">
        <v>360</v>
      </c>
      <c r="L25" s="51">
        <v>242</v>
      </c>
      <c r="M25" s="51">
        <v>480</v>
      </c>
      <c r="N25" s="51">
        <v>246</v>
      </c>
      <c r="O25" s="15">
        <f t="shared" si="0"/>
        <v>14142</v>
      </c>
    </row>
    <row r="26" spans="1:15" ht="26.25" customHeight="1" x14ac:dyDescent="0.25">
      <c r="A26" s="26">
        <v>12114</v>
      </c>
      <c r="B26" s="6" t="s">
        <v>31</v>
      </c>
      <c r="C26" s="15">
        <f>8466.88+8200.73</f>
        <v>16667.61</v>
      </c>
      <c r="D26" s="15">
        <f>12252.16+3999.9</f>
        <v>16252.06</v>
      </c>
      <c r="E26" s="15">
        <f>11874.75+885.11</f>
        <v>12759.86</v>
      </c>
      <c r="F26" s="15">
        <f>8519.61+557.89</f>
        <v>9077.5</v>
      </c>
      <c r="G26" s="15">
        <f>13937.57+446.17</f>
        <v>14383.74</v>
      </c>
      <c r="H26" s="15">
        <f>11799.36+349.23</f>
        <v>12148.59</v>
      </c>
      <c r="I26" s="15">
        <f>9014.44+446.92</f>
        <v>9461.36</v>
      </c>
      <c r="J26" s="15">
        <f>15693.06+493.35</f>
        <v>16186.41</v>
      </c>
      <c r="K26" s="15">
        <f>9075.22+615.26</f>
        <v>9690.48</v>
      </c>
      <c r="L26" s="51">
        <v>6140.05</v>
      </c>
      <c r="M26" s="51">
        <v>20457.7</v>
      </c>
      <c r="N26" s="51">
        <v>7178.67</v>
      </c>
      <c r="O26" s="15">
        <f t="shared" si="0"/>
        <v>150404.03000000003</v>
      </c>
    </row>
    <row r="27" spans="1:15" ht="26.25" customHeight="1" x14ac:dyDescent="0.25">
      <c r="A27" s="26">
        <v>12115</v>
      </c>
      <c r="B27" s="6" t="s">
        <v>32</v>
      </c>
      <c r="C27" s="15">
        <v>22618.97</v>
      </c>
      <c r="D27" s="15">
        <v>12628</v>
      </c>
      <c r="E27" s="15">
        <v>14672.95</v>
      </c>
      <c r="F27" s="15">
        <v>12058.25</v>
      </c>
      <c r="G27" s="15">
        <v>12492.75</v>
      </c>
      <c r="H27" s="15">
        <v>12460.25</v>
      </c>
      <c r="I27" s="15">
        <v>12843.75</v>
      </c>
      <c r="J27" s="15">
        <v>12955.75</v>
      </c>
      <c r="K27" s="15">
        <v>10921.95</v>
      </c>
      <c r="L27" s="51">
        <v>13624.75</v>
      </c>
      <c r="M27" s="51">
        <v>12783.75</v>
      </c>
      <c r="N27" s="51">
        <v>13123.35</v>
      </c>
      <c r="O27" s="15">
        <f t="shared" si="0"/>
        <v>163184.47</v>
      </c>
    </row>
    <row r="28" spans="1:15" ht="26.25" customHeight="1" x14ac:dyDescent="0.25">
      <c r="A28" s="26">
        <v>121151</v>
      </c>
      <c r="B28" s="6" t="s">
        <v>73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51">
        <v>0</v>
      </c>
      <c r="M28" s="51">
        <v>0</v>
      </c>
      <c r="N28" s="51">
        <v>0</v>
      </c>
      <c r="O28" s="15">
        <f t="shared" si="0"/>
        <v>0</v>
      </c>
    </row>
    <row r="29" spans="1:15" ht="28.5" customHeight="1" x14ac:dyDescent="0.25">
      <c r="A29" s="26">
        <v>12117</v>
      </c>
      <c r="B29" s="6" t="s">
        <v>33</v>
      </c>
      <c r="C29" s="15">
        <f>4818.66+6511.75</f>
        <v>11330.41</v>
      </c>
      <c r="D29" s="15">
        <f>2750.23+1493.88</f>
        <v>4244.1100000000006</v>
      </c>
      <c r="E29" s="15">
        <f>2821.96+1097.59</f>
        <v>3919.55</v>
      </c>
      <c r="F29" s="15">
        <f>1843.55+260.61</f>
        <v>2104.16</v>
      </c>
      <c r="G29" s="15">
        <f>2590.11+769</f>
        <v>3359.11</v>
      </c>
      <c r="H29" s="15">
        <f>2581.79+376.59</f>
        <v>2958.38</v>
      </c>
      <c r="I29" s="15">
        <f>2147.44+454.42</f>
        <v>2601.86</v>
      </c>
      <c r="J29" s="15">
        <f>2193.84+678.31</f>
        <v>2872.15</v>
      </c>
      <c r="K29" s="15">
        <f>2426.05+322.8</f>
        <v>2748.8500000000004</v>
      </c>
      <c r="L29" s="51">
        <v>1873.79</v>
      </c>
      <c r="M29" s="51">
        <v>2338.12</v>
      </c>
      <c r="N29" s="51">
        <v>3603.33</v>
      </c>
      <c r="O29" s="15">
        <f t="shared" si="0"/>
        <v>43953.82</v>
      </c>
    </row>
    <row r="30" spans="1:15" ht="36.75" customHeight="1" x14ac:dyDescent="0.25">
      <c r="A30" s="26">
        <v>12118</v>
      </c>
      <c r="B30" s="8" t="s">
        <v>34</v>
      </c>
      <c r="C30" s="15">
        <v>10148</v>
      </c>
      <c r="D30" s="15">
        <v>63401.32</v>
      </c>
      <c r="E30" s="15">
        <v>8546.36</v>
      </c>
      <c r="F30" s="15">
        <v>87.01</v>
      </c>
      <c r="G30" s="15">
        <v>69811.539999999994</v>
      </c>
      <c r="H30" s="15">
        <v>9652</v>
      </c>
      <c r="I30" s="15">
        <v>1268</v>
      </c>
      <c r="J30" s="15">
        <v>62706.92</v>
      </c>
      <c r="K30" s="15">
        <v>6588</v>
      </c>
      <c r="L30" s="51">
        <v>13665.94</v>
      </c>
      <c r="M30" s="51">
        <v>60055.58</v>
      </c>
      <c r="N30" s="51">
        <v>3939.72</v>
      </c>
      <c r="O30" s="15">
        <f t="shared" si="0"/>
        <v>309870.39</v>
      </c>
    </row>
    <row r="31" spans="1:15" ht="25.5" customHeight="1" x14ac:dyDescent="0.25">
      <c r="A31" s="26">
        <v>12119</v>
      </c>
      <c r="B31" s="8" t="s">
        <v>35</v>
      </c>
      <c r="C31" s="15">
        <v>95</v>
      </c>
      <c r="D31" s="15">
        <v>65</v>
      </c>
      <c r="E31" s="15">
        <v>55</v>
      </c>
      <c r="F31" s="15">
        <v>0</v>
      </c>
      <c r="G31" s="15">
        <v>10</v>
      </c>
      <c r="H31" s="15">
        <v>0</v>
      </c>
      <c r="I31" s="15">
        <v>20</v>
      </c>
      <c r="J31" s="15">
        <v>5</v>
      </c>
      <c r="K31" s="15">
        <v>10</v>
      </c>
      <c r="L31" s="51">
        <v>5</v>
      </c>
      <c r="M31" s="51">
        <v>5</v>
      </c>
      <c r="N31" s="51">
        <v>5</v>
      </c>
      <c r="O31" s="15">
        <f t="shared" si="0"/>
        <v>275</v>
      </c>
    </row>
    <row r="32" spans="1:15" ht="26.25" customHeight="1" x14ac:dyDescent="0.25">
      <c r="A32" s="26">
        <v>12120</v>
      </c>
      <c r="B32" s="8" t="s">
        <v>36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51">
        <v>0</v>
      </c>
      <c r="M32" s="51">
        <v>0</v>
      </c>
      <c r="N32" s="51">
        <v>0</v>
      </c>
      <c r="O32" s="15">
        <f t="shared" si="0"/>
        <v>0</v>
      </c>
    </row>
    <row r="33" spans="1:15" ht="27" customHeight="1" x14ac:dyDescent="0.25">
      <c r="A33" s="26">
        <v>12199</v>
      </c>
      <c r="B33" s="6" t="s">
        <v>37</v>
      </c>
      <c r="C33" s="15">
        <v>605.69000000000005</v>
      </c>
      <c r="D33" s="15">
        <v>725.64</v>
      </c>
      <c r="E33" s="15">
        <v>742.81</v>
      </c>
      <c r="F33" s="15">
        <v>502.79</v>
      </c>
      <c r="G33" s="15">
        <v>434.24</v>
      </c>
      <c r="H33" s="15">
        <v>388.54</v>
      </c>
      <c r="I33" s="15">
        <v>274.27</v>
      </c>
      <c r="J33" s="15">
        <v>348.54</v>
      </c>
      <c r="K33" s="15">
        <v>371.42</v>
      </c>
      <c r="L33" s="51">
        <v>434.28</v>
      </c>
      <c r="M33" s="51">
        <v>302.83</v>
      </c>
      <c r="N33" s="51">
        <v>531.37</v>
      </c>
      <c r="O33" s="15">
        <f t="shared" si="0"/>
        <v>5662.42</v>
      </c>
    </row>
    <row r="34" spans="1:15" ht="41.25" customHeight="1" x14ac:dyDescent="0.25">
      <c r="A34" s="26">
        <v>12210</v>
      </c>
      <c r="B34" s="8" t="s">
        <v>38</v>
      </c>
      <c r="C34" s="15">
        <v>17560.79</v>
      </c>
      <c r="D34" s="15">
        <v>2698.47</v>
      </c>
      <c r="E34" s="15">
        <v>4299.62</v>
      </c>
      <c r="F34" s="15">
        <v>1993.65</v>
      </c>
      <c r="G34" s="15">
        <v>8090.06</v>
      </c>
      <c r="H34" s="15">
        <v>23682.82</v>
      </c>
      <c r="I34" s="15">
        <v>2577.83</v>
      </c>
      <c r="J34" s="15">
        <v>1045.6199999999999</v>
      </c>
      <c r="K34" s="15">
        <v>19739</v>
      </c>
      <c r="L34" s="51">
        <v>1308.75</v>
      </c>
      <c r="M34" s="51">
        <v>2175.7199999999998</v>
      </c>
      <c r="N34" s="51">
        <v>12994.07</v>
      </c>
      <c r="O34" s="15">
        <f t="shared" si="0"/>
        <v>98166.399999999994</v>
      </c>
    </row>
    <row r="35" spans="1:15" ht="21" customHeight="1" x14ac:dyDescent="0.25">
      <c r="A35" s="26">
        <v>12211</v>
      </c>
      <c r="B35" s="8" t="s">
        <v>39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51">
        <v>0</v>
      </c>
      <c r="M35" s="51">
        <v>0</v>
      </c>
      <c r="N35" s="51">
        <v>0</v>
      </c>
      <c r="O35" s="15">
        <f t="shared" si="0"/>
        <v>0</v>
      </c>
    </row>
    <row r="36" spans="1:15" ht="21.75" customHeight="1" x14ac:dyDescent="0.25">
      <c r="A36" s="26">
        <v>12299</v>
      </c>
      <c r="B36" s="8" t="s">
        <v>40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51">
        <v>0</v>
      </c>
      <c r="M36" s="51">
        <v>0</v>
      </c>
      <c r="N36" s="51">
        <v>0</v>
      </c>
      <c r="O36" s="15">
        <f t="shared" si="0"/>
        <v>0</v>
      </c>
    </row>
    <row r="37" spans="1:15" ht="29.25" customHeight="1" x14ac:dyDescent="0.25">
      <c r="A37" s="26">
        <v>14201</v>
      </c>
      <c r="B37" s="8" t="s">
        <v>41</v>
      </c>
      <c r="C37" s="15">
        <v>735</v>
      </c>
      <c r="D37" s="15">
        <v>447</v>
      </c>
      <c r="E37" s="15">
        <v>372</v>
      </c>
      <c r="F37" s="15">
        <v>396</v>
      </c>
      <c r="G37" s="15">
        <v>84</v>
      </c>
      <c r="H37" s="15">
        <v>330</v>
      </c>
      <c r="I37" s="15">
        <v>213</v>
      </c>
      <c r="J37" s="15">
        <v>366</v>
      </c>
      <c r="K37" s="15">
        <v>807</v>
      </c>
      <c r="L37" s="51">
        <v>402</v>
      </c>
      <c r="M37" s="51">
        <v>189</v>
      </c>
      <c r="N37" s="51">
        <v>606</v>
      </c>
      <c r="O37" s="15">
        <f t="shared" si="0"/>
        <v>4947</v>
      </c>
    </row>
    <row r="38" spans="1:15" ht="21.75" customHeight="1" x14ac:dyDescent="0.25">
      <c r="A38" s="26">
        <v>14299</v>
      </c>
      <c r="B38" s="8" t="s">
        <v>64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51">
        <v>0</v>
      </c>
      <c r="M38" s="51">
        <v>0</v>
      </c>
      <c r="N38" s="51">
        <v>0</v>
      </c>
      <c r="O38" s="15">
        <f t="shared" si="0"/>
        <v>0</v>
      </c>
    </row>
    <row r="39" spans="1:15" ht="30" customHeight="1" x14ac:dyDescent="0.25">
      <c r="A39" s="26">
        <v>14399</v>
      </c>
      <c r="B39" s="8" t="s">
        <v>58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51">
        <v>11.42</v>
      </c>
      <c r="M39" s="51">
        <v>68.52</v>
      </c>
      <c r="N39" s="51">
        <v>11.42</v>
      </c>
      <c r="O39" s="15">
        <f t="shared" si="0"/>
        <v>91.36</v>
      </c>
    </row>
    <row r="40" spans="1:15" ht="30.75" customHeight="1" x14ac:dyDescent="0.25">
      <c r="A40" s="26">
        <v>15301</v>
      </c>
      <c r="B40" s="8" t="s">
        <v>65</v>
      </c>
      <c r="C40" s="15">
        <v>0</v>
      </c>
      <c r="D40" s="15">
        <v>1487.8</v>
      </c>
      <c r="E40" s="52">
        <f>1898.31</f>
        <v>1898.31</v>
      </c>
      <c r="F40" s="15">
        <v>1430.33</v>
      </c>
      <c r="G40" s="15">
        <v>1836.02</v>
      </c>
      <c r="H40" s="15">
        <v>1359.94</v>
      </c>
      <c r="I40" s="15">
        <v>1903.68</v>
      </c>
      <c r="J40" s="15">
        <v>2930.99</v>
      </c>
      <c r="K40" s="15">
        <v>1845.3</v>
      </c>
      <c r="L40" s="51">
        <v>1104.5999999999999</v>
      </c>
      <c r="M40" s="51">
        <v>0</v>
      </c>
      <c r="N40" s="51">
        <v>0</v>
      </c>
      <c r="O40" s="15">
        <f t="shared" si="0"/>
        <v>15796.97</v>
      </c>
    </row>
    <row r="41" spans="1:15" ht="32.25" customHeight="1" x14ac:dyDescent="0.25">
      <c r="A41" s="26">
        <v>15302</v>
      </c>
      <c r="B41" s="8" t="s">
        <v>42</v>
      </c>
      <c r="C41" s="15">
        <v>0</v>
      </c>
      <c r="D41" s="15">
        <v>2863.15</v>
      </c>
      <c r="E41" s="52">
        <f>3778.6</f>
        <v>3778.6</v>
      </c>
      <c r="F41" s="15">
        <v>2475.62</v>
      </c>
      <c r="G41" s="15">
        <v>2426.0300000000002</v>
      </c>
      <c r="H41" s="15">
        <v>1428.3</v>
      </c>
      <c r="I41" s="15">
        <v>2363.9299999999998</v>
      </c>
      <c r="J41" s="15">
        <v>3370.03</v>
      </c>
      <c r="K41" s="15">
        <v>2980.25</v>
      </c>
      <c r="L41" s="51">
        <v>1235.26</v>
      </c>
      <c r="M41" s="51">
        <v>0</v>
      </c>
      <c r="N41" s="51">
        <v>0</v>
      </c>
      <c r="O41" s="15">
        <f t="shared" si="0"/>
        <v>22921.170000000002</v>
      </c>
    </row>
    <row r="42" spans="1:15" ht="41.25" customHeight="1" x14ac:dyDescent="0.25">
      <c r="A42" s="26">
        <v>15310</v>
      </c>
      <c r="B42" s="8" t="s">
        <v>66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10</v>
      </c>
      <c r="L42" s="51">
        <v>0</v>
      </c>
      <c r="M42" s="51">
        <v>0</v>
      </c>
      <c r="N42" s="51">
        <v>0</v>
      </c>
      <c r="O42" s="15">
        <f t="shared" si="0"/>
        <v>10</v>
      </c>
    </row>
    <row r="43" spans="1:15" ht="40.5" customHeight="1" x14ac:dyDescent="0.25">
      <c r="A43" s="26">
        <v>15312</v>
      </c>
      <c r="B43" s="8" t="s">
        <v>67</v>
      </c>
      <c r="C43" s="15">
        <v>74.099999999999994</v>
      </c>
      <c r="D43" s="15">
        <v>65.55</v>
      </c>
      <c r="E43" s="15">
        <v>94.05</v>
      </c>
      <c r="F43" s="15">
        <v>42.75</v>
      </c>
      <c r="G43" s="15">
        <v>48.45</v>
      </c>
      <c r="H43" s="15">
        <v>51.3</v>
      </c>
      <c r="I43" s="15">
        <v>74.099999999999994</v>
      </c>
      <c r="J43" s="15">
        <v>34.200000000000003</v>
      </c>
      <c r="K43" s="15">
        <v>45.6</v>
      </c>
      <c r="L43" s="51">
        <v>51.3</v>
      </c>
      <c r="M43" s="51">
        <v>88.35</v>
      </c>
      <c r="N43" s="51">
        <v>51.3</v>
      </c>
      <c r="O43" s="15">
        <f t="shared" si="0"/>
        <v>721.05</v>
      </c>
    </row>
    <row r="44" spans="1:15" ht="40.5" customHeight="1" x14ac:dyDescent="0.25">
      <c r="A44" s="26">
        <v>15313</v>
      </c>
      <c r="B44" s="8" t="s">
        <v>85</v>
      </c>
      <c r="C44" s="15">
        <v>0</v>
      </c>
      <c r="D44" s="15">
        <v>0</v>
      </c>
      <c r="E44" s="15">
        <v>365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51"/>
      <c r="M44" s="51"/>
      <c r="N44" s="51"/>
      <c r="O44" s="15">
        <f t="shared" si="0"/>
        <v>365</v>
      </c>
    </row>
    <row r="45" spans="1:15" ht="34.5" customHeight="1" x14ac:dyDescent="0.25">
      <c r="A45" s="26">
        <v>15314</v>
      </c>
      <c r="B45" s="8" t="s">
        <v>43</v>
      </c>
      <c r="C45" s="15">
        <v>0</v>
      </c>
      <c r="D45" s="15">
        <v>34.29</v>
      </c>
      <c r="E45" s="15">
        <v>152.86000000000001</v>
      </c>
      <c r="F45" s="15">
        <v>114.29</v>
      </c>
      <c r="G45" s="15">
        <v>11.43</v>
      </c>
      <c r="H45" s="15">
        <v>57.15</v>
      </c>
      <c r="I45" s="15">
        <v>537.16999999999996</v>
      </c>
      <c r="J45" s="15">
        <v>509.3</v>
      </c>
      <c r="K45" s="15">
        <v>728.6</v>
      </c>
      <c r="L45" s="51">
        <v>445.77</v>
      </c>
      <c r="M45" s="51">
        <v>398.58</v>
      </c>
      <c r="N45" s="51">
        <v>114.29</v>
      </c>
      <c r="O45" s="15">
        <f t="shared" si="0"/>
        <v>3103.73</v>
      </c>
    </row>
    <row r="46" spans="1:15" ht="36.75" customHeight="1" x14ac:dyDescent="0.25">
      <c r="A46" s="26">
        <v>15402</v>
      </c>
      <c r="B46" s="8" t="s">
        <v>44</v>
      </c>
      <c r="C46" s="15">
        <v>1548.35</v>
      </c>
      <c r="D46" s="15">
        <v>170.87</v>
      </c>
      <c r="E46" s="15">
        <v>253.49</v>
      </c>
      <c r="F46" s="15">
        <v>75.150000000000006</v>
      </c>
      <c r="G46" s="15">
        <v>274.06</v>
      </c>
      <c r="H46" s="15">
        <v>335.19</v>
      </c>
      <c r="I46" s="15">
        <v>75.150000000000006</v>
      </c>
      <c r="J46" s="15">
        <v>3439.61</v>
      </c>
      <c r="K46" s="15">
        <v>75.150000000000006</v>
      </c>
      <c r="L46" s="51">
        <v>246.02</v>
      </c>
      <c r="M46" s="51">
        <v>75.150000000000006</v>
      </c>
      <c r="N46" s="51">
        <v>4302.57</v>
      </c>
      <c r="O46" s="15">
        <f t="shared" si="0"/>
        <v>10870.76</v>
      </c>
    </row>
    <row r="47" spans="1:15" ht="34.5" customHeight="1" x14ac:dyDescent="0.25">
      <c r="A47" s="26">
        <v>15703</v>
      </c>
      <c r="B47" s="8" t="s">
        <v>45</v>
      </c>
      <c r="C47" s="52">
        <v>0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0</v>
      </c>
      <c r="L47" s="51">
        <v>0</v>
      </c>
      <c r="M47" s="51">
        <v>0</v>
      </c>
      <c r="N47" s="51">
        <v>0</v>
      </c>
      <c r="O47" s="15">
        <f t="shared" si="0"/>
        <v>0</v>
      </c>
    </row>
    <row r="48" spans="1:15" ht="32.25" customHeight="1" x14ac:dyDescent="0.25">
      <c r="A48" s="26">
        <v>15799</v>
      </c>
      <c r="B48" s="8" t="s">
        <v>46</v>
      </c>
      <c r="C48" s="15">
        <v>51.15</v>
      </c>
      <c r="D48" s="15">
        <v>450.9</v>
      </c>
      <c r="E48" s="15">
        <v>107.36</v>
      </c>
      <c r="F48" s="15">
        <v>201.77</v>
      </c>
      <c r="G48" s="15">
        <v>420.45</v>
      </c>
      <c r="H48" s="15">
        <v>1037.17</v>
      </c>
      <c r="I48" s="15">
        <v>95.86</v>
      </c>
      <c r="J48" s="15">
        <v>0</v>
      </c>
      <c r="K48" s="15">
        <v>402.15</v>
      </c>
      <c r="L48" s="51">
        <v>351.46</v>
      </c>
      <c r="M48" s="51">
        <v>1384.92</v>
      </c>
      <c r="N48" s="51">
        <v>69.81</v>
      </c>
      <c r="O48" s="15">
        <f t="shared" si="0"/>
        <v>4573</v>
      </c>
    </row>
    <row r="49" spans="1:16" ht="42" customHeight="1" x14ac:dyDescent="0.25">
      <c r="A49" s="26">
        <v>21201</v>
      </c>
      <c r="B49" s="8" t="s">
        <v>47</v>
      </c>
      <c r="C49" s="15"/>
      <c r="D49" s="15">
        <v>1157.44</v>
      </c>
      <c r="E49" s="15">
        <v>35.69</v>
      </c>
      <c r="F49" s="15"/>
      <c r="G49" s="15">
        <v>11.98</v>
      </c>
      <c r="H49" s="15">
        <v>0</v>
      </c>
      <c r="I49" s="15"/>
      <c r="J49" s="15">
        <v>88.28</v>
      </c>
      <c r="K49" s="15">
        <v>215.22</v>
      </c>
      <c r="L49" s="51">
        <v>0</v>
      </c>
      <c r="M49" s="51"/>
      <c r="N49" s="51"/>
      <c r="O49" s="15">
        <f t="shared" si="0"/>
        <v>1508.6100000000001</v>
      </c>
    </row>
    <row r="50" spans="1:16" ht="32.25" customHeight="1" x14ac:dyDescent="0.25">
      <c r="A50" s="63" t="s">
        <v>61</v>
      </c>
      <c r="B50" s="64"/>
      <c r="C50" s="16">
        <f t="shared" ref="C50:N50" si="1">SUM(C3:C49)</f>
        <v>368122.44</v>
      </c>
      <c r="D50" s="16">
        <f t="shared" si="1"/>
        <v>359282.66000000003</v>
      </c>
      <c r="E50" s="16">
        <f t="shared" si="1"/>
        <v>289851.65999999992</v>
      </c>
      <c r="F50" s="16">
        <f>SUM(F3:F49)</f>
        <v>207865.30999999997</v>
      </c>
      <c r="G50" s="16">
        <f t="shared" si="1"/>
        <v>313082.06</v>
      </c>
      <c r="H50" s="16">
        <f t="shared" si="1"/>
        <v>265472.24</v>
      </c>
      <c r="I50" s="16">
        <f t="shared" si="1"/>
        <v>221582.55999999991</v>
      </c>
      <c r="J50" s="16">
        <f t="shared" si="1"/>
        <v>370369.38</v>
      </c>
      <c r="K50" s="16">
        <f t="shared" si="1"/>
        <v>223624.75000000003</v>
      </c>
      <c r="L50" s="54">
        <f t="shared" si="1"/>
        <v>145929.84</v>
      </c>
      <c r="M50" s="54">
        <f t="shared" si="1"/>
        <v>446182.2</v>
      </c>
      <c r="N50" s="54">
        <f t="shared" si="1"/>
        <v>167493.37</v>
      </c>
      <c r="O50" s="15">
        <f t="shared" si="0"/>
        <v>3378858.47</v>
      </c>
    </row>
    <row r="51" spans="1:16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18">
        <f>N50+M50+L50+K50+J50+I50+H50+G50+F50+E50+D50+C50</f>
        <v>3378858.47</v>
      </c>
    </row>
    <row r="52" spans="1:16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19" t="s">
        <v>74</v>
      </c>
      <c r="M52" s="9"/>
      <c r="N52" s="9"/>
      <c r="O52" s="18">
        <f>'[1]PROYECCION DE INGRESOS 2023'!$I$68</f>
        <v>0</v>
      </c>
      <c r="P52" s="2"/>
    </row>
    <row r="53" spans="1:16" x14ac:dyDescent="0.25">
      <c r="A53" s="9"/>
      <c r="B53" s="9" t="s">
        <v>102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19"/>
      <c r="N53" s="9"/>
      <c r="O53" s="18"/>
    </row>
    <row r="54" spans="1:16" ht="15.75" x14ac:dyDescent="0.25">
      <c r="B54" s="56"/>
      <c r="C54" s="56"/>
      <c r="D54" s="56"/>
      <c r="E54" s="56"/>
      <c r="F54" s="56"/>
      <c r="O54" s="4"/>
    </row>
    <row r="55" spans="1:16" ht="16.5" x14ac:dyDescent="0.3">
      <c r="B55" s="57">
        <v>12118</v>
      </c>
      <c r="C55" s="59">
        <v>16444</v>
      </c>
      <c r="D55" s="57" t="s">
        <v>103</v>
      </c>
      <c r="E55" s="57">
        <v>12</v>
      </c>
      <c r="F55" s="67">
        <f>+C55*E55</f>
        <v>197328</v>
      </c>
      <c r="G55" s="67"/>
      <c r="I55" t="s">
        <v>104</v>
      </c>
    </row>
    <row r="56" spans="1:16" ht="16.5" x14ac:dyDescent="0.3">
      <c r="B56" s="57"/>
      <c r="C56" s="59"/>
      <c r="D56" s="57"/>
      <c r="E56" s="57"/>
      <c r="F56" s="58"/>
    </row>
    <row r="57" spans="1:16" ht="16.5" x14ac:dyDescent="0.3">
      <c r="B57" s="57">
        <v>12114</v>
      </c>
      <c r="C57" s="59">
        <v>822.2</v>
      </c>
      <c r="D57" s="57" t="s">
        <v>103</v>
      </c>
      <c r="E57" s="57">
        <v>12</v>
      </c>
      <c r="F57" s="67">
        <f>+C57*E57</f>
        <v>9866.4000000000015</v>
      </c>
      <c r="G57" s="67"/>
    </row>
    <row r="58" spans="1:16" x14ac:dyDescent="0.25">
      <c r="B58" s="1"/>
    </row>
    <row r="59" spans="1:16" x14ac:dyDescent="0.25">
      <c r="B59" s="1"/>
    </row>
    <row r="60" spans="1:16" x14ac:dyDescent="0.25">
      <c r="B60" s="1"/>
    </row>
    <row r="61" spans="1:16" x14ac:dyDescent="0.25">
      <c r="B61" s="1"/>
    </row>
    <row r="62" spans="1:16" x14ac:dyDescent="0.25">
      <c r="B62" s="1"/>
    </row>
    <row r="63" spans="1:16" x14ac:dyDescent="0.25">
      <c r="B63" s="1"/>
    </row>
    <row r="64" spans="1:16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  <row r="72" spans="2:2" x14ac:dyDescent="0.25">
      <c r="B72" s="1"/>
    </row>
  </sheetData>
  <mergeCells count="4">
    <mergeCell ref="A1:O1"/>
    <mergeCell ref="A50:B50"/>
    <mergeCell ref="F55:G55"/>
    <mergeCell ref="F57:G57"/>
  </mergeCells>
  <pageMargins left="0.23622047244094491" right="0.23622047244094491" top="0.74803149606299213" bottom="0.74803149606299213" header="0.31496062992125984" footer="0.31496062992125984"/>
  <pageSetup paperSize="345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005CC-FD9F-4B1C-8355-0CC6A0CF705B}">
  <dimension ref="A1:P83"/>
  <sheetViews>
    <sheetView topLeftCell="A46" workbookViewId="0">
      <selection activeCell="B47" sqref="B47"/>
    </sheetView>
  </sheetViews>
  <sheetFormatPr baseColWidth="10" defaultRowHeight="15" x14ac:dyDescent="0.25"/>
  <cols>
    <col min="1" max="1" width="7.85546875" customWidth="1"/>
    <col min="2" max="2" width="17.85546875" customWidth="1"/>
    <col min="4" max="5" width="10.140625" customWidth="1"/>
    <col min="6" max="6" width="8.85546875" customWidth="1"/>
    <col min="7" max="7" width="9.140625" customWidth="1"/>
    <col min="8" max="8" width="10.140625" customWidth="1"/>
    <col min="9" max="9" width="10.42578125" customWidth="1"/>
    <col min="10" max="11" width="10.28515625" customWidth="1"/>
    <col min="12" max="12" width="10.140625" customWidth="1"/>
    <col min="13" max="13" width="9.5703125" customWidth="1"/>
    <col min="14" max="14" width="9.28515625" customWidth="1"/>
    <col min="15" max="15" width="12.85546875" customWidth="1"/>
    <col min="16" max="16" width="11.7109375" bestFit="1" customWidth="1"/>
  </cols>
  <sheetData>
    <row r="1" spans="1:15" ht="30.75" customHeight="1" x14ac:dyDescent="0.25">
      <c r="A1" s="62" t="s">
        <v>83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ht="64.5" customHeight="1" x14ac:dyDescent="0.25">
      <c r="A2" s="5" t="s">
        <v>14</v>
      </c>
      <c r="B2" s="11" t="s">
        <v>11</v>
      </c>
      <c r="C2" s="22">
        <v>44927</v>
      </c>
      <c r="D2" s="22">
        <v>44958</v>
      </c>
      <c r="E2" s="22">
        <v>44986</v>
      </c>
      <c r="F2" s="23">
        <v>45017</v>
      </c>
      <c r="G2" s="22">
        <v>45047</v>
      </c>
      <c r="H2" s="55">
        <v>45078</v>
      </c>
      <c r="I2" s="50">
        <v>45108</v>
      </c>
      <c r="J2" s="55">
        <v>45139</v>
      </c>
      <c r="K2" s="55">
        <v>45170</v>
      </c>
      <c r="L2" s="53">
        <v>44835</v>
      </c>
      <c r="M2" s="53">
        <v>44866</v>
      </c>
      <c r="N2" s="53">
        <v>44896</v>
      </c>
      <c r="O2" s="12" t="s">
        <v>9</v>
      </c>
    </row>
    <row r="3" spans="1:15" ht="27" customHeight="1" x14ac:dyDescent="0.25">
      <c r="A3" s="26">
        <v>11801</v>
      </c>
      <c r="B3" s="6" t="s">
        <v>15</v>
      </c>
      <c r="C3" s="15">
        <f>32622.31+50449.54</f>
        <v>83071.850000000006</v>
      </c>
      <c r="D3" s="15">
        <f>34009.18+1536.52</f>
        <v>35545.699999999997</v>
      </c>
      <c r="E3" s="15">
        <f>43695.43+871.36</f>
        <v>44566.79</v>
      </c>
      <c r="F3" s="15">
        <f>49899.84+88.42</f>
        <v>49988.259999999995</v>
      </c>
      <c r="G3" s="15">
        <f>23396.18+239.48</f>
        <v>23635.66</v>
      </c>
      <c r="H3" s="15">
        <f>55139.95+332.18</f>
        <v>55472.13</v>
      </c>
      <c r="I3" s="15">
        <f>28835.76+860.31</f>
        <v>29696.07</v>
      </c>
      <c r="J3" s="15">
        <f>40831.92+672.97</f>
        <v>41504.89</v>
      </c>
      <c r="K3" s="15">
        <f>16935.61+2967.12</f>
        <v>19902.73</v>
      </c>
      <c r="L3" s="51">
        <v>11839.99</v>
      </c>
      <c r="M3" s="51">
        <v>112848.29</v>
      </c>
      <c r="N3" s="51">
        <v>10475.209999999999</v>
      </c>
      <c r="O3" s="15">
        <f>N3+M3+L3+K3+J3+I3+H3+G3+F3+E3+D3+C3</f>
        <v>518547.56999999995</v>
      </c>
    </row>
    <row r="4" spans="1:15" ht="23.25" customHeight="1" x14ac:dyDescent="0.25">
      <c r="A4" s="26">
        <v>11802</v>
      </c>
      <c r="B4" s="6" t="s">
        <v>16</v>
      </c>
      <c r="C4" s="15">
        <f>13224.34+21393.97</f>
        <v>34618.31</v>
      </c>
      <c r="D4" s="15">
        <f>55337.01+54916.03</f>
        <v>110253.04000000001</v>
      </c>
      <c r="E4" s="15">
        <v>64181.8</v>
      </c>
      <c r="F4" s="15">
        <f>58017.01+68.52</f>
        <v>58085.53</v>
      </c>
      <c r="G4" s="15">
        <v>83088.33</v>
      </c>
      <c r="H4" s="15">
        <v>49506.59</v>
      </c>
      <c r="I4" s="15">
        <v>53997.61</v>
      </c>
      <c r="J4" s="52">
        <v>103134.98</v>
      </c>
      <c r="K4" s="15">
        <v>52278.77</v>
      </c>
      <c r="L4" s="51">
        <v>26838.3</v>
      </c>
      <c r="M4" s="51">
        <v>116180.12</v>
      </c>
      <c r="N4" s="51">
        <v>32046.23</v>
      </c>
      <c r="O4" s="15">
        <f t="shared" ref="O4:O61" si="0">N4+M4+L4+K4+J4+I4+H4+G4+F4+E4+D4+C4</f>
        <v>784209.6100000001</v>
      </c>
    </row>
    <row r="5" spans="1:15" ht="24" customHeight="1" x14ac:dyDescent="0.25">
      <c r="A5" s="26">
        <v>11803</v>
      </c>
      <c r="B5" s="6" t="s">
        <v>59</v>
      </c>
      <c r="C5" s="15">
        <v>4869.1000000000004</v>
      </c>
      <c r="D5" s="15">
        <f>5553.91+927.78</f>
        <v>6481.69</v>
      </c>
      <c r="E5" s="15">
        <v>4934.38</v>
      </c>
      <c r="F5" s="15">
        <v>5758.17</v>
      </c>
      <c r="G5" s="15">
        <v>5403.19</v>
      </c>
      <c r="H5" s="15">
        <v>7257.48</v>
      </c>
      <c r="I5" s="15">
        <v>5499.42</v>
      </c>
      <c r="J5" s="15">
        <v>5645.16</v>
      </c>
      <c r="K5" s="15">
        <v>5083.09</v>
      </c>
      <c r="L5" s="51">
        <v>6609.51</v>
      </c>
      <c r="M5" s="51">
        <v>5979.54</v>
      </c>
      <c r="N5" s="51">
        <v>5029.03</v>
      </c>
      <c r="O5" s="15">
        <f t="shared" si="0"/>
        <v>68549.759999999995</v>
      </c>
    </row>
    <row r="6" spans="1:15" ht="25.5" customHeight="1" x14ac:dyDescent="0.25">
      <c r="A6" s="26">
        <v>11804</v>
      </c>
      <c r="B6" s="6" t="s">
        <v>17</v>
      </c>
      <c r="C6" s="15">
        <f>32441.71+28526.35</f>
        <v>60968.06</v>
      </c>
      <c r="D6" s="15">
        <f>42607.28+7022.74</f>
        <v>49630.02</v>
      </c>
      <c r="E6" s="15">
        <f>61990.41+4040.36</f>
        <v>66030.77</v>
      </c>
      <c r="F6" s="15">
        <f>26882.05+110.8</f>
        <v>26992.85</v>
      </c>
      <c r="G6" s="15">
        <f>40618.45+77.13</f>
        <v>40695.579999999994</v>
      </c>
      <c r="H6" s="15">
        <f>48272.41+461.55</f>
        <v>48733.960000000006</v>
      </c>
      <c r="I6" s="15">
        <f>48064.06+2058.84</f>
        <v>50122.899999999994</v>
      </c>
      <c r="J6" s="15">
        <f>63705.3+688.51</f>
        <v>64393.810000000005</v>
      </c>
      <c r="K6" s="15">
        <f>46063.48+2722.25</f>
        <v>48785.73</v>
      </c>
      <c r="L6" s="51">
        <v>28641.96</v>
      </c>
      <c r="M6" s="51">
        <v>63273.75</v>
      </c>
      <c r="N6" s="51">
        <v>33932.49</v>
      </c>
      <c r="O6" s="15">
        <f t="shared" si="0"/>
        <v>582201.88000000012</v>
      </c>
    </row>
    <row r="7" spans="1:15" ht="25.5" customHeight="1" x14ac:dyDescent="0.25">
      <c r="A7" s="26">
        <v>11805</v>
      </c>
      <c r="B7" s="6" t="s">
        <v>63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50.74</v>
      </c>
      <c r="K7" s="15">
        <v>0</v>
      </c>
      <c r="L7" s="51">
        <v>0</v>
      </c>
      <c r="M7" s="51">
        <v>0</v>
      </c>
      <c r="N7" s="51">
        <v>0</v>
      </c>
      <c r="O7" s="15">
        <f t="shared" si="0"/>
        <v>50.74</v>
      </c>
    </row>
    <row r="8" spans="1:15" ht="29.25" customHeight="1" x14ac:dyDescent="0.25">
      <c r="A8" s="26">
        <v>11806</v>
      </c>
      <c r="B8" s="8" t="s">
        <v>60</v>
      </c>
      <c r="C8" s="15">
        <v>17.13</v>
      </c>
      <c r="D8" s="15">
        <v>92.51</v>
      </c>
      <c r="E8" s="15">
        <v>493.36</v>
      </c>
      <c r="F8" s="15">
        <v>125.62</v>
      </c>
      <c r="G8" s="15">
        <v>11.42</v>
      </c>
      <c r="H8" s="15">
        <v>17.13</v>
      </c>
      <c r="I8" s="15">
        <v>140.49</v>
      </c>
      <c r="J8" s="15">
        <v>0</v>
      </c>
      <c r="K8" s="15">
        <v>114.2</v>
      </c>
      <c r="L8" s="51">
        <v>17.13</v>
      </c>
      <c r="M8" s="51">
        <v>22.84</v>
      </c>
      <c r="N8" s="51">
        <v>17.13</v>
      </c>
      <c r="O8" s="15">
        <f t="shared" si="0"/>
        <v>1068.9600000000003</v>
      </c>
    </row>
    <row r="9" spans="1:15" ht="30.75" customHeight="1" x14ac:dyDescent="0.25">
      <c r="A9" s="26">
        <v>11809</v>
      </c>
      <c r="B9" s="8" t="s">
        <v>18</v>
      </c>
      <c r="C9" s="15">
        <v>9.16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51">
        <v>0</v>
      </c>
      <c r="M9" s="51">
        <v>0</v>
      </c>
      <c r="N9" s="51">
        <v>0</v>
      </c>
      <c r="O9" s="15">
        <f t="shared" si="0"/>
        <v>9.16</v>
      </c>
    </row>
    <row r="10" spans="1:15" ht="30.75" customHeight="1" x14ac:dyDescent="0.25">
      <c r="A10" s="26">
        <v>11810</v>
      </c>
      <c r="B10" s="8" t="s">
        <v>19</v>
      </c>
      <c r="C10" s="15">
        <v>255.86</v>
      </c>
      <c r="D10" s="15">
        <v>171.39</v>
      </c>
      <c r="E10" s="15">
        <v>51.4</v>
      </c>
      <c r="F10" s="15">
        <v>202.18</v>
      </c>
      <c r="G10" s="15">
        <v>82.25</v>
      </c>
      <c r="H10" s="15">
        <v>99.38</v>
      </c>
      <c r="I10" s="15">
        <v>77.67</v>
      </c>
      <c r="J10" s="15">
        <v>60.53</v>
      </c>
      <c r="K10" s="15">
        <v>116.5</v>
      </c>
      <c r="L10" s="51">
        <v>0</v>
      </c>
      <c r="M10" s="51">
        <v>9.14</v>
      </c>
      <c r="N10" s="51">
        <v>322.08</v>
      </c>
      <c r="O10" s="15">
        <f t="shared" si="0"/>
        <v>1448.38</v>
      </c>
    </row>
    <row r="11" spans="1:15" ht="32.25" customHeight="1" x14ac:dyDescent="0.25">
      <c r="A11" s="26">
        <v>11812</v>
      </c>
      <c r="B11" s="8" t="s">
        <v>49</v>
      </c>
      <c r="C11" s="15">
        <v>713.16</v>
      </c>
      <c r="D11" s="15">
        <v>351.89</v>
      </c>
      <c r="E11" s="15">
        <v>0</v>
      </c>
      <c r="F11" s="15">
        <v>0</v>
      </c>
      <c r="G11" s="15">
        <v>36.56</v>
      </c>
      <c r="H11" s="15">
        <v>0</v>
      </c>
      <c r="I11" s="15">
        <v>0</v>
      </c>
      <c r="J11" s="15">
        <v>0</v>
      </c>
      <c r="K11" s="15">
        <v>0</v>
      </c>
      <c r="L11" s="51">
        <v>0</v>
      </c>
      <c r="M11" s="51">
        <v>356.58</v>
      </c>
      <c r="N11" s="51">
        <v>0</v>
      </c>
      <c r="O11" s="15">
        <f t="shared" si="0"/>
        <v>1458.19</v>
      </c>
    </row>
    <row r="12" spans="1:15" ht="31.5" customHeight="1" x14ac:dyDescent="0.25">
      <c r="A12" s="26">
        <v>11813</v>
      </c>
      <c r="B12" s="8" t="s">
        <v>20</v>
      </c>
      <c r="C12" s="15">
        <v>113.19</v>
      </c>
      <c r="D12" s="15">
        <v>113.19</v>
      </c>
      <c r="E12" s="15">
        <v>0</v>
      </c>
      <c r="F12" s="15">
        <v>154.16999999999999</v>
      </c>
      <c r="G12" s="15">
        <v>17.149999999999999</v>
      </c>
      <c r="H12" s="15">
        <v>0</v>
      </c>
      <c r="I12" s="15">
        <v>0</v>
      </c>
      <c r="J12" s="15">
        <v>33.130000000000003</v>
      </c>
      <c r="K12" s="15">
        <v>51.39</v>
      </c>
      <c r="L12" s="51">
        <v>41.12</v>
      </c>
      <c r="M12" s="51">
        <v>0</v>
      </c>
      <c r="N12" s="51">
        <v>82.24</v>
      </c>
      <c r="O12" s="15">
        <f t="shared" si="0"/>
        <v>605.57999999999993</v>
      </c>
    </row>
    <row r="13" spans="1:15" ht="33.75" customHeight="1" x14ac:dyDescent="0.25">
      <c r="A13" s="26">
        <v>11814</v>
      </c>
      <c r="B13" s="8" t="s">
        <v>21</v>
      </c>
      <c r="C13" s="15">
        <v>110.78</v>
      </c>
      <c r="D13" s="15">
        <v>131.33000000000001</v>
      </c>
      <c r="E13" s="15">
        <v>158.80000000000001</v>
      </c>
      <c r="F13" s="15">
        <v>0</v>
      </c>
      <c r="G13" s="15">
        <v>62.81</v>
      </c>
      <c r="H13" s="15">
        <v>0</v>
      </c>
      <c r="I13" s="15">
        <v>188.43</v>
      </c>
      <c r="J13" s="15">
        <v>39.97</v>
      </c>
      <c r="K13" s="15">
        <v>375.86</v>
      </c>
      <c r="L13" s="51">
        <v>0</v>
      </c>
      <c r="M13" s="51">
        <v>0</v>
      </c>
      <c r="N13" s="51">
        <v>114.22</v>
      </c>
      <c r="O13" s="15">
        <f t="shared" si="0"/>
        <v>1182.1999999999998</v>
      </c>
    </row>
    <row r="14" spans="1:15" ht="34.5" customHeight="1" x14ac:dyDescent="0.25">
      <c r="A14" s="26">
        <v>11815</v>
      </c>
      <c r="B14" s="8" t="s">
        <v>22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51">
        <v>0</v>
      </c>
      <c r="M14" s="51">
        <v>0</v>
      </c>
      <c r="N14" s="51">
        <v>0</v>
      </c>
      <c r="O14" s="15">
        <f t="shared" si="0"/>
        <v>0</v>
      </c>
    </row>
    <row r="15" spans="1:15" ht="25.5" customHeight="1" x14ac:dyDescent="0.25">
      <c r="A15" s="26">
        <v>11816</v>
      </c>
      <c r="B15" s="6" t="s">
        <v>23</v>
      </c>
      <c r="C15" s="15">
        <v>341.64</v>
      </c>
      <c r="D15" s="15">
        <v>676.39</v>
      </c>
      <c r="E15" s="15">
        <v>654.53</v>
      </c>
      <c r="F15" s="15">
        <v>502.73</v>
      </c>
      <c r="G15" s="15">
        <v>479.98</v>
      </c>
      <c r="H15" s="15">
        <v>563.84</v>
      </c>
      <c r="I15" s="15">
        <v>452.99</v>
      </c>
      <c r="J15" s="15">
        <v>656.95</v>
      </c>
      <c r="K15" s="15">
        <v>43.42</v>
      </c>
      <c r="L15" s="51">
        <v>317.62</v>
      </c>
      <c r="M15" s="51">
        <v>275.35000000000002</v>
      </c>
      <c r="N15" s="51">
        <v>1106.2</v>
      </c>
      <c r="O15" s="15">
        <f t="shared" si="0"/>
        <v>6071.64</v>
      </c>
    </row>
    <row r="16" spans="1:15" ht="24.75" customHeight="1" x14ac:dyDescent="0.25">
      <c r="A16" s="26">
        <v>11817</v>
      </c>
      <c r="B16" s="6" t="s">
        <v>50</v>
      </c>
      <c r="C16" s="15">
        <v>1681.69</v>
      </c>
      <c r="D16" s="15">
        <v>1293.3599999999999</v>
      </c>
      <c r="E16" s="15">
        <v>1951.98</v>
      </c>
      <c r="F16" s="15">
        <v>564.11</v>
      </c>
      <c r="G16" s="15">
        <v>280.33999999999997</v>
      </c>
      <c r="H16" s="15">
        <v>413.75</v>
      </c>
      <c r="I16" s="15">
        <v>1440.25</v>
      </c>
      <c r="J16" s="15">
        <v>343.54</v>
      </c>
      <c r="K16" s="15">
        <v>176.18</v>
      </c>
      <c r="L16" s="51">
        <v>206</v>
      </c>
      <c r="M16" s="51">
        <v>2116.98</v>
      </c>
      <c r="N16" s="51">
        <v>505.07</v>
      </c>
      <c r="O16" s="15">
        <f t="shared" si="0"/>
        <v>10973.250000000002</v>
      </c>
    </row>
    <row r="17" spans="1:15" ht="31.5" customHeight="1" x14ac:dyDescent="0.25">
      <c r="A17" s="26">
        <v>11818</v>
      </c>
      <c r="B17" s="6" t="s">
        <v>51</v>
      </c>
      <c r="C17" s="15">
        <v>696.29</v>
      </c>
      <c r="D17" s="15">
        <v>150.91999999999999</v>
      </c>
      <c r="E17" s="15">
        <v>356.72</v>
      </c>
      <c r="F17" s="15">
        <v>463.05</v>
      </c>
      <c r="G17" s="15">
        <v>644.84</v>
      </c>
      <c r="H17" s="15">
        <v>1389.15</v>
      </c>
      <c r="I17" s="15">
        <v>4081.7</v>
      </c>
      <c r="J17" s="15">
        <v>792.33</v>
      </c>
      <c r="K17" s="15">
        <v>2236.36</v>
      </c>
      <c r="L17" s="51">
        <v>44.59</v>
      </c>
      <c r="M17" s="51">
        <v>2088.87</v>
      </c>
      <c r="N17" s="51">
        <v>3.43</v>
      </c>
      <c r="O17" s="15">
        <f t="shared" si="0"/>
        <v>12948.249999999996</v>
      </c>
    </row>
    <row r="18" spans="1:15" ht="44.25" customHeight="1" x14ac:dyDescent="0.25">
      <c r="A18" s="26">
        <v>11899</v>
      </c>
      <c r="B18" s="8" t="s">
        <v>24</v>
      </c>
      <c r="C18" s="15">
        <v>10438.540000000001</v>
      </c>
      <c r="D18" s="15">
        <v>4360.4799999999996</v>
      </c>
      <c r="E18" s="15">
        <v>5034.1400000000003</v>
      </c>
      <c r="F18" s="15">
        <v>3166.93</v>
      </c>
      <c r="G18" s="15">
        <v>4678.18</v>
      </c>
      <c r="H18" s="15">
        <v>4169.07</v>
      </c>
      <c r="I18" s="15">
        <v>2548.2800000000002</v>
      </c>
      <c r="J18" s="15">
        <v>5891.07</v>
      </c>
      <c r="K18" s="15">
        <v>4481.82</v>
      </c>
      <c r="L18" s="51">
        <v>3727.35</v>
      </c>
      <c r="M18" s="51">
        <v>7089.77</v>
      </c>
      <c r="N18" s="51">
        <v>5080.2299999999996</v>
      </c>
      <c r="O18" s="15">
        <f t="shared" si="0"/>
        <v>60665.859999999993</v>
      </c>
    </row>
    <row r="19" spans="1:15" ht="57.75" customHeight="1" x14ac:dyDescent="0.25">
      <c r="A19" s="26">
        <v>12105</v>
      </c>
      <c r="B19" s="8" t="s">
        <v>25</v>
      </c>
      <c r="C19" s="15">
        <v>9679.76</v>
      </c>
      <c r="D19" s="15">
        <v>7680.6</v>
      </c>
      <c r="E19" s="15">
        <v>7759.02</v>
      </c>
      <c r="F19" s="15">
        <v>5929.45</v>
      </c>
      <c r="G19" s="15">
        <v>6345.22</v>
      </c>
      <c r="H19" s="15">
        <v>6048.35</v>
      </c>
      <c r="I19" s="15">
        <v>7490.95</v>
      </c>
      <c r="J19" s="15">
        <v>6184.25</v>
      </c>
      <c r="K19" s="15">
        <v>7480.02</v>
      </c>
      <c r="L19" s="51">
        <v>7005.02</v>
      </c>
      <c r="M19" s="51">
        <v>11317.2</v>
      </c>
      <c r="N19" s="51">
        <v>5315.48</v>
      </c>
      <c r="O19" s="15">
        <f t="shared" si="0"/>
        <v>88235.319999999992</v>
      </c>
    </row>
    <row r="20" spans="1:15" ht="44.25" customHeight="1" x14ac:dyDescent="0.25">
      <c r="A20" s="26">
        <v>12106</v>
      </c>
      <c r="B20" s="8" t="s">
        <v>26</v>
      </c>
      <c r="C20" s="15">
        <v>294</v>
      </c>
      <c r="D20" s="15">
        <v>88</v>
      </c>
      <c r="E20" s="15">
        <v>61</v>
      </c>
      <c r="F20" s="15">
        <v>23</v>
      </c>
      <c r="G20" s="15">
        <v>29</v>
      </c>
      <c r="H20" s="15">
        <v>41</v>
      </c>
      <c r="I20" s="15">
        <v>35</v>
      </c>
      <c r="J20" s="15">
        <v>33</v>
      </c>
      <c r="K20" s="15">
        <v>51</v>
      </c>
      <c r="L20" s="51">
        <v>42</v>
      </c>
      <c r="M20" s="51">
        <v>90</v>
      </c>
      <c r="N20" s="51">
        <v>245</v>
      </c>
      <c r="O20" s="15">
        <f t="shared" si="0"/>
        <v>1032</v>
      </c>
    </row>
    <row r="21" spans="1:15" ht="28.5" customHeight="1" x14ac:dyDescent="0.25">
      <c r="A21" s="26">
        <v>12108</v>
      </c>
      <c r="B21" s="8" t="s">
        <v>27</v>
      </c>
      <c r="C21" s="15">
        <f>12140.79+21013.95</f>
        <v>33154.740000000005</v>
      </c>
      <c r="D21" s="15">
        <f>6659.59+4326.56</f>
        <v>10986.150000000001</v>
      </c>
      <c r="E21" s="15">
        <f>7050.64+5530.52</f>
        <v>12581.16</v>
      </c>
      <c r="F21" s="15">
        <f>4519.18+4437.09</f>
        <v>8956.27</v>
      </c>
      <c r="G21" s="15">
        <f>5656.56+3980.92</f>
        <v>9637.48</v>
      </c>
      <c r="H21" s="15">
        <f>6480.27+3456.17</f>
        <v>9936.44</v>
      </c>
      <c r="I21" s="15">
        <f>5815.77+3754.84</f>
        <v>9570.61</v>
      </c>
      <c r="J21" s="15">
        <f>5755.82+2668.91</f>
        <v>8424.73</v>
      </c>
      <c r="K21" s="15">
        <f>6179.6+3109.22</f>
        <v>9288.82</v>
      </c>
      <c r="L21" s="51">
        <v>4549.62</v>
      </c>
      <c r="M21" s="51">
        <v>6409.92</v>
      </c>
      <c r="N21" s="51">
        <v>10149.82</v>
      </c>
      <c r="O21" s="15">
        <f t="shared" si="0"/>
        <v>133645.76000000001</v>
      </c>
    </row>
    <row r="22" spans="1:15" ht="25.5" customHeight="1" x14ac:dyDescent="0.25">
      <c r="A22" s="26">
        <v>12109</v>
      </c>
      <c r="B22" s="6" t="s">
        <v>28</v>
      </c>
      <c r="C22" s="15">
        <f>14571.21+28661.81</f>
        <v>43233.020000000004</v>
      </c>
      <c r="D22" s="15">
        <f>13148.54+4839.82</f>
        <v>17988.36</v>
      </c>
      <c r="E22" s="15">
        <f>16964.37+4742.48</f>
        <v>21706.85</v>
      </c>
      <c r="F22" s="15">
        <f>8224.57+5293.93</f>
        <v>13518.5</v>
      </c>
      <c r="G22" s="15">
        <f>18363.95+3038.32</f>
        <v>21402.27</v>
      </c>
      <c r="H22" s="15">
        <f>12172+1531.25</f>
        <v>13703.25</v>
      </c>
      <c r="I22" s="15">
        <f>14458.33+1470</f>
        <v>15928.33</v>
      </c>
      <c r="J22" s="15">
        <f>20228.36+2776.85</f>
        <v>23005.21</v>
      </c>
      <c r="K22" s="15">
        <f>10536.67+2667.3</f>
        <v>13203.970000000001</v>
      </c>
      <c r="L22" s="51">
        <v>11321.18</v>
      </c>
      <c r="M22" s="51">
        <v>13387.83</v>
      </c>
      <c r="N22" s="51">
        <v>14903.1</v>
      </c>
      <c r="O22" s="15">
        <f t="shared" si="0"/>
        <v>223301.87000000005</v>
      </c>
    </row>
    <row r="23" spans="1:15" ht="31.5" customHeight="1" x14ac:dyDescent="0.25">
      <c r="A23" s="26">
        <v>12110</v>
      </c>
      <c r="B23" s="8" t="s">
        <v>29</v>
      </c>
      <c r="C23" s="15">
        <v>2101.09</v>
      </c>
      <c r="D23" s="15">
        <v>205.92</v>
      </c>
      <c r="E23" s="15">
        <v>0</v>
      </c>
      <c r="F23" s="15">
        <v>0</v>
      </c>
      <c r="G23" s="15">
        <v>137.28</v>
      </c>
      <c r="H23" s="15">
        <v>0</v>
      </c>
      <c r="I23" s="15">
        <v>0</v>
      </c>
      <c r="J23" s="15">
        <v>274.56</v>
      </c>
      <c r="K23" s="15">
        <v>0</v>
      </c>
      <c r="L23" s="51">
        <v>0</v>
      </c>
      <c r="M23" s="51">
        <v>0</v>
      </c>
      <c r="N23" s="51">
        <v>0</v>
      </c>
      <c r="O23" s="15">
        <f t="shared" si="0"/>
        <v>2718.8500000000004</v>
      </c>
    </row>
    <row r="24" spans="1:15" ht="34.5" customHeight="1" x14ac:dyDescent="0.25">
      <c r="A24" s="26">
        <v>12111</v>
      </c>
      <c r="B24" s="8" t="s">
        <v>30</v>
      </c>
      <c r="C24" s="15">
        <v>0</v>
      </c>
      <c r="D24" s="15">
        <v>2220.12</v>
      </c>
      <c r="E24" s="15">
        <v>2975.45</v>
      </c>
      <c r="F24" s="15">
        <v>2795.22</v>
      </c>
      <c r="G24" s="15">
        <v>2640.66</v>
      </c>
      <c r="H24" s="15">
        <v>2147.09</v>
      </c>
      <c r="I24" s="15">
        <v>2301.9</v>
      </c>
      <c r="J24" s="15">
        <v>2961.73</v>
      </c>
      <c r="K24" s="15">
        <v>2415.92</v>
      </c>
      <c r="L24" s="51">
        <v>3586.06</v>
      </c>
      <c r="M24" s="51">
        <v>3932.8</v>
      </c>
      <c r="N24" s="51">
        <v>1389.51</v>
      </c>
      <c r="O24" s="15">
        <f t="shared" si="0"/>
        <v>29366.460000000003</v>
      </c>
    </row>
    <row r="25" spans="1:15" ht="26.25" customHeight="1" x14ac:dyDescent="0.25">
      <c r="A25" s="26">
        <v>12112</v>
      </c>
      <c r="B25" s="8" t="s">
        <v>62</v>
      </c>
      <c r="C25" s="15">
        <v>320</v>
      </c>
      <c r="D25" s="15">
        <v>4170</v>
      </c>
      <c r="E25" s="15">
        <v>4300</v>
      </c>
      <c r="F25" s="15">
        <v>80</v>
      </c>
      <c r="G25" s="15">
        <v>80</v>
      </c>
      <c r="H25" s="15">
        <v>84</v>
      </c>
      <c r="I25" s="15">
        <v>3700</v>
      </c>
      <c r="J25" s="15">
        <v>80</v>
      </c>
      <c r="K25" s="15">
        <v>360</v>
      </c>
      <c r="L25" s="51">
        <v>242</v>
      </c>
      <c r="M25" s="51">
        <v>480</v>
      </c>
      <c r="N25" s="51">
        <v>246</v>
      </c>
      <c r="O25" s="15">
        <f t="shared" si="0"/>
        <v>14142</v>
      </c>
    </row>
    <row r="26" spans="1:15" ht="26.25" customHeight="1" x14ac:dyDescent="0.25">
      <c r="A26" s="26">
        <v>12114</v>
      </c>
      <c r="B26" s="6" t="s">
        <v>31</v>
      </c>
      <c r="C26" s="15">
        <f>8466.88+8200.73</f>
        <v>16667.61</v>
      </c>
      <c r="D26" s="15">
        <f>12252.16+3999.9</f>
        <v>16252.06</v>
      </c>
      <c r="E26" s="15">
        <f>11874.75+885.11</f>
        <v>12759.86</v>
      </c>
      <c r="F26" s="15">
        <f>8519.61+557.89</f>
        <v>9077.5</v>
      </c>
      <c r="G26" s="15">
        <f>13937.57+446.17</f>
        <v>14383.74</v>
      </c>
      <c r="H26" s="15">
        <f>11799.36+349.23</f>
        <v>12148.59</v>
      </c>
      <c r="I26" s="15">
        <f>9014.44+446.92</f>
        <v>9461.36</v>
      </c>
      <c r="J26" s="15">
        <f>15693.06+493.35</f>
        <v>16186.41</v>
      </c>
      <c r="K26" s="15">
        <f>9075.22+615.26</f>
        <v>9690.48</v>
      </c>
      <c r="L26" s="51">
        <v>6140.05</v>
      </c>
      <c r="M26" s="51">
        <v>20457.7</v>
      </c>
      <c r="N26" s="51">
        <v>7178.67</v>
      </c>
      <c r="O26" s="15">
        <f t="shared" si="0"/>
        <v>150404.03000000003</v>
      </c>
    </row>
    <row r="27" spans="1:15" ht="26.25" customHeight="1" x14ac:dyDescent="0.25">
      <c r="A27" s="26">
        <v>12115</v>
      </c>
      <c r="B27" s="6" t="s">
        <v>32</v>
      </c>
      <c r="C27" s="15">
        <v>22618.97</v>
      </c>
      <c r="D27" s="15">
        <v>12628</v>
      </c>
      <c r="E27" s="15">
        <v>14672.95</v>
      </c>
      <c r="F27" s="15">
        <v>12058.25</v>
      </c>
      <c r="G27" s="15">
        <v>12492.75</v>
      </c>
      <c r="H27" s="15">
        <v>12460.25</v>
      </c>
      <c r="I27" s="15">
        <v>12843.75</v>
      </c>
      <c r="J27" s="15">
        <v>12955.75</v>
      </c>
      <c r="K27" s="15">
        <v>10921.95</v>
      </c>
      <c r="L27" s="51">
        <v>13624.75</v>
      </c>
      <c r="M27" s="51">
        <v>12783.75</v>
      </c>
      <c r="N27" s="51">
        <v>13123.35</v>
      </c>
      <c r="O27" s="15">
        <f t="shared" si="0"/>
        <v>163184.47</v>
      </c>
    </row>
    <row r="28" spans="1:15" ht="26.25" customHeight="1" x14ac:dyDescent="0.25">
      <c r="A28" s="26">
        <v>121151</v>
      </c>
      <c r="B28" s="6" t="s">
        <v>73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51">
        <v>0</v>
      </c>
      <c r="M28" s="51">
        <v>0</v>
      </c>
      <c r="N28" s="51">
        <v>0</v>
      </c>
      <c r="O28" s="15">
        <f t="shared" si="0"/>
        <v>0</v>
      </c>
    </row>
    <row r="29" spans="1:15" ht="28.5" customHeight="1" x14ac:dyDescent="0.25">
      <c r="A29" s="26">
        <v>12117</v>
      </c>
      <c r="B29" s="6" t="s">
        <v>33</v>
      </c>
      <c r="C29" s="15">
        <f>4818.66+6511.75</f>
        <v>11330.41</v>
      </c>
      <c r="D29" s="15">
        <f>2750.23+1493.88</f>
        <v>4244.1100000000006</v>
      </c>
      <c r="E29" s="15">
        <f>2821.96+1097.59</f>
        <v>3919.55</v>
      </c>
      <c r="F29" s="15">
        <f>1843.55+260.61</f>
        <v>2104.16</v>
      </c>
      <c r="G29" s="15">
        <f>2590.11+769</f>
        <v>3359.11</v>
      </c>
      <c r="H29" s="15">
        <f>2581.79+376.59</f>
        <v>2958.38</v>
      </c>
      <c r="I29" s="15">
        <f>2147.44+454.42</f>
        <v>2601.86</v>
      </c>
      <c r="J29" s="15">
        <f>2193.84+678.31</f>
        <v>2872.15</v>
      </c>
      <c r="K29" s="15">
        <f>2426.05+322.8</f>
        <v>2748.8500000000004</v>
      </c>
      <c r="L29" s="51">
        <v>1873.79</v>
      </c>
      <c r="M29" s="51">
        <v>2338.12</v>
      </c>
      <c r="N29" s="51">
        <v>3603.33</v>
      </c>
      <c r="O29" s="15">
        <f t="shared" si="0"/>
        <v>43953.82</v>
      </c>
    </row>
    <row r="30" spans="1:15" ht="36.75" customHeight="1" x14ac:dyDescent="0.25">
      <c r="A30" s="26">
        <v>12118</v>
      </c>
      <c r="B30" s="8" t="s">
        <v>34</v>
      </c>
      <c r="C30" s="15">
        <v>10148</v>
      </c>
      <c r="D30" s="15">
        <v>63401.32</v>
      </c>
      <c r="E30" s="15">
        <v>8546.36</v>
      </c>
      <c r="F30" s="15">
        <v>87.01</v>
      </c>
      <c r="G30" s="15">
        <v>69811.539999999994</v>
      </c>
      <c r="H30" s="15">
        <v>9652</v>
      </c>
      <c r="I30" s="15">
        <v>1268</v>
      </c>
      <c r="J30" s="15">
        <v>62706.92</v>
      </c>
      <c r="K30" s="15">
        <v>6588</v>
      </c>
      <c r="L30" s="51">
        <v>13665.94</v>
      </c>
      <c r="M30" s="51">
        <v>60055.58</v>
      </c>
      <c r="N30" s="51">
        <v>3939.72</v>
      </c>
      <c r="O30" s="15">
        <f t="shared" si="0"/>
        <v>309870.39</v>
      </c>
    </row>
    <row r="31" spans="1:15" ht="25.5" customHeight="1" x14ac:dyDescent="0.25">
      <c r="A31" s="26">
        <v>12119</v>
      </c>
      <c r="B31" s="8" t="s">
        <v>35</v>
      </c>
      <c r="C31" s="15">
        <v>95</v>
      </c>
      <c r="D31" s="15">
        <v>65</v>
      </c>
      <c r="E31" s="15">
        <v>55</v>
      </c>
      <c r="F31" s="15">
        <v>0</v>
      </c>
      <c r="G31" s="15">
        <v>10</v>
      </c>
      <c r="H31" s="15">
        <v>0</v>
      </c>
      <c r="I31" s="15">
        <v>20</v>
      </c>
      <c r="J31" s="15">
        <v>5</v>
      </c>
      <c r="K31" s="15">
        <v>10</v>
      </c>
      <c r="L31" s="51">
        <v>5</v>
      </c>
      <c r="M31" s="51">
        <v>5</v>
      </c>
      <c r="N31" s="51">
        <v>5</v>
      </c>
      <c r="O31" s="15">
        <f t="shared" si="0"/>
        <v>275</v>
      </c>
    </row>
    <row r="32" spans="1:15" ht="26.25" customHeight="1" x14ac:dyDescent="0.25">
      <c r="A32" s="26">
        <v>12120</v>
      </c>
      <c r="B32" s="8" t="s">
        <v>36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51">
        <v>0</v>
      </c>
      <c r="M32" s="51">
        <v>0</v>
      </c>
      <c r="N32" s="51">
        <v>0</v>
      </c>
      <c r="O32" s="15">
        <f t="shared" si="0"/>
        <v>0</v>
      </c>
    </row>
    <row r="33" spans="1:15" ht="27" customHeight="1" x14ac:dyDescent="0.25">
      <c r="A33" s="26">
        <v>12199</v>
      </c>
      <c r="B33" s="6" t="s">
        <v>37</v>
      </c>
      <c r="C33" s="15">
        <v>605.69000000000005</v>
      </c>
      <c r="D33" s="15">
        <v>725.64</v>
      </c>
      <c r="E33" s="15">
        <v>742.81</v>
      </c>
      <c r="F33" s="15">
        <v>502.79</v>
      </c>
      <c r="G33" s="15">
        <v>434.24</v>
      </c>
      <c r="H33" s="15">
        <v>388.54</v>
      </c>
      <c r="I33" s="15">
        <v>274.27</v>
      </c>
      <c r="J33" s="15">
        <v>348.54</v>
      </c>
      <c r="K33" s="15">
        <v>371.42</v>
      </c>
      <c r="L33" s="51">
        <v>434.28</v>
      </c>
      <c r="M33" s="51">
        <v>302.83</v>
      </c>
      <c r="N33" s="51">
        <v>531.37</v>
      </c>
      <c r="O33" s="15">
        <f t="shared" si="0"/>
        <v>5662.42</v>
      </c>
    </row>
    <row r="34" spans="1:15" ht="41.25" customHeight="1" x14ac:dyDescent="0.25">
      <c r="A34" s="26">
        <v>12210</v>
      </c>
      <c r="B34" s="8" t="s">
        <v>38</v>
      </c>
      <c r="C34" s="15">
        <v>17560.79</v>
      </c>
      <c r="D34" s="15">
        <v>2698.47</v>
      </c>
      <c r="E34" s="15">
        <v>4299.62</v>
      </c>
      <c r="F34" s="15">
        <v>1993.65</v>
      </c>
      <c r="G34" s="15">
        <v>8090.06</v>
      </c>
      <c r="H34" s="15">
        <v>23682.82</v>
      </c>
      <c r="I34" s="15">
        <v>2577.83</v>
      </c>
      <c r="J34" s="15">
        <v>1045.6199999999999</v>
      </c>
      <c r="K34" s="15">
        <v>19739</v>
      </c>
      <c r="L34" s="51">
        <v>1308.75</v>
      </c>
      <c r="M34" s="51">
        <v>2175.7199999999998</v>
      </c>
      <c r="N34" s="51">
        <v>12994.07</v>
      </c>
      <c r="O34" s="15">
        <f t="shared" si="0"/>
        <v>98166.399999999994</v>
      </c>
    </row>
    <row r="35" spans="1:15" ht="21" customHeight="1" x14ac:dyDescent="0.25">
      <c r="A35" s="26">
        <v>12211</v>
      </c>
      <c r="B35" s="8" t="s">
        <v>39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51">
        <v>0</v>
      </c>
      <c r="M35" s="51">
        <v>0</v>
      </c>
      <c r="N35" s="51">
        <v>0</v>
      </c>
      <c r="O35" s="15">
        <f t="shared" si="0"/>
        <v>0</v>
      </c>
    </row>
    <row r="36" spans="1:15" ht="21.75" customHeight="1" x14ac:dyDescent="0.25">
      <c r="A36" s="26">
        <v>12299</v>
      </c>
      <c r="B36" s="8" t="s">
        <v>40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51">
        <v>0</v>
      </c>
      <c r="M36" s="51">
        <v>0</v>
      </c>
      <c r="N36" s="51">
        <v>0</v>
      </c>
      <c r="O36" s="15">
        <f t="shared" si="0"/>
        <v>0</v>
      </c>
    </row>
    <row r="37" spans="1:15" ht="29.25" customHeight="1" x14ac:dyDescent="0.25">
      <c r="A37" s="26">
        <v>14201</v>
      </c>
      <c r="B37" s="8" t="s">
        <v>41</v>
      </c>
      <c r="C37" s="15">
        <v>735</v>
      </c>
      <c r="D37" s="15">
        <v>447</v>
      </c>
      <c r="E37" s="15">
        <v>372</v>
      </c>
      <c r="F37" s="15">
        <v>396</v>
      </c>
      <c r="G37" s="15">
        <v>84</v>
      </c>
      <c r="H37" s="15">
        <v>330</v>
      </c>
      <c r="I37" s="15">
        <v>213</v>
      </c>
      <c r="J37" s="15">
        <v>366</v>
      </c>
      <c r="K37" s="15">
        <v>807</v>
      </c>
      <c r="L37" s="51">
        <v>402</v>
      </c>
      <c r="M37" s="51">
        <v>189</v>
      </c>
      <c r="N37" s="51">
        <v>606</v>
      </c>
      <c r="O37" s="15">
        <f t="shared" si="0"/>
        <v>4947</v>
      </c>
    </row>
    <row r="38" spans="1:15" ht="21.75" customHeight="1" x14ac:dyDescent="0.25">
      <c r="A38" s="26">
        <v>14299</v>
      </c>
      <c r="B38" s="8" t="s">
        <v>64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51">
        <v>0</v>
      </c>
      <c r="M38" s="51">
        <v>0</v>
      </c>
      <c r="N38" s="51">
        <v>0</v>
      </c>
      <c r="O38" s="15">
        <f t="shared" si="0"/>
        <v>0</v>
      </c>
    </row>
    <row r="39" spans="1:15" ht="30" customHeight="1" x14ac:dyDescent="0.25">
      <c r="A39" s="26">
        <v>14399</v>
      </c>
      <c r="B39" s="8" t="s">
        <v>58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51">
        <v>11.42</v>
      </c>
      <c r="M39" s="51">
        <v>68.52</v>
      </c>
      <c r="N39" s="51">
        <v>11.42</v>
      </c>
      <c r="O39" s="15">
        <f t="shared" si="0"/>
        <v>91.36</v>
      </c>
    </row>
    <row r="40" spans="1:15" ht="30.75" customHeight="1" x14ac:dyDescent="0.25">
      <c r="A40" s="26">
        <v>15301</v>
      </c>
      <c r="B40" s="8" t="s">
        <v>65</v>
      </c>
      <c r="C40" s="15">
        <v>0</v>
      </c>
      <c r="D40" s="15">
        <v>1487.8</v>
      </c>
      <c r="E40" s="52">
        <f>1898.31</f>
        <v>1898.31</v>
      </c>
      <c r="F40" s="15">
        <v>1430.33</v>
      </c>
      <c r="G40" s="15">
        <v>1836.02</v>
      </c>
      <c r="H40" s="15">
        <v>1359.94</v>
      </c>
      <c r="I40" s="15">
        <v>1903.68</v>
      </c>
      <c r="J40" s="15">
        <v>2930.99</v>
      </c>
      <c r="K40" s="15">
        <v>1845.3</v>
      </c>
      <c r="L40" s="51">
        <v>1104.5999999999999</v>
      </c>
      <c r="M40" s="51">
        <v>0</v>
      </c>
      <c r="N40" s="51">
        <v>0</v>
      </c>
      <c r="O40" s="15">
        <f t="shared" si="0"/>
        <v>15796.97</v>
      </c>
    </row>
    <row r="41" spans="1:15" ht="32.25" customHeight="1" x14ac:dyDescent="0.25">
      <c r="A41" s="26">
        <v>15302</v>
      </c>
      <c r="B41" s="8" t="s">
        <v>42</v>
      </c>
      <c r="C41" s="15">
        <v>0</v>
      </c>
      <c r="D41" s="15">
        <v>2863.15</v>
      </c>
      <c r="E41" s="52">
        <f>3778.6</f>
        <v>3778.6</v>
      </c>
      <c r="F41" s="15">
        <v>2475.62</v>
      </c>
      <c r="G41" s="15">
        <v>2426.0300000000002</v>
      </c>
      <c r="H41" s="15">
        <v>1428.3</v>
      </c>
      <c r="I41" s="15">
        <v>2363.9299999999998</v>
      </c>
      <c r="J41" s="15">
        <v>3370.03</v>
      </c>
      <c r="K41" s="15">
        <v>2980.25</v>
      </c>
      <c r="L41" s="51">
        <v>1235.26</v>
      </c>
      <c r="M41" s="51">
        <v>0</v>
      </c>
      <c r="N41" s="51">
        <v>0</v>
      </c>
      <c r="O41" s="15">
        <f t="shared" si="0"/>
        <v>22921.170000000002</v>
      </c>
    </row>
    <row r="42" spans="1:15" ht="41.25" customHeight="1" x14ac:dyDescent="0.25">
      <c r="A42" s="26">
        <v>15310</v>
      </c>
      <c r="B42" s="8" t="s">
        <v>66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10</v>
      </c>
      <c r="L42" s="51">
        <v>0</v>
      </c>
      <c r="M42" s="51">
        <v>0</v>
      </c>
      <c r="N42" s="51">
        <v>0</v>
      </c>
      <c r="O42" s="15">
        <f t="shared" si="0"/>
        <v>10</v>
      </c>
    </row>
    <row r="43" spans="1:15" ht="40.5" customHeight="1" x14ac:dyDescent="0.25">
      <c r="A43" s="26">
        <v>15312</v>
      </c>
      <c r="B43" s="8" t="s">
        <v>67</v>
      </c>
      <c r="C43" s="15">
        <v>74.099999999999994</v>
      </c>
      <c r="D43" s="15">
        <v>65.55</v>
      </c>
      <c r="E43" s="15">
        <v>94.05</v>
      </c>
      <c r="F43" s="15">
        <v>42.75</v>
      </c>
      <c r="G43" s="15">
        <v>48.45</v>
      </c>
      <c r="H43" s="15">
        <v>51.3</v>
      </c>
      <c r="I43" s="15">
        <v>74.099999999999994</v>
      </c>
      <c r="J43" s="15">
        <v>34.200000000000003</v>
      </c>
      <c r="K43" s="15">
        <v>45.6</v>
      </c>
      <c r="L43" s="51">
        <v>51.3</v>
      </c>
      <c r="M43" s="51">
        <v>88.35</v>
      </c>
      <c r="N43" s="51">
        <v>51.3</v>
      </c>
      <c r="O43" s="15">
        <f t="shared" si="0"/>
        <v>721.05</v>
      </c>
    </row>
    <row r="44" spans="1:15" ht="40.5" customHeight="1" x14ac:dyDescent="0.25">
      <c r="A44" s="26">
        <v>15313</v>
      </c>
      <c r="B44" s="8" t="s">
        <v>85</v>
      </c>
      <c r="C44" s="15">
        <v>0</v>
      </c>
      <c r="D44" s="15">
        <v>0</v>
      </c>
      <c r="E44" s="15">
        <v>365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51"/>
      <c r="M44" s="51"/>
      <c r="N44" s="51"/>
      <c r="O44" s="15">
        <f t="shared" si="0"/>
        <v>365</v>
      </c>
    </row>
    <row r="45" spans="1:15" ht="34.5" customHeight="1" x14ac:dyDescent="0.25">
      <c r="A45" s="26">
        <v>15314</v>
      </c>
      <c r="B45" s="8" t="s">
        <v>43</v>
      </c>
      <c r="C45" s="15">
        <v>0</v>
      </c>
      <c r="D45" s="15">
        <v>34.29</v>
      </c>
      <c r="E45" s="15">
        <v>152.86000000000001</v>
      </c>
      <c r="F45" s="15">
        <v>114.29</v>
      </c>
      <c r="G45" s="15">
        <v>11.43</v>
      </c>
      <c r="H45" s="15">
        <v>57.15</v>
      </c>
      <c r="I45" s="15">
        <v>537.16999999999996</v>
      </c>
      <c r="J45" s="15">
        <v>509.3</v>
      </c>
      <c r="K45" s="15">
        <v>728.6</v>
      </c>
      <c r="L45" s="51">
        <v>445.77</v>
      </c>
      <c r="M45" s="51">
        <v>398.58</v>
      </c>
      <c r="N45" s="51">
        <v>114.29</v>
      </c>
      <c r="O45" s="15">
        <f t="shared" si="0"/>
        <v>3103.73</v>
      </c>
    </row>
    <row r="46" spans="1:15" ht="36.75" customHeight="1" x14ac:dyDescent="0.25">
      <c r="A46" s="26">
        <v>15402</v>
      </c>
      <c r="B46" s="8" t="s">
        <v>44</v>
      </c>
      <c r="C46" s="15">
        <v>1548.35</v>
      </c>
      <c r="D46" s="15">
        <v>170.87</v>
      </c>
      <c r="E46" s="15">
        <v>253.49</v>
      </c>
      <c r="F46" s="15">
        <v>75.150000000000006</v>
      </c>
      <c r="G46" s="15">
        <v>274.06</v>
      </c>
      <c r="H46" s="15">
        <v>335.19</v>
      </c>
      <c r="I46" s="15">
        <v>75.150000000000006</v>
      </c>
      <c r="J46" s="15">
        <v>3439.61</v>
      </c>
      <c r="K46" s="15">
        <v>75.150000000000006</v>
      </c>
      <c r="L46" s="51">
        <v>246.02</v>
      </c>
      <c r="M46" s="51">
        <v>75.150000000000006</v>
      </c>
      <c r="N46" s="51">
        <v>4302.57</v>
      </c>
      <c r="O46" s="15">
        <f t="shared" si="0"/>
        <v>10870.76</v>
      </c>
    </row>
    <row r="47" spans="1:15" ht="34.5" customHeight="1" x14ac:dyDescent="0.25">
      <c r="A47" s="26">
        <v>15703</v>
      </c>
      <c r="B47" s="8" t="s">
        <v>45</v>
      </c>
      <c r="C47" s="52">
        <v>0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0</v>
      </c>
      <c r="L47" s="51">
        <v>0</v>
      </c>
      <c r="M47" s="51">
        <v>0</v>
      </c>
      <c r="N47" s="51">
        <v>0</v>
      </c>
      <c r="O47" s="15">
        <f t="shared" si="0"/>
        <v>0</v>
      </c>
    </row>
    <row r="48" spans="1:15" ht="32.25" customHeight="1" x14ac:dyDescent="0.25">
      <c r="A48" s="26">
        <v>15799</v>
      </c>
      <c r="B48" s="8" t="s">
        <v>46</v>
      </c>
      <c r="C48" s="15">
        <v>51.15</v>
      </c>
      <c r="D48" s="15">
        <v>450.9</v>
      </c>
      <c r="E48" s="15">
        <v>107.36</v>
      </c>
      <c r="F48" s="15">
        <v>201.77</v>
      </c>
      <c r="G48" s="15">
        <v>420.45</v>
      </c>
      <c r="H48" s="15">
        <v>1037.17</v>
      </c>
      <c r="I48" s="15">
        <v>95.86</v>
      </c>
      <c r="J48" s="15">
        <v>0</v>
      </c>
      <c r="K48" s="15">
        <v>402.15</v>
      </c>
      <c r="L48" s="51">
        <v>351.46</v>
      </c>
      <c r="M48" s="51">
        <v>1384.92</v>
      </c>
      <c r="N48" s="51">
        <v>69.81</v>
      </c>
      <c r="O48" s="15">
        <f t="shared" si="0"/>
        <v>4573</v>
      </c>
    </row>
    <row r="49" spans="1:16" ht="67.5" customHeight="1" x14ac:dyDescent="0.25">
      <c r="A49" s="27">
        <v>1620701</v>
      </c>
      <c r="B49" s="25" t="s">
        <v>79</v>
      </c>
      <c r="C49" s="24"/>
      <c r="D49" s="24"/>
      <c r="E49" s="24"/>
      <c r="F49" s="24"/>
      <c r="G49" s="24"/>
      <c r="H49" s="24"/>
      <c r="I49" s="24"/>
      <c r="J49" s="24"/>
      <c r="K49" s="24"/>
      <c r="L49" s="51"/>
      <c r="M49" s="51"/>
      <c r="N49" s="51"/>
      <c r="O49" s="15">
        <f t="shared" si="0"/>
        <v>0</v>
      </c>
    </row>
    <row r="50" spans="1:16" ht="42" customHeight="1" x14ac:dyDescent="0.25">
      <c r="A50" s="26">
        <v>21201</v>
      </c>
      <c r="B50" s="8" t="s">
        <v>47</v>
      </c>
      <c r="C50" s="15"/>
      <c r="D50" s="15">
        <v>1157.44</v>
      </c>
      <c r="E50" s="15">
        <v>35.69</v>
      </c>
      <c r="F50" s="15"/>
      <c r="G50" s="15">
        <v>11.98</v>
      </c>
      <c r="H50" s="15">
        <v>0</v>
      </c>
      <c r="I50" s="15"/>
      <c r="J50" s="15">
        <v>88.28</v>
      </c>
      <c r="K50" s="15">
        <v>215.22</v>
      </c>
      <c r="L50" s="51">
        <v>0</v>
      </c>
      <c r="M50" s="51"/>
      <c r="N50" s="51"/>
      <c r="O50" s="15">
        <f t="shared" si="0"/>
        <v>1508.6100000000001</v>
      </c>
    </row>
    <row r="51" spans="1:16" ht="48.75" customHeight="1" x14ac:dyDescent="0.25">
      <c r="A51" s="26">
        <v>31308</v>
      </c>
      <c r="B51" s="8" t="s">
        <v>78</v>
      </c>
      <c r="C51" s="15"/>
      <c r="D51" s="15"/>
      <c r="E51" s="15"/>
      <c r="F51" s="15"/>
      <c r="G51" s="15">
        <v>0</v>
      </c>
      <c r="H51" s="15">
        <v>0</v>
      </c>
      <c r="I51" s="15"/>
      <c r="J51" s="15"/>
      <c r="K51" s="15"/>
      <c r="L51" s="51">
        <v>0</v>
      </c>
      <c r="M51" s="51"/>
      <c r="N51" s="51"/>
      <c r="O51" s="15">
        <f t="shared" si="0"/>
        <v>0</v>
      </c>
    </row>
    <row r="52" spans="1:16" ht="34.5" customHeight="1" x14ac:dyDescent="0.25">
      <c r="A52" s="26">
        <v>32101</v>
      </c>
      <c r="B52" s="8" t="s">
        <v>48</v>
      </c>
      <c r="C52" s="15"/>
      <c r="D52" s="15"/>
      <c r="E52" s="15"/>
      <c r="F52" s="15"/>
      <c r="G52" s="15">
        <v>0</v>
      </c>
      <c r="H52" s="15">
        <v>0</v>
      </c>
      <c r="I52" s="15"/>
      <c r="J52" s="15">
        <v>0</v>
      </c>
      <c r="K52" s="15"/>
      <c r="L52" s="51">
        <v>0</v>
      </c>
      <c r="M52" s="51"/>
      <c r="N52" s="51"/>
      <c r="O52" s="15">
        <f t="shared" si="0"/>
        <v>0</v>
      </c>
    </row>
    <row r="53" spans="1:16" ht="66.75" customHeight="1" x14ac:dyDescent="0.25">
      <c r="A53" s="26">
        <v>32102</v>
      </c>
      <c r="B53" s="8" t="s">
        <v>75</v>
      </c>
      <c r="C53" s="15"/>
      <c r="D53" s="15"/>
      <c r="E53" s="15"/>
      <c r="F53" s="15"/>
      <c r="G53" s="15">
        <v>0</v>
      </c>
      <c r="H53" s="15"/>
      <c r="I53" s="15"/>
      <c r="J53" s="15">
        <v>0</v>
      </c>
      <c r="K53" s="15"/>
      <c r="L53" s="51">
        <v>0</v>
      </c>
      <c r="M53" s="51"/>
      <c r="N53" s="51"/>
      <c r="O53" s="15">
        <f t="shared" si="0"/>
        <v>0</v>
      </c>
    </row>
    <row r="54" spans="1:16" ht="36" customHeight="1" x14ac:dyDescent="0.25">
      <c r="A54" s="26">
        <v>32102</v>
      </c>
      <c r="B54" s="8" t="s">
        <v>76</v>
      </c>
      <c r="C54" s="15"/>
      <c r="D54" s="15"/>
      <c r="E54" s="15"/>
      <c r="F54" s="15"/>
      <c r="G54" s="15"/>
      <c r="H54" s="15"/>
      <c r="I54" s="15"/>
      <c r="J54" s="15"/>
      <c r="K54" s="15">
        <v>0</v>
      </c>
      <c r="L54" s="51">
        <v>0</v>
      </c>
      <c r="M54" s="51"/>
      <c r="N54" s="51"/>
      <c r="O54" s="15">
        <f t="shared" si="0"/>
        <v>0</v>
      </c>
    </row>
    <row r="55" spans="1:16" ht="39" customHeight="1" x14ac:dyDescent="0.25">
      <c r="A55" s="26">
        <v>32102</v>
      </c>
      <c r="B55" s="8" t="s">
        <v>77</v>
      </c>
      <c r="C55" s="15"/>
      <c r="D55" s="15"/>
      <c r="E55" s="15"/>
      <c r="F55" s="15"/>
      <c r="G55" s="15"/>
      <c r="H55" s="15"/>
      <c r="I55" s="15"/>
      <c r="J55" s="15"/>
      <c r="K55" s="15"/>
      <c r="L55" s="51">
        <v>0</v>
      </c>
      <c r="M55" s="51"/>
      <c r="N55" s="51"/>
      <c r="O55" s="15">
        <f t="shared" si="0"/>
        <v>0</v>
      </c>
    </row>
    <row r="56" spans="1:16" ht="30.75" customHeight="1" x14ac:dyDescent="0.25">
      <c r="A56" s="26">
        <v>32102</v>
      </c>
      <c r="B56" s="8" t="s">
        <v>72</v>
      </c>
      <c r="C56" s="15"/>
      <c r="D56" s="15"/>
      <c r="E56" s="15"/>
      <c r="F56" s="15"/>
      <c r="G56" s="15"/>
      <c r="H56" s="15"/>
      <c r="I56" s="15"/>
      <c r="J56" s="15"/>
      <c r="K56" s="15"/>
      <c r="L56" s="51">
        <v>0</v>
      </c>
      <c r="M56" s="51"/>
      <c r="N56" s="51"/>
      <c r="O56" s="15">
        <f t="shared" si="0"/>
        <v>0</v>
      </c>
    </row>
    <row r="57" spans="1:16" ht="38.25" customHeight="1" x14ac:dyDescent="0.25">
      <c r="A57" s="26">
        <v>32201</v>
      </c>
      <c r="B57" s="8" t="s">
        <v>56</v>
      </c>
      <c r="C57" s="15"/>
      <c r="D57" s="15"/>
      <c r="E57" s="15"/>
      <c r="F57" s="15"/>
      <c r="G57" s="15"/>
      <c r="H57" s="15"/>
      <c r="I57" s="15"/>
      <c r="J57" s="15"/>
      <c r="K57" s="15"/>
      <c r="L57" s="51">
        <v>0</v>
      </c>
      <c r="M57" s="51"/>
      <c r="N57" s="51"/>
      <c r="O57" s="15">
        <f t="shared" si="0"/>
        <v>0</v>
      </c>
    </row>
    <row r="58" spans="1:16" ht="52.5" customHeight="1" x14ac:dyDescent="0.25">
      <c r="A58" s="26">
        <v>32201</v>
      </c>
      <c r="B58" s="8" t="s">
        <v>69</v>
      </c>
      <c r="C58" s="15"/>
      <c r="D58" s="15"/>
      <c r="E58" s="15"/>
      <c r="F58" s="15"/>
      <c r="G58" s="15"/>
      <c r="H58" s="15"/>
      <c r="I58" s="15"/>
      <c r="J58" s="15"/>
      <c r="K58" s="15"/>
      <c r="L58" s="51">
        <v>0</v>
      </c>
      <c r="M58" s="51"/>
      <c r="N58" s="51"/>
      <c r="O58" s="15">
        <f t="shared" si="0"/>
        <v>0</v>
      </c>
    </row>
    <row r="59" spans="1:16" ht="53.25" customHeight="1" x14ac:dyDescent="0.25">
      <c r="A59" s="26">
        <v>32201</v>
      </c>
      <c r="B59" s="8" t="s">
        <v>70</v>
      </c>
      <c r="C59" s="15"/>
      <c r="D59" s="15"/>
      <c r="E59" s="15"/>
      <c r="F59" s="15"/>
      <c r="G59" s="15"/>
      <c r="H59" s="15"/>
      <c r="I59" s="15"/>
      <c r="J59" s="15"/>
      <c r="K59" s="15"/>
      <c r="L59" s="51">
        <v>0</v>
      </c>
      <c r="M59" s="51"/>
      <c r="N59" s="51"/>
      <c r="O59" s="15">
        <f t="shared" si="0"/>
        <v>0</v>
      </c>
    </row>
    <row r="60" spans="1:16" ht="53.25" customHeight="1" x14ac:dyDescent="0.25">
      <c r="A60" s="26">
        <v>32201</v>
      </c>
      <c r="B60" s="8" t="s">
        <v>71</v>
      </c>
      <c r="C60" s="15"/>
      <c r="D60" s="15"/>
      <c r="E60" s="15"/>
      <c r="F60" s="15"/>
      <c r="G60" s="15"/>
      <c r="H60" s="15"/>
      <c r="I60" s="15"/>
      <c r="J60" s="15"/>
      <c r="K60" s="15"/>
      <c r="L60" s="51">
        <v>0</v>
      </c>
      <c r="M60" s="51"/>
      <c r="N60" s="51"/>
      <c r="O60" s="15">
        <f t="shared" si="0"/>
        <v>0</v>
      </c>
    </row>
    <row r="61" spans="1:16" ht="32.25" customHeight="1" x14ac:dyDescent="0.25">
      <c r="A61" s="63" t="s">
        <v>61</v>
      </c>
      <c r="B61" s="64"/>
      <c r="C61" s="16">
        <f t="shared" ref="C61:N61" si="1">SUM(C3:C60)</f>
        <v>368122.44</v>
      </c>
      <c r="D61" s="16">
        <f>SUM(D3:D60)</f>
        <v>359282.66000000003</v>
      </c>
      <c r="E61" s="16">
        <f t="shared" si="1"/>
        <v>289851.65999999992</v>
      </c>
      <c r="F61" s="16">
        <f t="shared" si="1"/>
        <v>207865.30999999997</v>
      </c>
      <c r="G61" s="16">
        <f t="shared" si="1"/>
        <v>313082.06</v>
      </c>
      <c r="H61" s="16">
        <f t="shared" si="1"/>
        <v>265472.24</v>
      </c>
      <c r="I61" s="16">
        <f t="shared" si="1"/>
        <v>221582.55999999991</v>
      </c>
      <c r="J61" s="16">
        <f t="shared" si="1"/>
        <v>370369.38</v>
      </c>
      <c r="K61" s="16">
        <f t="shared" si="1"/>
        <v>223624.75000000003</v>
      </c>
      <c r="L61" s="54">
        <f t="shared" si="1"/>
        <v>145929.84</v>
      </c>
      <c r="M61" s="54">
        <f t="shared" si="1"/>
        <v>446182.2</v>
      </c>
      <c r="N61" s="54">
        <f t="shared" si="1"/>
        <v>167493.37</v>
      </c>
      <c r="O61" s="15">
        <f t="shared" si="0"/>
        <v>3378858.47</v>
      </c>
    </row>
    <row r="62" spans="1:16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18">
        <f>N61+M61+L61+K61+J61+I61+H61+G61+F61+E61+D61+C61</f>
        <v>3378858.47</v>
      </c>
    </row>
    <row r="63" spans="1:16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19" t="s">
        <v>74</v>
      </c>
      <c r="M63" s="9"/>
      <c r="N63" s="9"/>
      <c r="O63" s="18">
        <f>'[1]PROYECCION DE INGRESOS 2023'!$I$68</f>
        <v>0</v>
      </c>
      <c r="P63" s="2">
        <f>O62-O63</f>
        <v>3378858.47</v>
      </c>
    </row>
    <row r="64" spans="1:16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19" t="s">
        <v>68</v>
      </c>
      <c r="N64" s="9"/>
      <c r="O64" s="18">
        <f>'[2]ANEXO 3 CONSOLIDADO DE INGRESO'!$I$55</f>
        <v>0</v>
      </c>
    </row>
    <row r="65" spans="2:15" x14ac:dyDescent="0.25">
      <c r="B65" s="1"/>
      <c r="O65" s="4">
        <f>O61-O63</f>
        <v>3378858.47</v>
      </c>
    </row>
    <row r="66" spans="2:15" x14ac:dyDescent="0.25">
      <c r="B66" s="1"/>
    </row>
    <row r="67" spans="2:15" x14ac:dyDescent="0.25">
      <c r="B67" s="1"/>
    </row>
    <row r="68" spans="2:15" x14ac:dyDescent="0.25">
      <c r="B68" s="1"/>
    </row>
    <row r="69" spans="2:15" x14ac:dyDescent="0.25">
      <c r="B69" s="1"/>
    </row>
    <row r="70" spans="2:15" x14ac:dyDescent="0.25">
      <c r="B70" s="1"/>
    </row>
    <row r="71" spans="2:15" x14ac:dyDescent="0.25">
      <c r="B71" s="1"/>
    </row>
    <row r="72" spans="2:15" x14ac:dyDescent="0.25">
      <c r="B72" s="1"/>
    </row>
    <row r="73" spans="2:15" x14ac:dyDescent="0.25">
      <c r="B73" s="1"/>
    </row>
    <row r="74" spans="2:15" x14ac:dyDescent="0.25">
      <c r="B74" s="1"/>
    </row>
    <row r="75" spans="2:15" x14ac:dyDescent="0.25">
      <c r="B75" s="1"/>
    </row>
    <row r="76" spans="2:15" x14ac:dyDescent="0.25">
      <c r="B76" s="1"/>
    </row>
    <row r="77" spans="2:15" x14ac:dyDescent="0.25">
      <c r="B77" s="1"/>
    </row>
    <row r="78" spans="2:15" x14ac:dyDescent="0.25">
      <c r="B78" s="1"/>
    </row>
    <row r="79" spans="2:15" x14ac:dyDescent="0.25">
      <c r="B79" s="1"/>
    </row>
    <row r="80" spans="2:15" x14ac:dyDescent="0.25">
      <c r="B80" s="1"/>
    </row>
    <row r="81" spans="2:2" x14ac:dyDescent="0.25">
      <c r="B81" s="1"/>
    </row>
    <row r="82" spans="2:2" x14ac:dyDescent="0.25">
      <c r="B82" s="1"/>
    </row>
    <row r="83" spans="2:2" x14ac:dyDescent="0.25">
      <c r="B83" s="1"/>
    </row>
  </sheetData>
  <mergeCells count="2">
    <mergeCell ref="A1:O1"/>
    <mergeCell ref="A61:B6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F2B0C-C6AE-458A-8C79-5005CEE69147}">
  <dimension ref="A1:P72"/>
  <sheetViews>
    <sheetView tabSelected="1" view="pageBreakPreview" zoomScale="98" zoomScaleNormal="100" zoomScaleSheetLayoutView="98" workbookViewId="0">
      <selection activeCell="O56" sqref="O56"/>
    </sheetView>
  </sheetViews>
  <sheetFormatPr baseColWidth="10" defaultRowHeight="15" x14ac:dyDescent="0.25"/>
  <cols>
    <col min="1" max="1" width="7.85546875" customWidth="1"/>
    <col min="2" max="2" width="17.85546875" customWidth="1"/>
    <col min="4" max="5" width="10.140625" customWidth="1"/>
    <col min="6" max="6" width="10.85546875" customWidth="1"/>
    <col min="7" max="7" width="9.140625" customWidth="1"/>
    <col min="8" max="8" width="10.140625" customWidth="1"/>
    <col min="9" max="9" width="10.42578125" customWidth="1"/>
    <col min="10" max="11" width="10.28515625" customWidth="1"/>
    <col min="12" max="12" width="10.140625" customWidth="1"/>
    <col min="13" max="13" width="9.5703125" customWidth="1"/>
    <col min="14" max="14" width="9.28515625" customWidth="1"/>
    <col min="15" max="15" width="12.85546875" customWidth="1"/>
    <col min="16" max="16" width="11.7109375" bestFit="1" customWidth="1"/>
  </cols>
  <sheetData>
    <row r="1" spans="1:15" ht="30.75" customHeight="1" x14ac:dyDescent="0.25">
      <c r="A1" s="62" t="s">
        <v>83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ht="64.5" customHeight="1" x14ac:dyDescent="0.25">
      <c r="A2" s="5" t="s">
        <v>14</v>
      </c>
      <c r="B2" s="11" t="s">
        <v>11</v>
      </c>
      <c r="C2" s="60">
        <v>44927</v>
      </c>
      <c r="D2" s="60">
        <v>44958</v>
      </c>
      <c r="E2" s="60">
        <v>44986</v>
      </c>
      <c r="F2" s="61">
        <v>45017</v>
      </c>
      <c r="G2" s="60">
        <v>45047</v>
      </c>
      <c r="H2" s="60">
        <v>45078</v>
      </c>
      <c r="I2" s="60">
        <v>45108</v>
      </c>
      <c r="J2" s="60">
        <v>45139</v>
      </c>
      <c r="K2" s="60">
        <v>45170</v>
      </c>
      <c r="L2" s="53">
        <v>44835</v>
      </c>
      <c r="M2" s="53">
        <v>44866</v>
      </c>
      <c r="N2" s="53">
        <v>44896</v>
      </c>
      <c r="O2" s="12" t="s">
        <v>9</v>
      </c>
    </row>
    <row r="3" spans="1:15" ht="27" customHeight="1" x14ac:dyDescent="0.25">
      <c r="A3" s="26">
        <v>11801</v>
      </c>
      <c r="B3" s="6" t="s">
        <v>15</v>
      </c>
      <c r="C3" s="15">
        <v>32622.31</v>
      </c>
      <c r="D3" s="15">
        <v>34009.18</v>
      </c>
      <c r="E3" s="15">
        <f>43695.43</f>
        <v>43695.43</v>
      </c>
      <c r="F3" s="15">
        <f>49899.84</f>
        <v>49899.839999999997</v>
      </c>
      <c r="G3" s="15">
        <f>23396.18</f>
        <v>23396.18</v>
      </c>
      <c r="H3" s="15">
        <f>55139.95</f>
        <v>55139.95</v>
      </c>
      <c r="I3" s="15">
        <f>28835.76</f>
        <v>28835.759999999998</v>
      </c>
      <c r="J3" s="15">
        <f>40831.92</f>
        <v>40831.919999999998</v>
      </c>
      <c r="K3" s="15">
        <f>16935.61</f>
        <v>16935.61</v>
      </c>
      <c r="L3" s="51">
        <v>11839.99</v>
      </c>
      <c r="M3" s="51">
        <v>112848.29</v>
      </c>
      <c r="N3" s="51">
        <v>10475.209999999999</v>
      </c>
      <c r="O3" s="15">
        <f>N3+M3+L3+K3+J3+I3+H3+G3+F3+E3+D3+C3</f>
        <v>460529.67</v>
      </c>
    </row>
    <row r="4" spans="1:15" ht="23.25" customHeight="1" x14ac:dyDescent="0.25">
      <c r="A4" s="26">
        <v>11802</v>
      </c>
      <c r="B4" s="6" t="s">
        <v>16</v>
      </c>
      <c r="C4" s="15">
        <v>13224.34</v>
      </c>
      <c r="D4" s="15">
        <v>55337.01</v>
      </c>
      <c r="E4" s="15">
        <v>64181.8</v>
      </c>
      <c r="F4" s="15">
        <f>58017.01</f>
        <v>58017.01</v>
      </c>
      <c r="G4" s="15">
        <v>83088.33</v>
      </c>
      <c r="H4" s="15">
        <v>49506.59</v>
      </c>
      <c r="I4" s="15">
        <v>53997.61</v>
      </c>
      <c r="J4" s="52">
        <v>103134.98</v>
      </c>
      <c r="K4" s="15">
        <v>52278.77</v>
      </c>
      <c r="L4" s="51">
        <v>26838.3</v>
      </c>
      <c r="M4" s="51">
        <v>116180.12</v>
      </c>
      <c r="N4" s="51">
        <v>32046.23</v>
      </c>
      <c r="O4" s="15">
        <f t="shared" ref="O4:O50" si="0">N4+M4+L4+K4+J4+I4+H4+G4+F4+E4+D4+C4</f>
        <v>707831.09</v>
      </c>
    </row>
    <row r="5" spans="1:15" ht="24" customHeight="1" x14ac:dyDescent="0.25">
      <c r="A5" s="26">
        <v>11803</v>
      </c>
      <c r="B5" s="6" t="s">
        <v>59</v>
      </c>
      <c r="C5" s="15">
        <v>4869.1000000000004</v>
      </c>
      <c r="D5" s="15">
        <v>5553.91</v>
      </c>
      <c r="E5" s="15">
        <v>4934.38</v>
      </c>
      <c r="F5" s="15">
        <v>5758.17</v>
      </c>
      <c r="G5" s="15">
        <v>5403.19</v>
      </c>
      <c r="H5" s="15">
        <v>7257.48</v>
      </c>
      <c r="I5" s="15">
        <v>5499.42</v>
      </c>
      <c r="J5" s="15">
        <v>5645.16</v>
      </c>
      <c r="K5" s="15">
        <v>5083.09</v>
      </c>
      <c r="L5" s="51">
        <v>6609.51</v>
      </c>
      <c r="M5" s="51">
        <v>5979.54</v>
      </c>
      <c r="N5" s="51">
        <v>5029.03</v>
      </c>
      <c r="O5" s="15">
        <f t="shared" si="0"/>
        <v>67621.98</v>
      </c>
    </row>
    <row r="6" spans="1:15" ht="25.5" customHeight="1" x14ac:dyDescent="0.25">
      <c r="A6" s="26">
        <v>11804</v>
      </c>
      <c r="B6" s="6" t="s">
        <v>17</v>
      </c>
      <c r="C6" s="15">
        <v>32441.71</v>
      </c>
      <c r="D6" s="15">
        <v>42607.28</v>
      </c>
      <c r="E6" s="15">
        <f>61990.41</f>
        <v>61990.41</v>
      </c>
      <c r="F6" s="15">
        <f>26882.05</f>
        <v>26882.05</v>
      </c>
      <c r="G6" s="15">
        <f>40618.45</f>
        <v>40618.449999999997</v>
      </c>
      <c r="H6" s="15">
        <f>48272.41</f>
        <v>48272.41</v>
      </c>
      <c r="I6" s="15">
        <f>48064.06</f>
        <v>48064.06</v>
      </c>
      <c r="J6" s="15">
        <f>63705.3</f>
        <v>63705.3</v>
      </c>
      <c r="K6" s="15">
        <f>46063.48</f>
        <v>46063.48</v>
      </c>
      <c r="L6" s="51">
        <v>28641.96</v>
      </c>
      <c r="M6" s="51">
        <v>63273.75</v>
      </c>
      <c r="N6" s="51">
        <v>33932.49</v>
      </c>
      <c r="O6" s="15">
        <f t="shared" si="0"/>
        <v>536493.35</v>
      </c>
    </row>
    <row r="7" spans="1:15" ht="25.5" customHeight="1" x14ac:dyDescent="0.25">
      <c r="A7" s="26">
        <v>11805</v>
      </c>
      <c r="B7" s="6" t="s">
        <v>63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50.74</v>
      </c>
      <c r="K7" s="15">
        <v>0</v>
      </c>
      <c r="L7" s="51">
        <v>0</v>
      </c>
      <c r="M7" s="51">
        <v>0</v>
      </c>
      <c r="N7" s="51">
        <v>0</v>
      </c>
      <c r="O7" s="15">
        <f t="shared" si="0"/>
        <v>50.74</v>
      </c>
    </row>
    <row r="8" spans="1:15" ht="29.25" customHeight="1" x14ac:dyDescent="0.25">
      <c r="A8" s="26">
        <v>11806</v>
      </c>
      <c r="B8" s="8" t="s">
        <v>60</v>
      </c>
      <c r="C8" s="15">
        <v>5.71</v>
      </c>
      <c r="D8" s="15">
        <v>35.409999999999997</v>
      </c>
      <c r="E8" s="15">
        <v>70.819999999999993</v>
      </c>
      <c r="F8" s="15">
        <v>91.36</v>
      </c>
      <c r="G8" s="15">
        <v>11.42</v>
      </c>
      <c r="H8" s="15">
        <v>17.13</v>
      </c>
      <c r="I8" s="15">
        <v>117.65</v>
      </c>
      <c r="J8" s="15">
        <v>0</v>
      </c>
      <c r="K8" s="15">
        <v>85.65</v>
      </c>
      <c r="L8" s="51">
        <v>17.13</v>
      </c>
      <c r="M8" s="51">
        <v>22.84</v>
      </c>
      <c r="N8" s="51">
        <v>17.13</v>
      </c>
      <c r="O8" s="15">
        <f t="shared" si="0"/>
        <v>492.24999999999994</v>
      </c>
    </row>
    <row r="9" spans="1:15" ht="30.75" customHeight="1" x14ac:dyDescent="0.25">
      <c r="A9" s="26">
        <v>11809</v>
      </c>
      <c r="B9" s="8" t="s">
        <v>18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51">
        <v>0</v>
      </c>
      <c r="M9" s="51">
        <v>0</v>
      </c>
      <c r="N9" s="51">
        <v>0</v>
      </c>
      <c r="O9" s="15">
        <f t="shared" si="0"/>
        <v>0</v>
      </c>
    </row>
    <row r="10" spans="1:15" ht="30.75" customHeight="1" x14ac:dyDescent="0.25">
      <c r="A10" s="26">
        <v>11810</v>
      </c>
      <c r="B10" s="8" t="s">
        <v>19</v>
      </c>
      <c r="C10" s="15">
        <v>122.22</v>
      </c>
      <c r="D10" s="15">
        <v>143.97</v>
      </c>
      <c r="E10" s="15">
        <v>51.4</v>
      </c>
      <c r="F10" s="15">
        <v>202.18</v>
      </c>
      <c r="G10" s="15">
        <v>82.25</v>
      </c>
      <c r="H10" s="15">
        <v>99.38</v>
      </c>
      <c r="I10" s="15">
        <v>77.67</v>
      </c>
      <c r="J10" s="15">
        <v>60.53</v>
      </c>
      <c r="K10" s="15">
        <v>87.95</v>
      </c>
      <c r="L10" s="51">
        <v>0</v>
      </c>
      <c r="M10" s="51">
        <v>9.14</v>
      </c>
      <c r="N10" s="51">
        <v>322.08</v>
      </c>
      <c r="O10" s="15">
        <f t="shared" si="0"/>
        <v>1258.7699999999998</v>
      </c>
    </row>
    <row r="11" spans="1:15" ht="32.25" customHeight="1" x14ac:dyDescent="0.25">
      <c r="A11" s="26">
        <v>11812</v>
      </c>
      <c r="B11" s="8" t="s">
        <v>49</v>
      </c>
      <c r="C11" s="15">
        <v>713.16</v>
      </c>
      <c r="D11" s="15">
        <v>0</v>
      </c>
      <c r="E11" s="15">
        <v>0</v>
      </c>
      <c r="F11" s="15">
        <v>0</v>
      </c>
      <c r="G11" s="15">
        <v>36.56</v>
      </c>
      <c r="H11" s="15">
        <v>0</v>
      </c>
      <c r="I11" s="15">
        <v>0</v>
      </c>
      <c r="J11" s="15">
        <v>0</v>
      </c>
      <c r="K11" s="15">
        <v>0</v>
      </c>
      <c r="L11" s="51">
        <v>0</v>
      </c>
      <c r="M11" s="51">
        <v>356.58</v>
      </c>
      <c r="N11" s="51">
        <v>0</v>
      </c>
      <c r="O11" s="15">
        <f t="shared" si="0"/>
        <v>1106.3</v>
      </c>
    </row>
    <row r="12" spans="1:15" ht="31.5" customHeight="1" x14ac:dyDescent="0.25">
      <c r="A12" s="26">
        <v>11813</v>
      </c>
      <c r="B12" s="8" t="s">
        <v>20</v>
      </c>
      <c r="C12" s="15">
        <v>0</v>
      </c>
      <c r="D12" s="15">
        <v>54.88</v>
      </c>
      <c r="E12" s="15">
        <v>0</v>
      </c>
      <c r="F12" s="15">
        <v>34.26</v>
      </c>
      <c r="G12" s="15">
        <v>17.149999999999999</v>
      </c>
      <c r="H12" s="15">
        <v>0</v>
      </c>
      <c r="I12" s="15">
        <v>0</v>
      </c>
      <c r="J12" s="15">
        <v>33.130000000000003</v>
      </c>
      <c r="K12" s="15">
        <v>51.39</v>
      </c>
      <c r="L12" s="51">
        <v>41.12</v>
      </c>
      <c r="M12" s="51">
        <v>0</v>
      </c>
      <c r="N12" s="51">
        <v>82.24</v>
      </c>
      <c r="O12" s="15">
        <f t="shared" si="0"/>
        <v>314.17</v>
      </c>
    </row>
    <row r="13" spans="1:15" ht="33.75" customHeight="1" x14ac:dyDescent="0.25">
      <c r="A13" s="26">
        <v>11814</v>
      </c>
      <c r="B13" s="8" t="s">
        <v>21</v>
      </c>
      <c r="C13" s="15">
        <v>19.420000000000002</v>
      </c>
      <c r="D13" s="15">
        <v>11.42</v>
      </c>
      <c r="E13" s="15">
        <v>53.69</v>
      </c>
      <c r="F13" s="15">
        <v>0</v>
      </c>
      <c r="G13" s="15">
        <v>28.55</v>
      </c>
      <c r="H13" s="15">
        <v>0</v>
      </c>
      <c r="I13" s="15">
        <v>62.81</v>
      </c>
      <c r="J13" s="15">
        <v>39.97</v>
      </c>
      <c r="K13" s="15">
        <v>92.52</v>
      </c>
      <c r="L13" s="51">
        <v>0</v>
      </c>
      <c r="M13" s="51">
        <v>0</v>
      </c>
      <c r="N13" s="51">
        <v>114.22</v>
      </c>
      <c r="O13" s="15">
        <f t="shared" si="0"/>
        <v>422.6</v>
      </c>
    </row>
    <row r="14" spans="1:15" ht="34.5" customHeight="1" x14ac:dyDescent="0.25">
      <c r="A14" s="26">
        <v>11815</v>
      </c>
      <c r="B14" s="8" t="s">
        <v>22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51">
        <v>0</v>
      </c>
      <c r="M14" s="51">
        <v>0</v>
      </c>
      <c r="N14" s="51">
        <v>0</v>
      </c>
      <c r="O14" s="15">
        <f t="shared" si="0"/>
        <v>0</v>
      </c>
    </row>
    <row r="15" spans="1:15" ht="25.5" customHeight="1" x14ac:dyDescent="0.25">
      <c r="A15" s="26">
        <v>11816</v>
      </c>
      <c r="B15" s="6" t="s">
        <v>23</v>
      </c>
      <c r="C15" s="15">
        <v>167.98</v>
      </c>
      <c r="D15" s="15">
        <v>114.28</v>
      </c>
      <c r="E15" s="15">
        <v>268.39</v>
      </c>
      <c r="F15" s="15">
        <v>319.27</v>
      </c>
      <c r="G15" s="15">
        <v>335.96</v>
      </c>
      <c r="H15" s="15">
        <v>349.05</v>
      </c>
      <c r="I15" s="15">
        <v>416.43</v>
      </c>
      <c r="J15" s="15">
        <v>656.95</v>
      </c>
      <c r="K15" s="15">
        <v>43.42</v>
      </c>
      <c r="L15" s="51">
        <v>317.62</v>
      </c>
      <c r="M15" s="51">
        <v>275.35000000000002</v>
      </c>
      <c r="N15" s="51">
        <v>1106.2</v>
      </c>
      <c r="O15" s="15">
        <f t="shared" si="0"/>
        <v>4370.8999999999996</v>
      </c>
    </row>
    <row r="16" spans="1:15" ht="24.75" customHeight="1" x14ac:dyDescent="0.25">
      <c r="A16" s="26">
        <v>11817</v>
      </c>
      <c r="B16" s="6" t="s">
        <v>50</v>
      </c>
      <c r="C16" s="15">
        <v>1330.23</v>
      </c>
      <c r="D16" s="15">
        <v>1116.79</v>
      </c>
      <c r="E16" s="15">
        <v>1951.98</v>
      </c>
      <c r="F16" s="15">
        <v>186.11</v>
      </c>
      <c r="G16" s="15">
        <v>280.33999999999997</v>
      </c>
      <c r="H16" s="15">
        <v>293.75</v>
      </c>
      <c r="I16" s="15">
        <v>1428.25</v>
      </c>
      <c r="J16" s="15">
        <v>283.04000000000002</v>
      </c>
      <c r="K16" s="15">
        <v>176.18</v>
      </c>
      <c r="L16" s="51">
        <v>206</v>
      </c>
      <c r="M16" s="51">
        <v>2116.98</v>
      </c>
      <c r="N16" s="51">
        <v>505.07</v>
      </c>
      <c r="O16" s="15">
        <f t="shared" si="0"/>
        <v>9874.7200000000012</v>
      </c>
    </row>
    <row r="17" spans="1:15" ht="31.5" customHeight="1" x14ac:dyDescent="0.25">
      <c r="A17" s="26">
        <v>11818</v>
      </c>
      <c r="B17" s="6" t="s">
        <v>51</v>
      </c>
      <c r="C17" s="15">
        <v>696.29</v>
      </c>
      <c r="D17" s="15">
        <v>150.91999999999999</v>
      </c>
      <c r="E17" s="15">
        <v>356.72</v>
      </c>
      <c r="F17" s="15">
        <v>463.05</v>
      </c>
      <c r="G17" s="15">
        <v>644.84</v>
      </c>
      <c r="H17" s="15">
        <v>1389.15</v>
      </c>
      <c r="I17" s="15">
        <v>4081.7</v>
      </c>
      <c r="J17" s="15">
        <v>792.33</v>
      </c>
      <c r="K17" s="15">
        <v>2236.36</v>
      </c>
      <c r="L17" s="51">
        <v>44.59</v>
      </c>
      <c r="M17" s="51">
        <v>2088.87</v>
      </c>
      <c r="N17" s="51">
        <v>3.43</v>
      </c>
      <c r="O17" s="15">
        <f t="shared" si="0"/>
        <v>12948.249999999996</v>
      </c>
    </row>
    <row r="18" spans="1:15" ht="44.25" customHeight="1" x14ac:dyDescent="0.25">
      <c r="A18" s="26">
        <v>11899</v>
      </c>
      <c r="B18" s="8" t="s">
        <v>24</v>
      </c>
      <c r="C18" s="15">
        <v>5968.52</v>
      </c>
      <c r="D18" s="15">
        <v>3462.44</v>
      </c>
      <c r="E18" s="15">
        <v>4536.09</v>
      </c>
      <c r="F18" s="15">
        <v>2984.21</v>
      </c>
      <c r="G18" s="15">
        <v>4643.92</v>
      </c>
      <c r="H18" s="15">
        <v>3668.6</v>
      </c>
      <c r="I18" s="15">
        <v>2405.41</v>
      </c>
      <c r="J18" s="15">
        <v>5334.46</v>
      </c>
      <c r="K18" s="15">
        <v>4305.84</v>
      </c>
      <c r="L18" s="51">
        <v>3727.35</v>
      </c>
      <c r="M18" s="51">
        <v>7089.77</v>
      </c>
      <c r="N18" s="51">
        <v>5080.2299999999996</v>
      </c>
      <c r="O18" s="15">
        <f t="shared" si="0"/>
        <v>53206.840000000011</v>
      </c>
    </row>
    <row r="19" spans="1:15" ht="57.75" customHeight="1" x14ac:dyDescent="0.25">
      <c r="A19" s="26">
        <v>12105</v>
      </c>
      <c r="B19" s="8" t="s">
        <v>25</v>
      </c>
      <c r="C19" s="15">
        <v>9679.76</v>
      </c>
      <c r="D19" s="15">
        <v>7680.6</v>
      </c>
      <c r="E19" s="15">
        <v>7759.02</v>
      </c>
      <c r="F19" s="15">
        <v>5929.45</v>
      </c>
      <c r="G19" s="15">
        <v>6345.22</v>
      </c>
      <c r="H19" s="15">
        <v>6048.35</v>
      </c>
      <c r="I19" s="15">
        <v>7490.95</v>
      </c>
      <c r="J19" s="15">
        <v>6184.25</v>
      </c>
      <c r="K19" s="15">
        <v>7480.02</v>
      </c>
      <c r="L19" s="51">
        <v>7005.02</v>
      </c>
      <c r="M19" s="51">
        <v>11317.2</v>
      </c>
      <c r="N19" s="51">
        <v>5315.48</v>
      </c>
      <c r="O19" s="15">
        <f t="shared" si="0"/>
        <v>88235.319999999992</v>
      </c>
    </row>
    <row r="20" spans="1:15" ht="44.25" customHeight="1" x14ac:dyDescent="0.25">
      <c r="A20" s="26">
        <v>12106</v>
      </c>
      <c r="B20" s="8" t="s">
        <v>26</v>
      </c>
      <c r="C20" s="15">
        <v>294</v>
      </c>
      <c r="D20" s="15">
        <v>88</v>
      </c>
      <c r="E20" s="15">
        <v>61</v>
      </c>
      <c r="F20" s="15">
        <v>23</v>
      </c>
      <c r="G20" s="15">
        <v>29</v>
      </c>
      <c r="H20" s="15">
        <v>41</v>
      </c>
      <c r="I20" s="15">
        <v>35</v>
      </c>
      <c r="J20" s="15">
        <v>33</v>
      </c>
      <c r="K20" s="15">
        <v>51</v>
      </c>
      <c r="L20" s="51">
        <v>42</v>
      </c>
      <c r="M20" s="51">
        <v>90</v>
      </c>
      <c r="N20" s="51">
        <v>245</v>
      </c>
      <c r="O20" s="15">
        <f t="shared" si="0"/>
        <v>1032</v>
      </c>
    </row>
    <row r="21" spans="1:15" ht="28.5" customHeight="1" x14ac:dyDescent="0.25">
      <c r="A21" s="26">
        <v>12108</v>
      </c>
      <c r="B21" s="8" t="s">
        <v>27</v>
      </c>
      <c r="C21" s="15">
        <v>12140.79</v>
      </c>
      <c r="D21" s="15">
        <f>6659.59</f>
        <v>6659.59</v>
      </c>
      <c r="E21" s="15">
        <f>7050.64</f>
        <v>7050.64</v>
      </c>
      <c r="F21" s="15">
        <f>4519.18</f>
        <v>4519.18</v>
      </c>
      <c r="G21" s="15">
        <f>5656.56</f>
        <v>5656.56</v>
      </c>
      <c r="H21" s="15">
        <f>6480.27</f>
        <v>6480.27</v>
      </c>
      <c r="I21" s="15">
        <f>5815.77</f>
        <v>5815.77</v>
      </c>
      <c r="J21" s="15">
        <f>5755.82</f>
        <v>5755.82</v>
      </c>
      <c r="K21" s="15">
        <v>6179.6</v>
      </c>
      <c r="L21" s="51">
        <v>4549.62</v>
      </c>
      <c r="M21" s="51">
        <v>6409.92</v>
      </c>
      <c r="N21" s="51">
        <v>10149.82</v>
      </c>
      <c r="O21" s="15">
        <f t="shared" si="0"/>
        <v>81367.580000000016</v>
      </c>
    </row>
    <row r="22" spans="1:15" ht="25.5" customHeight="1" x14ac:dyDescent="0.25">
      <c r="A22" s="26">
        <v>12109</v>
      </c>
      <c r="B22" s="6" t="s">
        <v>28</v>
      </c>
      <c r="C22" s="15">
        <v>14571.21</v>
      </c>
      <c r="D22" s="15">
        <f>13148.54</f>
        <v>13148.54</v>
      </c>
      <c r="E22" s="15">
        <f>16964.37</f>
        <v>16964.37</v>
      </c>
      <c r="F22" s="15">
        <f>8224.57</f>
        <v>8224.57</v>
      </c>
      <c r="G22" s="15">
        <f>18363.95</f>
        <v>18363.95</v>
      </c>
      <c r="H22" s="15">
        <f>12172</f>
        <v>12172</v>
      </c>
      <c r="I22" s="15">
        <f>14458.33</f>
        <v>14458.33</v>
      </c>
      <c r="J22" s="15">
        <f>20228.36</f>
        <v>20228.36</v>
      </c>
      <c r="K22" s="15">
        <f>10536.67</f>
        <v>10536.67</v>
      </c>
      <c r="L22" s="51">
        <v>11321.18</v>
      </c>
      <c r="M22" s="51">
        <v>13387.83</v>
      </c>
      <c r="N22" s="51">
        <v>14903.1</v>
      </c>
      <c r="O22" s="15">
        <f t="shared" si="0"/>
        <v>168280.11</v>
      </c>
    </row>
    <row r="23" spans="1:15" ht="31.5" customHeight="1" x14ac:dyDescent="0.25">
      <c r="A23" s="26">
        <v>12110</v>
      </c>
      <c r="B23" s="8" t="s">
        <v>29</v>
      </c>
      <c r="C23" s="15">
        <v>0</v>
      </c>
      <c r="D23" s="15">
        <v>205.92</v>
      </c>
      <c r="E23" s="15">
        <v>0</v>
      </c>
      <c r="F23" s="15">
        <v>0</v>
      </c>
      <c r="G23" s="15">
        <v>137.28</v>
      </c>
      <c r="H23" s="15">
        <v>0</v>
      </c>
      <c r="I23" s="15">
        <v>0</v>
      </c>
      <c r="J23" s="15">
        <v>274.56</v>
      </c>
      <c r="K23" s="15">
        <v>0</v>
      </c>
      <c r="L23" s="51">
        <v>0</v>
      </c>
      <c r="M23" s="51">
        <v>0</v>
      </c>
      <c r="N23" s="51">
        <v>0</v>
      </c>
      <c r="O23" s="15">
        <f t="shared" si="0"/>
        <v>617.76</v>
      </c>
    </row>
    <row r="24" spans="1:15" ht="34.5" customHeight="1" x14ac:dyDescent="0.25">
      <c r="A24" s="26">
        <v>12111</v>
      </c>
      <c r="B24" s="8" t="s">
        <v>30</v>
      </c>
      <c r="C24" s="15">
        <v>2101.09</v>
      </c>
      <c r="D24" s="15">
        <v>2220.12</v>
      </c>
      <c r="E24" s="15">
        <v>2975.45</v>
      </c>
      <c r="F24" s="15">
        <v>2795.22</v>
      </c>
      <c r="G24" s="15">
        <v>2640.66</v>
      </c>
      <c r="H24" s="15">
        <v>2147.09</v>
      </c>
      <c r="I24" s="15">
        <v>2301.9</v>
      </c>
      <c r="J24" s="15">
        <v>2961.73</v>
      </c>
      <c r="K24" s="15">
        <v>2415.92</v>
      </c>
      <c r="L24" s="51">
        <v>3586.06</v>
      </c>
      <c r="M24" s="51">
        <v>3932.8</v>
      </c>
      <c r="N24" s="51">
        <v>1389.51</v>
      </c>
      <c r="O24" s="15">
        <f t="shared" si="0"/>
        <v>31467.550000000003</v>
      </c>
    </row>
    <row r="25" spans="1:15" ht="26.25" customHeight="1" x14ac:dyDescent="0.25">
      <c r="A25" s="26">
        <v>12112</v>
      </c>
      <c r="B25" s="8" t="s">
        <v>62</v>
      </c>
      <c r="C25" s="15">
        <v>320</v>
      </c>
      <c r="D25" s="15">
        <v>4170</v>
      </c>
      <c r="E25" s="15">
        <v>4300</v>
      </c>
      <c r="F25" s="15">
        <v>80</v>
      </c>
      <c r="G25" s="15">
        <v>80</v>
      </c>
      <c r="H25" s="15">
        <v>84</v>
      </c>
      <c r="I25" s="15">
        <v>3700</v>
      </c>
      <c r="J25" s="15">
        <v>80</v>
      </c>
      <c r="K25" s="15">
        <v>360</v>
      </c>
      <c r="L25" s="51">
        <v>242</v>
      </c>
      <c r="M25" s="51">
        <v>480</v>
      </c>
      <c r="N25" s="51">
        <v>246</v>
      </c>
      <c r="O25" s="15">
        <f t="shared" si="0"/>
        <v>14142</v>
      </c>
    </row>
    <row r="26" spans="1:15" ht="26.25" customHeight="1" x14ac:dyDescent="0.25">
      <c r="A26" s="26">
        <v>12114</v>
      </c>
      <c r="B26" s="6" t="s">
        <v>31</v>
      </c>
      <c r="C26" s="15">
        <v>8466.8799999999992</v>
      </c>
      <c r="D26" s="15">
        <f>12252.16</f>
        <v>12252.16</v>
      </c>
      <c r="E26" s="15">
        <f>11874.75</f>
        <v>11874.75</v>
      </c>
      <c r="F26" s="15">
        <f>8519.61</f>
        <v>8519.61</v>
      </c>
      <c r="G26" s="15">
        <f>13937.57</f>
        <v>13937.57</v>
      </c>
      <c r="H26" s="15">
        <f>11799.36</f>
        <v>11799.36</v>
      </c>
      <c r="I26" s="15">
        <f>9014.44</f>
        <v>9014.44</v>
      </c>
      <c r="J26" s="15">
        <f>15693.06</f>
        <v>15693.06</v>
      </c>
      <c r="K26" s="15">
        <f>9075.22</f>
        <v>9075.2199999999993</v>
      </c>
      <c r="L26" s="51">
        <v>6140.05</v>
      </c>
      <c r="M26" s="51">
        <v>20457.7</v>
      </c>
      <c r="N26" s="51">
        <v>7178.67</v>
      </c>
      <c r="O26" s="15">
        <f t="shared" si="0"/>
        <v>134409.47</v>
      </c>
    </row>
    <row r="27" spans="1:15" ht="26.25" customHeight="1" x14ac:dyDescent="0.25">
      <c r="A27" s="26">
        <v>12115</v>
      </c>
      <c r="B27" s="6" t="s">
        <v>32</v>
      </c>
      <c r="C27" s="15">
        <v>22618.97</v>
      </c>
      <c r="D27" s="15">
        <v>12628</v>
      </c>
      <c r="E27" s="15">
        <v>14672.95</v>
      </c>
      <c r="F27" s="15">
        <v>12058.25</v>
      </c>
      <c r="G27" s="15">
        <v>12492.75</v>
      </c>
      <c r="H27" s="15">
        <v>12460.25</v>
      </c>
      <c r="I27" s="15">
        <v>12843.75</v>
      </c>
      <c r="J27" s="15">
        <v>12955.75</v>
      </c>
      <c r="K27" s="15">
        <v>10921.95</v>
      </c>
      <c r="L27" s="51">
        <v>13624.75</v>
      </c>
      <c r="M27" s="51">
        <v>12783.75</v>
      </c>
      <c r="N27" s="51">
        <v>13123.35</v>
      </c>
      <c r="O27" s="15">
        <f t="shared" si="0"/>
        <v>163184.47</v>
      </c>
    </row>
    <row r="28" spans="1:15" ht="26.25" customHeight="1" x14ac:dyDescent="0.25">
      <c r="A28" s="26">
        <v>121151</v>
      </c>
      <c r="B28" s="6" t="s">
        <v>73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51">
        <v>0</v>
      </c>
      <c r="M28" s="51">
        <v>0</v>
      </c>
      <c r="N28" s="51">
        <v>0</v>
      </c>
      <c r="O28" s="15">
        <f t="shared" si="0"/>
        <v>0</v>
      </c>
    </row>
    <row r="29" spans="1:15" ht="28.5" customHeight="1" x14ac:dyDescent="0.25">
      <c r="A29" s="26">
        <v>12117</v>
      </c>
      <c r="B29" s="6" t="s">
        <v>33</v>
      </c>
      <c r="C29" s="15">
        <v>4818.66</v>
      </c>
      <c r="D29" s="15">
        <f>2750.23</f>
        <v>2750.23</v>
      </c>
      <c r="E29" s="15">
        <f>2821.96</f>
        <v>2821.96</v>
      </c>
      <c r="F29" s="15">
        <v>1843.55</v>
      </c>
      <c r="G29" s="15">
        <f>2590.11</f>
        <v>2590.11</v>
      </c>
      <c r="H29" s="15">
        <f>2581.79</f>
        <v>2581.79</v>
      </c>
      <c r="I29" s="15">
        <f>2147.44</f>
        <v>2147.44</v>
      </c>
      <c r="J29" s="15">
        <f>2193.84</f>
        <v>2193.84</v>
      </c>
      <c r="K29" s="15">
        <f>2426.05</f>
        <v>2426.0500000000002</v>
      </c>
      <c r="L29" s="51">
        <v>1873.79</v>
      </c>
      <c r="M29" s="51">
        <v>2338.12</v>
      </c>
      <c r="N29" s="51">
        <v>3603.33</v>
      </c>
      <c r="O29" s="15">
        <f t="shared" si="0"/>
        <v>31988.87</v>
      </c>
    </row>
    <row r="30" spans="1:15" ht="36.75" customHeight="1" x14ac:dyDescent="0.25">
      <c r="A30" s="26">
        <v>12118</v>
      </c>
      <c r="B30" s="8" t="s">
        <v>34</v>
      </c>
      <c r="C30" s="15">
        <v>9480</v>
      </c>
      <c r="D30" s="15">
        <v>60718</v>
      </c>
      <c r="E30" s="15">
        <v>8538.36</v>
      </c>
      <c r="F30" s="15">
        <v>87.01</v>
      </c>
      <c r="G30" s="15">
        <v>65870</v>
      </c>
      <c r="H30" s="15">
        <v>9652</v>
      </c>
      <c r="I30" s="15">
        <v>1268</v>
      </c>
      <c r="J30" s="15">
        <v>62706.92</v>
      </c>
      <c r="K30" s="15">
        <v>6588</v>
      </c>
      <c r="L30" s="51">
        <v>13665.94</v>
      </c>
      <c r="M30" s="51">
        <v>60055.58</v>
      </c>
      <c r="N30" s="51">
        <v>3939.72</v>
      </c>
      <c r="O30" s="15">
        <f t="shared" si="0"/>
        <v>302569.53000000003</v>
      </c>
    </row>
    <row r="31" spans="1:15" ht="25.5" customHeight="1" x14ac:dyDescent="0.25">
      <c r="A31" s="26">
        <v>12119</v>
      </c>
      <c r="B31" s="8" t="s">
        <v>35</v>
      </c>
      <c r="C31" s="15">
        <v>95</v>
      </c>
      <c r="D31" s="15">
        <v>65</v>
      </c>
      <c r="E31" s="15">
        <v>55</v>
      </c>
      <c r="F31" s="15">
        <v>0</v>
      </c>
      <c r="G31" s="15">
        <v>10</v>
      </c>
      <c r="H31" s="15">
        <v>0</v>
      </c>
      <c r="I31" s="15">
        <v>20</v>
      </c>
      <c r="J31" s="15">
        <v>5</v>
      </c>
      <c r="K31" s="15">
        <v>10</v>
      </c>
      <c r="L31" s="51">
        <v>5</v>
      </c>
      <c r="M31" s="51">
        <v>5</v>
      </c>
      <c r="N31" s="51">
        <v>5</v>
      </c>
      <c r="O31" s="15">
        <f t="shared" si="0"/>
        <v>275</v>
      </c>
    </row>
    <row r="32" spans="1:15" ht="26.25" customHeight="1" x14ac:dyDescent="0.25">
      <c r="A32" s="26">
        <v>12120</v>
      </c>
      <c r="B32" s="8" t="s">
        <v>36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51">
        <v>0</v>
      </c>
      <c r="M32" s="51">
        <v>0</v>
      </c>
      <c r="N32" s="51">
        <v>0</v>
      </c>
      <c r="O32" s="15">
        <f t="shared" si="0"/>
        <v>0</v>
      </c>
    </row>
    <row r="33" spans="1:15" ht="27" customHeight="1" x14ac:dyDescent="0.25">
      <c r="A33" s="26">
        <v>12199</v>
      </c>
      <c r="B33" s="6" t="s">
        <v>37</v>
      </c>
      <c r="C33" s="15">
        <v>605.69000000000005</v>
      </c>
      <c r="D33" s="15">
        <v>725.64</v>
      </c>
      <c r="E33" s="15">
        <v>742.81</v>
      </c>
      <c r="F33" s="15">
        <v>502.79</v>
      </c>
      <c r="G33" s="15">
        <v>434.24</v>
      </c>
      <c r="H33" s="15">
        <v>388.54</v>
      </c>
      <c r="I33" s="15">
        <v>274.27</v>
      </c>
      <c r="J33" s="15">
        <v>348.54</v>
      </c>
      <c r="K33" s="15">
        <v>371.42</v>
      </c>
      <c r="L33" s="51">
        <v>434.28</v>
      </c>
      <c r="M33" s="51">
        <v>302.83</v>
      </c>
      <c r="N33" s="51">
        <v>531.37</v>
      </c>
      <c r="O33" s="15">
        <f t="shared" si="0"/>
        <v>5662.42</v>
      </c>
    </row>
    <row r="34" spans="1:15" ht="41.25" customHeight="1" x14ac:dyDescent="0.25">
      <c r="A34" s="26">
        <v>12210</v>
      </c>
      <c r="B34" s="8" t="s">
        <v>38</v>
      </c>
      <c r="C34" s="15">
        <v>17537.93</v>
      </c>
      <c r="D34" s="15">
        <v>2698.47</v>
      </c>
      <c r="E34" s="15">
        <v>4299.62</v>
      </c>
      <c r="F34" s="15">
        <v>1993.65</v>
      </c>
      <c r="G34" s="15">
        <v>8090.06</v>
      </c>
      <c r="H34" s="15">
        <v>23682.82</v>
      </c>
      <c r="I34" s="15">
        <v>2577.83</v>
      </c>
      <c r="J34" s="15">
        <v>1045.6199999999999</v>
      </c>
      <c r="K34" s="15">
        <v>19739</v>
      </c>
      <c r="L34" s="51">
        <v>1308.75</v>
      </c>
      <c r="M34" s="51">
        <v>2175.7199999999998</v>
      </c>
      <c r="N34" s="51">
        <v>12994.07</v>
      </c>
      <c r="O34" s="15">
        <f t="shared" si="0"/>
        <v>98143.540000000008</v>
      </c>
    </row>
    <row r="35" spans="1:15" ht="21" customHeight="1" x14ac:dyDescent="0.25">
      <c r="A35" s="26">
        <v>12211</v>
      </c>
      <c r="B35" s="8" t="s">
        <v>39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51">
        <v>0</v>
      </c>
      <c r="M35" s="51">
        <v>0</v>
      </c>
      <c r="N35" s="51">
        <v>0</v>
      </c>
      <c r="O35" s="15">
        <f t="shared" si="0"/>
        <v>0</v>
      </c>
    </row>
    <row r="36" spans="1:15" ht="21.75" customHeight="1" x14ac:dyDescent="0.25">
      <c r="A36" s="26">
        <v>12299</v>
      </c>
      <c r="B36" s="8" t="s">
        <v>40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51">
        <v>0</v>
      </c>
      <c r="M36" s="51">
        <v>0</v>
      </c>
      <c r="N36" s="51">
        <v>0</v>
      </c>
      <c r="O36" s="15">
        <f t="shared" si="0"/>
        <v>0</v>
      </c>
    </row>
    <row r="37" spans="1:15" ht="29.25" customHeight="1" x14ac:dyDescent="0.25">
      <c r="A37" s="26">
        <v>14201</v>
      </c>
      <c r="B37" s="8" t="s">
        <v>41</v>
      </c>
      <c r="C37" s="15">
        <v>735</v>
      </c>
      <c r="D37" s="15">
        <v>447</v>
      </c>
      <c r="E37" s="15">
        <v>372</v>
      </c>
      <c r="F37" s="15">
        <v>396</v>
      </c>
      <c r="G37" s="15">
        <v>84</v>
      </c>
      <c r="H37" s="15">
        <v>330</v>
      </c>
      <c r="I37" s="15">
        <v>213</v>
      </c>
      <c r="J37" s="15">
        <v>366</v>
      </c>
      <c r="K37" s="15">
        <v>807</v>
      </c>
      <c r="L37" s="51">
        <v>402</v>
      </c>
      <c r="M37" s="51">
        <v>189</v>
      </c>
      <c r="N37" s="51">
        <v>606</v>
      </c>
      <c r="O37" s="15">
        <f t="shared" si="0"/>
        <v>4947</v>
      </c>
    </row>
    <row r="38" spans="1:15" ht="21.75" customHeight="1" x14ac:dyDescent="0.25">
      <c r="A38" s="26">
        <v>14299</v>
      </c>
      <c r="B38" s="8" t="s">
        <v>64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51">
        <v>0</v>
      </c>
      <c r="M38" s="51">
        <v>0</v>
      </c>
      <c r="N38" s="51">
        <v>0</v>
      </c>
      <c r="O38" s="15">
        <f t="shared" si="0"/>
        <v>0</v>
      </c>
    </row>
    <row r="39" spans="1:15" ht="30" customHeight="1" x14ac:dyDescent="0.25">
      <c r="A39" s="26">
        <v>14399</v>
      </c>
      <c r="B39" s="8" t="s">
        <v>58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51">
        <v>11.42</v>
      </c>
      <c r="M39" s="51">
        <v>68.52</v>
      </c>
      <c r="N39" s="51">
        <v>11.42</v>
      </c>
      <c r="O39" s="15">
        <f t="shared" si="0"/>
        <v>91.36</v>
      </c>
    </row>
    <row r="40" spans="1:15" ht="30.75" customHeight="1" x14ac:dyDescent="0.25">
      <c r="A40" s="26">
        <v>15301</v>
      </c>
      <c r="B40" s="8" t="s">
        <v>65</v>
      </c>
      <c r="C40" s="15">
        <v>0</v>
      </c>
      <c r="D40" s="15">
        <v>0</v>
      </c>
      <c r="E40" s="52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51">
        <v>1104.5999999999999</v>
      </c>
      <c r="M40" s="51">
        <v>0</v>
      </c>
      <c r="N40" s="51">
        <v>0</v>
      </c>
      <c r="O40" s="15">
        <f t="shared" si="0"/>
        <v>1104.5999999999999</v>
      </c>
    </row>
    <row r="41" spans="1:15" ht="32.25" customHeight="1" x14ac:dyDescent="0.25">
      <c r="A41" s="26">
        <v>15302</v>
      </c>
      <c r="B41" s="8" t="s">
        <v>42</v>
      </c>
      <c r="C41" s="15">
        <v>0</v>
      </c>
      <c r="D41" s="15">
        <v>0</v>
      </c>
      <c r="E41" s="52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51">
        <v>1235.26</v>
      </c>
      <c r="M41" s="51">
        <v>0</v>
      </c>
      <c r="N41" s="51">
        <v>0</v>
      </c>
      <c r="O41" s="15">
        <f t="shared" si="0"/>
        <v>1235.26</v>
      </c>
    </row>
    <row r="42" spans="1:15" ht="41.25" customHeight="1" x14ac:dyDescent="0.25">
      <c r="A42" s="26">
        <v>15310</v>
      </c>
      <c r="B42" s="8" t="s">
        <v>66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51">
        <v>0</v>
      </c>
      <c r="M42" s="51">
        <v>0</v>
      </c>
      <c r="N42" s="51">
        <v>0</v>
      </c>
      <c r="O42" s="15">
        <f t="shared" si="0"/>
        <v>0</v>
      </c>
    </row>
    <row r="43" spans="1:15" ht="40.5" customHeight="1" x14ac:dyDescent="0.25">
      <c r="A43" s="26">
        <v>15312</v>
      </c>
      <c r="B43" s="8" t="s">
        <v>67</v>
      </c>
      <c r="C43" s="15">
        <v>74.099999999999994</v>
      </c>
      <c r="D43" s="15">
        <v>65.55</v>
      </c>
      <c r="E43" s="15">
        <v>94.05</v>
      </c>
      <c r="F43" s="15">
        <v>42.75</v>
      </c>
      <c r="G43" s="15">
        <v>48.45</v>
      </c>
      <c r="H43" s="15">
        <v>51.3</v>
      </c>
      <c r="I43" s="15">
        <v>74.099999999999994</v>
      </c>
      <c r="J43" s="15">
        <v>34.200000000000003</v>
      </c>
      <c r="K43" s="15">
        <v>45.6</v>
      </c>
      <c r="L43" s="51">
        <v>51.3</v>
      </c>
      <c r="M43" s="51">
        <v>88.35</v>
      </c>
      <c r="N43" s="51">
        <v>51.3</v>
      </c>
      <c r="O43" s="15">
        <f t="shared" si="0"/>
        <v>721.05</v>
      </c>
    </row>
    <row r="44" spans="1:15" ht="40.5" customHeight="1" x14ac:dyDescent="0.25">
      <c r="A44" s="26">
        <v>15313</v>
      </c>
      <c r="B44" s="8" t="s">
        <v>85</v>
      </c>
      <c r="C44" s="15">
        <v>0</v>
      </c>
      <c r="D44" s="15">
        <v>0</v>
      </c>
      <c r="E44" s="15">
        <v>365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51"/>
      <c r="M44" s="51"/>
      <c r="N44" s="51"/>
      <c r="O44" s="15">
        <f t="shared" si="0"/>
        <v>365</v>
      </c>
    </row>
    <row r="45" spans="1:15" ht="34.5" customHeight="1" x14ac:dyDescent="0.25">
      <c r="A45" s="26">
        <v>15314</v>
      </c>
      <c r="B45" s="8" t="s">
        <v>43</v>
      </c>
      <c r="C45" s="15">
        <v>0</v>
      </c>
      <c r="D45" s="15">
        <v>0</v>
      </c>
      <c r="E45" s="15">
        <v>0</v>
      </c>
      <c r="F45" s="15">
        <v>0</v>
      </c>
      <c r="G45" s="15">
        <v>11.43</v>
      </c>
      <c r="H45" s="15">
        <v>57.15</v>
      </c>
      <c r="I45" s="15">
        <v>34.29</v>
      </c>
      <c r="J45" s="15">
        <v>235.19</v>
      </c>
      <c r="K45" s="15">
        <v>171.44</v>
      </c>
      <c r="L45" s="51">
        <v>445.77</v>
      </c>
      <c r="M45" s="51">
        <v>398.58</v>
      </c>
      <c r="N45" s="51">
        <v>114.29</v>
      </c>
      <c r="O45" s="15">
        <f t="shared" si="0"/>
        <v>1468.14</v>
      </c>
    </row>
    <row r="46" spans="1:15" ht="36.75" customHeight="1" x14ac:dyDescent="0.25">
      <c r="A46" s="26">
        <v>15402</v>
      </c>
      <c r="B46" s="8" t="s">
        <v>44</v>
      </c>
      <c r="C46" s="15">
        <v>198.79</v>
      </c>
      <c r="D46" s="15">
        <v>170.87</v>
      </c>
      <c r="E46" s="15">
        <v>253.49</v>
      </c>
      <c r="F46" s="15">
        <v>75.150000000000006</v>
      </c>
      <c r="G46" s="15">
        <v>274.06</v>
      </c>
      <c r="H46" s="15">
        <v>335.19</v>
      </c>
      <c r="I46" s="15">
        <v>0</v>
      </c>
      <c r="J46" s="15">
        <v>1651.7</v>
      </c>
      <c r="K46" s="15">
        <v>75.150000000000006</v>
      </c>
      <c r="L46" s="51">
        <v>246.02</v>
      </c>
      <c r="M46" s="51">
        <v>75.150000000000006</v>
      </c>
      <c r="N46" s="51">
        <v>4302.57</v>
      </c>
      <c r="O46" s="15">
        <f t="shared" si="0"/>
        <v>7658.1399999999985</v>
      </c>
    </row>
    <row r="47" spans="1:15" ht="34.5" customHeight="1" x14ac:dyDescent="0.25">
      <c r="A47" s="26">
        <v>15703</v>
      </c>
      <c r="B47" s="8" t="s">
        <v>45</v>
      </c>
      <c r="C47" s="15">
        <v>12427.39</v>
      </c>
      <c r="D47" s="15">
        <v>12427.39</v>
      </c>
      <c r="E47" s="15">
        <v>12427.39</v>
      </c>
      <c r="F47" s="15">
        <v>12427.39</v>
      </c>
      <c r="G47" s="15">
        <v>12427.4</v>
      </c>
      <c r="H47" s="52">
        <v>0</v>
      </c>
      <c r="I47" s="52">
        <v>0</v>
      </c>
      <c r="J47" s="52">
        <v>0</v>
      </c>
      <c r="K47" s="52">
        <v>0</v>
      </c>
      <c r="L47" s="51">
        <v>0</v>
      </c>
      <c r="M47" s="51">
        <v>0</v>
      </c>
      <c r="N47" s="51">
        <v>0</v>
      </c>
      <c r="O47" s="15">
        <f t="shared" si="0"/>
        <v>62136.959999999999</v>
      </c>
    </row>
    <row r="48" spans="1:15" ht="32.25" customHeight="1" x14ac:dyDescent="0.25">
      <c r="A48" s="26">
        <v>15799</v>
      </c>
      <c r="B48" s="8" t="s">
        <v>46</v>
      </c>
      <c r="C48" s="15">
        <v>51.15</v>
      </c>
      <c r="D48" s="15">
        <v>450.9</v>
      </c>
      <c r="E48" s="15">
        <v>107.36</v>
      </c>
      <c r="F48" s="15">
        <v>201.77</v>
      </c>
      <c r="G48" s="15">
        <v>420.45</v>
      </c>
      <c r="H48" s="15">
        <v>1037.17</v>
      </c>
      <c r="I48" s="15">
        <v>95.86</v>
      </c>
      <c r="J48" s="15">
        <v>0</v>
      </c>
      <c r="K48" s="15">
        <v>402.15</v>
      </c>
      <c r="L48" s="51">
        <v>351.46</v>
      </c>
      <c r="M48" s="51">
        <v>1384.92</v>
      </c>
      <c r="N48" s="51">
        <v>69.81</v>
      </c>
      <c r="O48" s="15">
        <f t="shared" si="0"/>
        <v>4573</v>
      </c>
    </row>
    <row r="49" spans="1:16" ht="42" customHeight="1" x14ac:dyDescent="0.25">
      <c r="A49" s="26">
        <v>21201</v>
      </c>
      <c r="B49" s="8" t="s">
        <v>47</v>
      </c>
      <c r="C49" s="15"/>
      <c r="D49" s="15">
        <v>1157.44</v>
      </c>
      <c r="E49" s="15">
        <v>35.69</v>
      </c>
      <c r="F49" s="15"/>
      <c r="G49" s="15">
        <v>11.98</v>
      </c>
      <c r="H49" s="15">
        <v>0</v>
      </c>
      <c r="I49" s="15"/>
      <c r="J49" s="15">
        <v>88.28</v>
      </c>
      <c r="K49" s="15">
        <v>215.22</v>
      </c>
      <c r="L49" s="51">
        <v>0</v>
      </c>
      <c r="M49" s="51"/>
      <c r="N49" s="51"/>
      <c r="O49" s="15">
        <f t="shared" si="0"/>
        <v>1508.6100000000001</v>
      </c>
    </row>
    <row r="50" spans="1:16" ht="32.25" customHeight="1" x14ac:dyDescent="0.25">
      <c r="A50" s="68" t="s">
        <v>61</v>
      </c>
      <c r="B50" s="68"/>
      <c r="C50" s="16">
        <f t="shared" ref="C50:N50" si="1">SUM(C3:C49)</f>
        <v>208397.4</v>
      </c>
      <c r="D50" s="16">
        <f t="shared" si="1"/>
        <v>283326.91000000009</v>
      </c>
      <c r="E50" s="16">
        <f t="shared" si="1"/>
        <v>277862.02</v>
      </c>
      <c r="F50" s="16">
        <f t="shared" si="1"/>
        <v>204556.84999999995</v>
      </c>
      <c r="G50" s="16">
        <f t="shared" si="1"/>
        <v>308542.31</v>
      </c>
      <c r="H50" s="16">
        <f t="shared" si="1"/>
        <v>255341.77000000002</v>
      </c>
      <c r="I50" s="16">
        <f t="shared" si="1"/>
        <v>207351.69999999995</v>
      </c>
      <c r="J50" s="16">
        <f t="shared" si="1"/>
        <v>353410.33000000007</v>
      </c>
      <c r="K50" s="16">
        <f t="shared" si="1"/>
        <v>205311.67000000004</v>
      </c>
      <c r="L50" s="54">
        <f t="shared" si="1"/>
        <v>145929.84</v>
      </c>
      <c r="M50" s="54">
        <f t="shared" si="1"/>
        <v>446182.2</v>
      </c>
      <c r="N50" s="54">
        <f t="shared" si="1"/>
        <v>167493.37</v>
      </c>
      <c r="O50" s="15">
        <f>N50+M50+L50+K50+J50+I50+H50+G50+F50+E50+D50+C50</f>
        <v>3063706.37</v>
      </c>
    </row>
    <row r="51" spans="1:16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18">
        <f>N50+M50+L50+K50+J50+I50+H50+G50+F50+E50+D50+C50</f>
        <v>3063706.37</v>
      </c>
    </row>
    <row r="52" spans="1:16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19" t="s">
        <v>74</v>
      </c>
      <c r="M52" s="9"/>
      <c r="N52" s="9"/>
      <c r="O52" s="18">
        <f>'[1]PROYECCION DE INGRESOS 2023'!$I$68</f>
        <v>0</v>
      </c>
      <c r="P52" s="2">
        <f>O51-O52</f>
        <v>3063706.37</v>
      </c>
    </row>
    <row r="53" spans="1:16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19" t="s">
        <v>68</v>
      </c>
      <c r="N53" s="9"/>
      <c r="O53" s="18">
        <f>'[2]ANEXO 3 CONSOLIDADO DE INGRESO'!$I$55</f>
        <v>0</v>
      </c>
    </row>
    <row r="54" spans="1:16" x14ac:dyDescent="0.25">
      <c r="B54" s="9"/>
      <c r="C54" s="9"/>
      <c r="D54" s="9"/>
      <c r="E54" s="9"/>
      <c r="F54" s="9"/>
      <c r="G54" s="9"/>
      <c r="H54" s="9"/>
      <c r="I54" s="9"/>
      <c r="J54" s="9"/>
      <c r="K54" s="9"/>
      <c r="L54" s="19" t="s">
        <v>74</v>
      </c>
      <c r="M54" s="9"/>
      <c r="N54" s="9"/>
      <c r="O54" s="18">
        <f>'[1]PROYECCION DE INGRESOS 2023'!$I$68</f>
        <v>0</v>
      </c>
    </row>
    <row r="55" spans="1:16" x14ac:dyDescent="0.25">
      <c r="B55" s="9" t="s">
        <v>102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19"/>
      <c r="N55" s="9"/>
      <c r="O55" s="18"/>
    </row>
    <row r="56" spans="1:16" ht="15.75" x14ac:dyDescent="0.25">
      <c r="B56" s="56"/>
      <c r="C56" s="56"/>
      <c r="D56" s="56"/>
      <c r="E56" s="56"/>
      <c r="F56" s="56"/>
      <c r="O56" s="4"/>
    </row>
    <row r="57" spans="1:16" ht="16.5" x14ac:dyDescent="0.3">
      <c r="B57" s="57">
        <v>12118</v>
      </c>
      <c r="C57" s="59">
        <v>16444</v>
      </c>
      <c r="D57" s="57" t="s">
        <v>103</v>
      </c>
      <c r="E57" s="57">
        <v>12</v>
      </c>
      <c r="F57" s="67">
        <f>+C57*E57</f>
        <v>197328</v>
      </c>
      <c r="G57" s="67"/>
      <c r="I57" t="s">
        <v>104</v>
      </c>
    </row>
    <row r="58" spans="1:16" ht="16.5" x14ac:dyDescent="0.3">
      <c r="B58" s="57"/>
      <c r="C58" s="59"/>
      <c r="D58" s="57"/>
      <c r="E58" s="57"/>
      <c r="F58" s="58"/>
    </row>
    <row r="59" spans="1:16" ht="16.5" x14ac:dyDescent="0.3">
      <c r="B59" s="57">
        <v>12114</v>
      </c>
      <c r="C59" s="59">
        <v>822.2</v>
      </c>
      <c r="D59" s="57" t="s">
        <v>103</v>
      </c>
      <c r="E59" s="57">
        <v>12</v>
      </c>
      <c r="F59" s="67">
        <f>+C59*E59</f>
        <v>9866.4000000000015</v>
      </c>
      <c r="G59" s="67"/>
      <c r="I59" s="69">
        <f>+O50+F57+F59</f>
        <v>3270900.77</v>
      </c>
      <c r="J59" s="69"/>
    </row>
    <row r="60" spans="1:16" x14ac:dyDescent="0.25">
      <c r="B60" s="1"/>
    </row>
    <row r="61" spans="1:16" x14ac:dyDescent="0.25">
      <c r="B61" s="1"/>
    </row>
    <row r="62" spans="1:16" x14ac:dyDescent="0.25">
      <c r="B62" s="1"/>
    </row>
    <row r="63" spans="1:16" x14ac:dyDescent="0.25">
      <c r="B63" s="1"/>
    </row>
    <row r="64" spans="1:16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  <row r="72" spans="2:2" x14ac:dyDescent="0.25">
      <c r="B72" s="1"/>
    </row>
  </sheetData>
  <mergeCells count="5">
    <mergeCell ref="A1:O1"/>
    <mergeCell ref="A50:B50"/>
    <mergeCell ref="F57:G57"/>
    <mergeCell ref="F59:G59"/>
    <mergeCell ref="I59:J59"/>
  </mergeCells>
  <pageMargins left="0.70866141732283472" right="0.70866141732283472" top="0.74803149606299213" bottom="0.74803149606299213" header="0.31496062992125984" footer="0.31496062992125984"/>
  <pageSetup scale="7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Hoja1</vt:lpstr>
      <vt:lpstr>FONDOS PROPIOS</vt:lpstr>
      <vt:lpstr>FODES-FAM</vt:lpstr>
      <vt:lpstr>INGRESOS</vt:lpstr>
      <vt:lpstr>ingresos con9%mora</vt:lpstr>
      <vt:lpstr>ingresos reales</vt:lpstr>
      <vt:lpstr>'ingresos reales'!Área_de_impresión</vt:lpstr>
      <vt:lpstr>Hoja1!Títulos_a_imprimir</vt:lpstr>
    </vt:vector>
  </TitlesOfParts>
  <Company>Alcaldìa Municipal de Acajutla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MORDONEZ</dc:creator>
  <cp:lastModifiedBy>Edith Angélica Martínez Bonilla</cp:lastModifiedBy>
  <cp:lastPrinted>2024-02-19T22:55:01Z</cp:lastPrinted>
  <dcterms:created xsi:type="dcterms:W3CDTF">2018-09-11T14:44:24Z</dcterms:created>
  <dcterms:modified xsi:type="dcterms:W3CDTF">2024-02-19T22:55:11Z</dcterms:modified>
</cp:coreProperties>
</file>