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879" firstSheet="10" activeTab="12"/>
  </bookViews>
  <sheets>
    <sheet name="Estruct. Presupuestaria" sheetId="12" r:id="rId1"/>
    <sheet name="Ingresos" sheetId="2" r:id="rId2"/>
    <sheet name="Ingresos F.F." sheetId="13" r:id="rId3"/>
    <sheet name="Saldo en Bancos " sheetId="11" r:id="rId4"/>
    <sheet name="Egresos F. F." sheetId="9" r:id="rId5"/>
    <sheet name="Egresos" sheetId="3" r:id="rId6"/>
    <sheet name="Hoja5" sheetId="27" state="hidden" r:id="rId7"/>
    <sheet name="Endeudamiento " sheetId="21" r:id="rId8"/>
    <sheet name="Remuneraciones" sheetId="14" r:id="rId9"/>
    <sheet name="Proy. Inv. Econ." sheetId="8" r:id="rId10"/>
    <sheet name="Proy. Inv. Soc." sheetId="16" r:id="rId11"/>
    <sheet name="Centro Respons." sheetId="6" r:id="rId12"/>
    <sheet name="CONSOLIDADO" sheetId="15" r:id="rId13"/>
    <sheet name="Hoja4" sheetId="31" r:id="rId14"/>
    <sheet name="RESUMEN 1" sheetId="4" r:id="rId15"/>
    <sheet name="RESUMEN 2" sheetId="10" r:id="rId16"/>
    <sheet name="RESUMEN 3" sheetId="18" r:id="rId17"/>
    <sheet name="RESUMEN 4" sheetId="19" r:id="rId18"/>
    <sheet name="RESUMEN 5" sheetId="20" r:id="rId19"/>
    <sheet name="Proy.Ingresos" sheetId="22" r:id="rId20"/>
    <sheet name="Hoja1" sheetId="32" r:id="rId21"/>
  </sheets>
  <externalReferences>
    <externalReference r:id="rId22"/>
    <externalReference r:id="rId23"/>
    <externalReference r:id="rId24"/>
  </externalReferences>
  <calcPr calcId="181029"/>
</workbook>
</file>

<file path=xl/calcChain.xml><?xml version="1.0" encoding="utf-8"?>
<calcChain xmlns="http://schemas.openxmlformats.org/spreadsheetml/2006/main">
  <c r="H74" i="22" l="1"/>
  <c r="F47" i="6"/>
  <c r="F37" i="6"/>
  <c r="E37" i="6"/>
  <c r="D37" i="6"/>
  <c r="C37" i="6"/>
  <c r="F29" i="6"/>
  <c r="E29" i="6"/>
  <c r="D29" i="6"/>
  <c r="F27" i="6"/>
  <c r="E27" i="6"/>
  <c r="D27" i="6"/>
  <c r="F26" i="6"/>
  <c r="E26" i="6"/>
  <c r="D26" i="6"/>
  <c r="F25" i="6"/>
  <c r="E25" i="6"/>
  <c r="D25" i="6"/>
  <c r="F23" i="6"/>
  <c r="E23" i="6"/>
  <c r="D23" i="6"/>
  <c r="F22" i="6"/>
  <c r="E22" i="6"/>
  <c r="D22" i="6"/>
  <c r="F20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F11" i="6"/>
  <c r="E11" i="6"/>
  <c r="D11" i="6"/>
  <c r="C29" i="6"/>
  <c r="C27" i="6"/>
  <c r="C26" i="6"/>
  <c r="C25" i="6"/>
  <c r="C23" i="6"/>
  <c r="C22" i="6"/>
  <c r="C16" i="6"/>
  <c r="C15" i="6"/>
  <c r="C14" i="6"/>
  <c r="C13" i="6"/>
  <c r="C11" i="6"/>
  <c r="D24" i="19"/>
  <c r="I17" i="16"/>
  <c r="I34" i="16"/>
  <c r="I35" i="16"/>
  <c r="D48" i="8"/>
  <c r="I65" i="8"/>
  <c r="I66" i="8"/>
  <c r="I67" i="8"/>
  <c r="I63" i="8"/>
  <c r="I64" i="8"/>
  <c r="I41" i="8"/>
  <c r="I42" i="8"/>
  <c r="I43" i="8"/>
  <c r="I49" i="8"/>
  <c r="I47" i="8"/>
  <c r="I51" i="8"/>
  <c r="H85" i="13"/>
  <c r="C82" i="13"/>
  <c r="E82" i="2"/>
  <c r="F81" i="2" s="1"/>
  <c r="E84" i="2"/>
  <c r="I40" i="8"/>
  <c r="D17" i="16"/>
  <c r="D45" i="8"/>
  <c r="G16" i="8"/>
  <c r="E14" i="16"/>
  <c r="E32" i="16"/>
  <c r="I24" i="16"/>
  <c r="I75" i="8"/>
  <c r="F53" i="8"/>
  <c r="I28" i="8" l="1"/>
  <c r="I27" i="8"/>
  <c r="I26" i="8"/>
  <c r="I74" i="8" l="1"/>
  <c r="G47" i="22" l="1"/>
  <c r="G46" i="22"/>
  <c r="G45" i="22"/>
  <c r="G44" i="22"/>
  <c r="G42" i="22"/>
  <c r="G41" i="22"/>
  <c r="G39" i="22"/>
  <c r="G38" i="22"/>
  <c r="G40" i="22"/>
  <c r="G36" i="22"/>
  <c r="G35" i="22"/>
  <c r="G34" i="22"/>
  <c r="G33" i="22"/>
  <c r="G32" i="22"/>
  <c r="G31" i="22"/>
  <c r="G30" i="22"/>
  <c r="G28" i="22"/>
  <c r="G27" i="22"/>
  <c r="G26" i="22"/>
  <c r="G25" i="22"/>
  <c r="G23" i="22"/>
  <c r="G22" i="22"/>
  <c r="G21" i="22"/>
  <c r="G20" i="22"/>
  <c r="G19" i="22"/>
  <c r="G18" i="22"/>
  <c r="G17" i="22"/>
  <c r="G16" i="22"/>
  <c r="G14" i="22"/>
  <c r="G12" i="22"/>
  <c r="G11" i="22"/>
  <c r="G10" i="22"/>
  <c r="G9" i="22"/>
  <c r="G8" i="22"/>
  <c r="G7" i="22"/>
  <c r="G6" i="22"/>
  <c r="C50" i="22" l="1"/>
  <c r="E117" i="3" l="1"/>
  <c r="Q70" i="15" l="1"/>
  <c r="Q60" i="15"/>
  <c r="Q59" i="15" s="1"/>
  <c r="P60" i="15"/>
  <c r="P59" i="15" s="1"/>
  <c r="O60" i="15"/>
  <c r="O59" i="15" s="1"/>
  <c r="N60" i="15"/>
  <c r="Q52" i="15"/>
  <c r="P52" i="15"/>
  <c r="O52" i="15"/>
  <c r="N52" i="15"/>
  <c r="Q50" i="15"/>
  <c r="P50" i="15"/>
  <c r="O50" i="15"/>
  <c r="N50" i="15"/>
  <c r="Q49" i="15"/>
  <c r="P49" i="15"/>
  <c r="O49" i="15"/>
  <c r="N49" i="15"/>
  <c r="Q48" i="15"/>
  <c r="P48" i="15"/>
  <c r="O48" i="15"/>
  <c r="N48" i="15"/>
  <c r="Q46" i="15"/>
  <c r="P46" i="15"/>
  <c r="O46" i="15"/>
  <c r="N46" i="15"/>
  <c r="Q45" i="15"/>
  <c r="P45" i="15"/>
  <c r="O45" i="15"/>
  <c r="N45" i="15"/>
  <c r="Q43" i="15"/>
  <c r="Q39" i="15"/>
  <c r="P39" i="15"/>
  <c r="O39" i="15"/>
  <c r="N39" i="15"/>
  <c r="Q38" i="15"/>
  <c r="P38" i="15"/>
  <c r="O38" i="15"/>
  <c r="N38" i="15"/>
  <c r="Q37" i="15"/>
  <c r="P37" i="15"/>
  <c r="O37" i="15"/>
  <c r="N37" i="15"/>
  <c r="Q36" i="15"/>
  <c r="P36" i="15"/>
  <c r="O36" i="15"/>
  <c r="N36" i="15"/>
  <c r="Q35" i="15"/>
  <c r="Q34" i="15"/>
  <c r="P34" i="15"/>
  <c r="O34" i="15"/>
  <c r="O33" i="15" l="1"/>
  <c r="P33" i="15"/>
  <c r="Q33" i="15"/>
  <c r="N34" i="15"/>
  <c r="F16" i="8" l="1"/>
  <c r="I44" i="8"/>
  <c r="C29" i="9" l="1"/>
  <c r="D70" i="8" l="1"/>
  <c r="H136" i="15" l="1"/>
  <c r="G48" i="8"/>
  <c r="L132" i="15" s="1"/>
  <c r="E48" i="8"/>
  <c r="F48" i="8"/>
  <c r="I31" i="16"/>
  <c r="I62" i="8"/>
  <c r="I68" i="8"/>
  <c r="I52" i="8"/>
  <c r="I36" i="8"/>
  <c r="I37" i="8"/>
  <c r="I38" i="8"/>
  <c r="I29" i="8"/>
  <c r="I30" i="8"/>
  <c r="I31" i="8"/>
  <c r="I32" i="8"/>
  <c r="I33" i="8"/>
  <c r="I34" i="8"/>
  <c r="I35" i="8"/>
  <c r="D32" i="16" l="1"/>
  <c r="F54" i="11" l="1"/>
  <c r="D60" i="13"/>
  <c r="D31" i="13"/>
  <c r="D45" i="13"/>
  <c r="D56" i="13"/>
  <c r="D51" i="13"/>
  <c r="D50" i="13" s="1"/>
  <c r="D67" i="13"/>
  <c r="D69" i="13"/>
  <c r="D55" i="13" l="1"/>
  <c r="D30" i="13"/>
  <c r="F60" i="8"/>
  <c r="E53" i="8"/>
  <c r="G53" i="8"/>
  <c r="H53" i="8"/>
  <c r="E45" i="8"/>
  <c r="F45" i="8"/>
  <c r="G45" i="8"/>
  <c r="H45" i="8"/>
  <c r="I25" i="8"/>
  <c r="G50" i="22" l="1"/>
  <c r="F50" i="22" l="1"/>
  <c r="E50" i="22"/>
  <c r="D50" i="22"/>
  <c r="K128" i="15" l="1"/>
  <c r="R34" i="15" l="1"/>
  <c r="N53" i="15" l="1"/>
  <c r="G70" i="8" l="1"/>
  <c r="I50" i="22"/>
  <c r="L136" i="15" l="1"/>
  <c r="D32" i="19"/>
  <c r="C90" i="14"/>
  <c r="I56" i="8" l="1"/>
  <c r="I132" i="15"/>
  <c r="D53" i="8"/>
  <c r="H48" i="8" l="1"/>
  <c r="H16" i="8"/>
  <c r="E70" i="2" l="1"/>
  <c r="E74" i="2"/>
  <c r="I28" i="16" l="1"/>
  <c r="I29" i="16"/>
  <c r="E57" i="6" l="1"/>
  <c r="D57" i="6"/>
  <c r="C57" i="6"/>
  <c r="F52" i="6"/>
  <c r="E52" i="6"/>
  <c r="D52" i="6"/>
  <c r="C52" i="6"/>
  <c r="F30" i="6"/>
  <c r="E30" i="6"/>
  <c r="D30" i="6"/>
  <c r="C30" i="6"/>
  <c r="M129" i="15" l="1"/>
  <c r="I69" i="8"/>
  <c r="G60" i="8"/>
  <c r="L135" i="15" s="1"/>
  <c r="D60" i="8"/>
  <c r="I22" i="8" l="1"/>
  <c r="I23" i="8"/>
  <c r="I24" i="8"/>
  <c r="I53" i="8"/>
  <c r="O15" i="15" l="1"/>
  <c r="I48" i="8" l="1"/>
  <c r="I25" i="16"/>
  <c r="I26" i="16"/>
  <c r="I27" i="16"/>
  <c r="I30" i="16"/>
  <c r="I33" i="16"/>
  <c r="I36" i="16"/>
  <c r="D54" i="11" l="1"/>
  <c r="G23" i="19" l="1"/>
  <c r="N21" i="15" l="1"/>
  <c r="M92" i="15" l="1"/>
  <c r="M91" i="15" s="1"/>
  <c r="M139" i="15"/>
  <c r="M138" i="15" s="1"/>
  <c r="E93" i="3"/>
  <c r="D112" i="14"/>
  <c r="E192" i="9"/>
  <c r="C189" i="9"/>
  <c r="D120" i="3" l="1"/>
  <c r="E108" i="3"/>
  <c r="I50" i="8"/>
  <c r="AB137" i="15"/>
  <c r="AB143" i="15"/>
  <c r="AB147" i="15"/>
  <c r="AB105" i="15"/>
  <c r="AB113" i="15"/>
  <c r="L130" i="15" l="1"/>
  <c r="L129" i="15" s="1"/>
  <c r="U136" i="15"/>
  <c r="U130" i="15"/>
  <c r="L92" i="15" l="1"/>
  <c r="L91" i="15" s="1"/>
  <c r="L139" i="15"/>
  <c r="L138" i="15" s="1"/>
  <c r="L124" i="15" l="1"/>
  <c r="L114" i="15" s="1"/>
  <c r="L151" i="15" s="1"/>
  <c r="G17" i="18" s="1"/>
  <c r="D16" i="8"/>
  <c r="H84" i="13" l="1"/>
  <c r="E75" i="3" l="1"/>
  <c r="D90" i="14"/>
  <c r="D34" i="14"/>
  <c r="R90" i="15"/>
  <c r="AB90" i="15" s="1"/>
  <c r="O107" i="15"/>
  <c r="Q88" i="15"/>
  <c r="I65" i="6"/>
  <c r="F65" i="6" l="1"/>
  <c r="G67" i="6"/>
  <c r="I46" i="8" l="1"/>
  <c r="I131" i="15"/>
  <c r="K131" i="15" l="1"/>
  <c r="AB131" i="15" s="1"/>
  <c r="G62" i="22"/>
  <c r="H62" i="22" s="1"/>
  <c r="G61" i="22"/>
  <c r="H61" i="22" s="1"/>
  <c r="F83" i="22"/>
  <c r="G83" i="22" s="1"/>
  <c r="F82" i="22"/>
  <c r="G82" i="22" s="1"/>
  <c r="F81" i="22"/>
  <c r="G81" i="22" s="1"/>
  <c r="F80" i="22"/>
  <c r="G80" i="22" l="1"/>
  <c r="I79" i="8" l="1"/>
  <c r="X136" i="15"/>
  <c r="X132" i="15"/>
  <c r="R119" i="15" l="1"/>
  <c r="K94" i="15"/>
  <c r="G71" i="6" l="1"/>
  <c r="H71" i="6" s="1"/>
  <c r="F24" i="18" l="1"/>
  <c r="I120" i="15" l="1"/>
  <c r="Q115" i="15"/>
  <c r="Q114" i="15" s="1"/>
  <c r="O139" i="15"/>
  <c r="O138" i="15" s="1"/>
  <c r="R141" i="15"/>
  <c r="N107" i="15"/>
  <c r="R107" i="15" s="1"/>
  <c r="Q75" i="15"/>
  <c r="Q53" i="15"/>
  <c r="H47" i="14"/>
  <c r="R95" i="15"/>
  <c r="G38" i="15"/>
  <c r="R150" i="15"/>
  <c r="R149" i="15"/>
  <c r="R148" i="15"/>
  <c r="R146" i="15"/>
  <c r="R145" i="15"/>
  <c r="R144" i="15"/>
  <c r="R142" i="15"/>
  <c r="R140" i="15"/>
  <c r="R136" i="15"/>
  <c r="R135" i="15"/>
  <c r="R134" i="15"/>
  <c r="R133" i="15"/>
  <c r="R132" i="15"/>
  <c r="R130" i="15"/>
  <c r="R128" i="15"/>
  <c r="R127" i="15"/>
  <c r="R126" i="15"/>
  <c r="R125" i="15"/>
  <c r="R124" i="15"/>
  <c r="R123" i="15"/>
  <c r="R122" i="15"/>
  <c r="R121" i="15"/>
  <c r="R120" i="15"/>
  <c r="R118" i="15"/>
  <c r="R117" i="15"/>
  <c r="R116" i="15"/>
  <c r="R112" i="15"/>
  <c r="R111" i="15"/>
  <c r="R110" i="15"/>
  <c r="R108" i="15"/>
  <c r="R104" i="15"/>
  <c r="R103" i="15"/>
  <c r="R102" i="15"/>
  <c r="R100" i="15"/>
  <c r="R99" i="15"/>
  <c r="R98" i="15"/>
  <c r="R96" i="15"/>
  <c r="R94" i="15"/>
  <c r="R93" i="15"/>
  <c r="R89" i="15"/>
  <c r="R88" i="15"/>
  <c r="R87" i="15"/>
  <c r="R86" i="15"/>
  <c r="R85" i="15"/>
  <c r="R84" i="15"/>
  <c r="R83" i="15"/>
  <c r="R82" i="15"/>
  <c r="R81" i="15"/>
  <c r="R79" i="15"/>
  <c r="R78" i="15"/>
  <c r="R77" i="15"/>
  <c r="R76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Q29" i="15"/>
  <c r="P29" i="15"/>
  <c r="O29" i="15"/>
  <c r="N29" i="15"/>
  <c r="R31" i="15"/>
  <c r="R30" i="15"/>
  <c r="R28" i="15"/>
  <c r="R27" i="15"/>
  <c r="Q26" i="15"/>
  <c r="R25" i="15"/>
  <c r="R24" i="15"/>
  <c r="Q23" i="15"/>
  <c r="P23" i="15"/>
  <c r="O23" i="15"/>
  <c r="R22" i="15"/>
  <c r="Q21" i="15"/>
  <c r="R20" i="15"/>
  <c r="Q19" i="15"/>
  <c r="G18" i="15"/>
  <c r="F17" i="15"/>
  <c r="G17" i="15" s="1"/>
  <c r="Q17" i="15"/>
  <c r="P17" i="15"/>
  <c r="O17" i="15"/>
  <c r="N17" i="15"/>
  <c r="R18" i="15"/>
  <c r="Q15" i="15"/>
  <c r="Q10" i="15"/>
  <c r="R16" i="15"/>
  <c r="R14" i="15"/>
  <c r="R13" i="15"/>
  <c r="R12" i="15"/>
  <c r="R11" i="15"/>
  <c r="Q32" i="15" l="1"/>
  <c r="Q9" i="15"/>
  <c r="R17" i="15"/>
  <c r="R138" i="15"/>
  <c r="R139" i="15"/>
  <c r="R29" i="15"/>
  <c r="Q151" i="15" l="1"/>
  <c r="E14" i="18" s="1"/>
  <c r="H20" i="21"/>
  <c r="H19" i="21"/>
  <c r="H15" i="21"/>
  <c r="H14" i="21"/>
  <c r="H13" i="21"/>
  <c r="G18" i="21"/>
  <c r="F18" i="21"/>
  <c r="F17" i="21" s="1"/>
  <c r="E18" i="21"/>
  <c r="E17" i="21" s="1"/>
  <c r="D18" i="21"/>
  <c r="D17" i="21" s="1"/>
  <c r="G17" i="21"/>
  <c r="G12" i="21"/>
  <c r="G11" i="21" s="1"/>
  <c r="F12" i="21"/>
  <c r="F11" i="21" s="1"/>
  <c r="E12" i="21"/>
  <c r="E11" i="21" s="1"/>
  <c r="D12" i="21"/>
  <c r="D11" i="21" s="1"/>
  <c r="C12" i="21"/>
  <c r="C18" i="21"/>
  <c r="C17" i="21" s="1"/>
  <c r="G25" i="21" l="1"/>
  <c r="H12" i="21"/>
  <c r="H11" i="21" s="1"/>
  <c r="E25" i="21"/>
  <c r="F25" i="21"/>
  <c r="D25" i="21"/>
  <c r="G70" i="6"/>
  <c r="H70" i="6" s="1"/>
  <c r="D95" i="14"/>
  <c r="H95" i="14" s="1"/>
  <c r="H18" i="21"/>
  <c r="H17" i="21" s="1"/>
  <c r="C11" i="21"/>
  <c r="C25" i="21" s="1"/>
  <c r="D97" i="14"/>
  <c r="I43" i="19"/>
  <c r="I42" i="19"/>
  <c r="I41" i="19"/>
  <c r="I40" i="19"/>
  <c r="I38" i="19"/>
  <c r="I36" i="19"/>
  <c r="I34" i="19"/>
  <c r="I32" i="19"/>
  <c r="I30" i="19"/>
  <c r="I22" i="19"/>
  <c r="I21" i="19"/>
  <c r="I19" i="19"/>
  <c r="I17" i="19"/>
  <c r="I15" i="19"/>
  <c r="I13" i="19"/>
  <c r="I11" i="19"/>
  <c r="H25" i="21" l="1"/>
  <c r="H44" i="19"/>
  <c r="G44" i="19"/>
  <c r="F44" i="19"/>
  <c r="I22" i="18"/>
  <c r="I21" i="18"/>
  <c r="I19" i="18"/>
  <c r="I18" i="18"/>
  <c r="I16" i="18"/>
  <c r="I15" i="18"/>
  <c r="K111" i="15" l="1"/>
  <c r="K110" i="15"/>
  <c r="K109" i="15"/>
  <c r="Q109" i="15"/>
  <c r="I124" i="15"/>
  <c r="D10" i="8"/>
  <c r="H17" i="16"/>
  <c r="G17" i="16"/>
  <c r="F17" i="16"/>
  <c r="E17" i="16"/>
  <c r="H132" i="15"/>
  <c r="I23" i="16"/>
  <c r="I22" i="16"/>
  <c r="I21" i="16"/>
  <c r="I20" i="16"/>
  <c r="I12" i="16"/>
  <c r="I19" i="16"/>
  <c r="I18" i="16"/>
  <c r="I11" i="16"/>
  <c r="H10" i="16"/>
  <c r="G10" i="16"/>
  <c r="F10" i="16"/>
  <c r="E10" i="16"/>
  <c r="F14" i="16" l="1"/>
  <c r="F37" i="16" s="1"/>
  <c r="H14" i="16"/>
  <c r="H37" i="16" s="1"/>
  <c r="G14" i="16"/>
  <c r="G37" i="16" s="1"/>
  <c r="E37" i="16"/>
  <c r="D10" i="16"/>
  <c r="F139" i="15"/>
  <c r="F138" i="15" s="1"/>
  <c r="E139" i="15"/>
  <c r="E138" i="15" s="1"/>
  <c r="D139" i="15"/>
  <c r="D138" i="15" s="1"/>
  <c r="C139" i="15"/>
  <c r="C138" i="15" s="1"/>
  <c r="G142" i="15"/>
  <c r="G141" i="15"/>
  <c r="G140" i="15"/>
  <c r="F29" i="15"/>
  <c r="E29" i="15"/>
  <c r="D29" i="15"/>
  <c r="C29" i="15"/>
  <c r="G30" i="15"/>
  <c r="G136" i="15"/>
  <c r="G135" i="15"/>
  <c r="G134" i="15"/>
  <c r="G132" i="15"/>
  <c r="G130" i="15"/>
  <c r="F124" i="15"/>
  <c r="E124" i="15"/>
  <c r="D124" i="15"/>
  <c r="C124" i="15"/>
  <c r="G128" i="15"/>
  <c r="G127" i="15"/>
  <c r="G126" i="15"/>
  <c r="G125" i="15"/>
  <c r="F120" i="15"/>
  <c r="E120" i="15"/>
  <c r="D120" i="15"/>
  <c r="C120" i="15"/>
  <c r="G123" i="15"/>
  <c r="G122" i="15"/>
  <c r="G121" i="15"/>
  <c r="F115" i="15"/>
  <c r="E115" i="15"/>
  <c r="D115" i="15"/>
  <c r="C115" i="15"/>
  <c r="G119" i="15"/>
  <c r="G118" i="15"/>
  <c r="G117" i="15"/>
  <c r="G116" i="15"/>
  <c r="G112" i="15"/>
  <c r="G111" i="15"/>
  <c r="AB111" i="15" s="1"/>
  <c r="G110" i="15"/>
  <c r="AB110" i="15" s="1"/>
  <c r="F109" i="15"/>
  <c r="E109" i="15"/>
  <c r="D109" i="15"/>
  <c r="C109" i="15"/>
  <c r="G108" i="15"/>
  <c r="F107" i="15"/>
  <c r="E107" i="15"/>
  <c r="D107" i="15"/>
  <c r="F101" i="15"/>
  <c r="E101" i="15"/>
  <c r="D101" i="15"/>
  <c r="G104" i="15"/>
  <c r="G103" i="15"/>
  <c r="G102" i="15"/>
  <c r="F97" i="15"/>
  <c r="E97" i="15"/>
  <c r="D97" i="15"/>
  <c r="G100" i="15"/>
  <c r="G99" i="15"/>
  <c r="G98" i="15"/>
  <c r="G96" i="15"/>
  <c r="G95" i="15"/>
  <c r="G94" i="15"/>
  <c r="AB94" i="15" s="1"/>
  <c r="G93" i="15"/>
  <c r="F92" i="15"/>
  <c r="E92" i="15"/>
  <c r="G89" i="15"/>
  <c r="AB89" i="15" s="1"/>
  <c r="F88" i="15"/>
  <c r="E88" i="15"/>
  <c r="D88" i="15"/>
  <c r="C88" i="15"/>
  <c r="F80" i="15"/>
  <c r="E80" i="15"/>
  <c r="D80" i="15"/>
  <c r="G87" i="15"/>
  <c r="G86" i="15"/>
  <c r="AB86" i="15" s="1"/>
  <c r="G85" i="15"/>
  <c r="AB85" i="15" s="1"/>
  <c r="G84" i="15"/>
  <c r="AB84" i="15" s="1"/>
  <c r="G83" i="15"/>
  <c r="G82" i="15"/>
  <c r="G81" i="15"/>
  <c r="F75" i="15"/>
  <c r="E75" i="15"/>
  <c r="D75" i="15"/>
  <c r="G79" i="15"/>
  <c r="G78" i="15"/>
  <c r="G77" i="15"/>
  <c r="G76" i="15"/>
  <c r="F59" i="15"/>
  <c r="E59" i="15"/>
  <c r="D59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8" i="15"/>
  <c r="G57" i="15"/>
  <c r="G56" i="15"/>
  <c r="G55" i="15"/>
  <c r="G54" i="15"/>
  <c r="F53" i="15"/>
  <c r="E53" i="15"/>
  <c r="D53" i="15"/>
  <c r="C53" i="15"/>
  <c r="F33" i="15"/>
  <c r="E33" i="15"/>
  <c r="D3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7" i="15"/>
  <c r="G36" i="15"/>
  <c r="G35" i="15"/>
  <c r="G34" i="15"/>
  <c r="C23" i="15"/>
  <c r="G23" i="15" s="1"/>
  <c r="F21" i="15"/>
  <c r="E21" i="15"/>
  <c r="D21" i="15"/>
  <c r="C21" i="15"/>
  <c r="F19" i="15"/>
  <c r="E19" i="15"/>
  <c r="D19" i="15"/>
  <c r="C19" i="15"/>
  <c r="C26" i="15"/>
  <c r="G26" i="15" s="1"/>
  <c r="G25" i="15"/>
  <c r="G24" i="15"/>
  <c r="G22" i="15"/>
  <c r="G20" i="15"/>
  <c r="F15" i="15"/>
  <c r="G15" i="15" s="1"/>
  <c r="G16" i="15"/>
  <c r="F10" i="15"/>
  <c r="G14" i="15"/>
  <c r="G13" i="15"/>
  <c r="G12" i="15"/>
  <c r="G11" i="15"/>
  <c r="F91" i="15" l="1"/>
  <c r="G107" i="15"/>
  <c r="F114" i="15"/>
  <c r="G19" i="15"/>
  <c r="G21" i="15"/>
  <c r="E106" i="15"/>
  <c r="G115" i="15"/>
  <c r="G139" i="15"/>
  <c r="I10" i="16"/>
  <c r="G29" i="15"/>
  <c r="D114" i="15"/>
  <c r="D106" i="15"/>
  <c r="F106" i="15"/>
  <c r="G53" i="15"/>
  <c r="G88" i="15"/>
  <c r="AB88" i="15" s="1"/>
  <c r="G124" i="15"/>
  <c r="G97" i="15"/>
  <c r="G101" i="15"/>
  <c r="F9" i="15"/>
  <c r="F32" i="15"/>
  <c r="G138" i="15" l="1"/>
  <c r="F151" i="15"/>
  <c r="E14" i="10" s="1"/>
  <c r="K150" i="15"/>
  <c r="G150" i="15"/>
  <c r="K149" i="15"/>
  <c r="G149" i="15"/>
  <c r="K148" i="15"/>
  <c r="G148" i="15"/>
  <c r="K146" i="15"/>
  <c r="G146" i="15"/>
  <c r="K145" i="15"/>
  <c r="G145" i="15"/>
  <c r="K144" i="15"/>
  <c r="G144" i="15"/>
  <c r="K142" i="15"/>
  <c r="AB142" i="15" s="1"/>
  <c r="K141" i="15"/>
  <c r="AB141" i="15" s="1"/>
  <c r="K140" i="15"/>
  <c r="AB140" i="15" s="1"/>
  <c r="J139" i="15"/>
  <c r="K139" i="15" s="1"/>
  <c r="AB139" i="15" s="1"/>
  <c r="K132" i="15"/>
  <c r="AB132" i="15" s="1"/>
  <c r="AA129" i="15"/>
  <c r="AA114" i="15" s="1"/>
  <c r="Z129" i="15"/>
  <c r="Z114" i="15" s="1"/>
  <c r="Y129" i="15"/>
  <c r="Y114" i="15" s="1"/>
  <c r="X129" i="15"/>
  <c r="X114" i="15" s="1"/>
  <c r="W129" i="15"/>
  <c r="W114" i="15" s="1"/>
  <c r="W151" i="15" s="1"/>
  <c r="V129" i="15"/>
  <c r="V114" i="15" s="1"/>
  <c r="V151" i="15" s="1"/>
  <c r="U129" i="15"/>
  <c r="U114" i="15" s="1"/>
  <c r="U151" i="15" s="1"/>
  <c r="H20" i="18" s="1"/>
  <c r="H24" i="18" s="1"/>
  <c r="T129" i="15"/>
  <c r="T114" i="15" s="1"/>
  <c r="T151" i="15" s="1"/>
  <c r="S129" i="15"/>
  <c r="S114" i="15" s="1"/>
  <c r="S151" i="15" s="1"/>
  <c r="P129" i="15"/>
  <c r="O129" i="15"/>
  <c r="N129" i="15"/>
  <c r="J129" i="15"/>
  <c r="E129" i="15"/>
  <c r="E114" i="15" s="1"/>
  <c r="C129" i="15"/>
  <c r="C114" i="15" s="1"/>
  <c r="AB128" i="15"/>
  <c r="K127" i="15"/>
  <c r="AB127" i="15" s="1"/>
  <c r="K126" i="15"/>
  <c r="AB126" i="15" s="1"/>
  <c r="K125" i="15"/>
  <c r="AB125" i="15" s="1"/>
  <c r="H124" i="15"/>
  <c r="K124" i="15" s="1"/>
  <c r="AB124" i="15" s="1"/>
  <c r="K123" i="15"/>
  <c r="AB123" i="15" s="1"/>
  <c r="K122" i="15"/>
  <c r="AB122" i="15" s="1"/>
  <c r="K121" i="15"/>
  <c r="AB121" i="15" s="1"/>
  <c r="K120" i="15"/>
  <c r="G120" i="15"/>
  <c r="K119" i="15"/>
  <c r="AB119" i="15" s="1"/>
  <c r="K118" i="15"/>
  <c r="AB118" i="15" s="1"/>
  <c r="K117" i="15"/>
  <c r="AB117" i="15" s="1"/>
  <c r="K116" i="15"/>
  <c r="AB116" i="15" s="1"/>
  <c r="P115" i="15"/>
  <c r="O115" i="15"/>
  <c r="N115" i="15"/>
  <c r="J115" i="15"/>
  <c r="I115" i="15"/>
  <c r="H115" i="15"/>
  <c r="K112" i="15"/>
  <c r="AB112" i="15" s="1"/>
  <c r="P109" i="15"/>
  <c r="O109" i="15"/>
  <c r="O106" i="15" s="1"/>
  <c r="N109" i="15"/>
  <c r="K108" i="15"/>
  <c r="AB108" i="15" s="1"/>
  <c r="K107" i="15"/>
  <c r="AB107" i="15" s="1"/>
  <c r="C107" i="15"/>
  <c r="C106" i="15" s="1"/>
  <c r="K106" i="15"/>
  <c r="K104" i="15"/>
  <c r="AB104" i="15" s="1"/>
  <c r="K103" i="15"/>
  <c r="AB103" i="15" s="1"/>
  <c r="K102" i="15"/>
  <c r="AB102" i="15" s="1"/>
  <c r="AA101" i="15"/>
  <c r="Z101" i="15"/>
  <c r="Y101" i="15"/>
  <c r="X101" i="15"/>
  <c r="W101" i="15"/>
  <c r="V101" i="15"/>
  <c r="U101" i="15"/>
  <c r="T101" i="15"/>
  <c r="S101" i="15"/>
  <c r="P101" i="15"/>
  <c r="O101" i="15"/>
  <c r="N101" i="15"/>
  <c r="J101" i="15"/>
  <c r="I101" i="15"/>
  <c r="H101" i="15"/>
  <c r="C101" i="15"/>
  <c r="K100" i="15"/>
  <c r="AB100" i="15" s="1"/>
  <c r="K99" i="15"/>
  <c r="AB99" i="15" s="1"/>
  <c r="K98" i="15"/>
  <c r="AB98" i="15" s="1"/>
  <c r="AA97" i="15"/>
  <c r="Z97" i="15"/>
  <c r="Y97" i="15"/>
  <c r="X97" i="15"/>
  <c r="W97" i="15"/>
  <c r="V97" i="15"/>
  <c r="U97" i="15"/>
  <c r="T97" i="15"/>
  <c r="S97" i="15"/>
  <c r="P97" i="15"/>
  <c r="O97" i="15"/>
  <c r="N97" i="15"/>
  <c r="J97" i="15"/>
  <c r="I97" i="15"/>
  <c r="H97" i="15"/>
  <c r="E91" i="15"/>
  <c r="C97" i="15"/>
  <c r="K96" i="15"/>
  <c r="AB96" i="15" s="1"/>
  <c r="K95" i="15"/>
  <c r="AB95" i="15" s="1"/>
  <c r="K93" i="15"/>
  <c r="AB93" i="15" s="1"/>
  <c r="AA92" i="15"/>
  <c r="Z92" i="15"/>
  <c r="Y92" i="15"/>
  <c r="X92" i="15"/>
  <c r="W92" i="15"/>
  <c r="V92" i="15"/>
  <c r="U92" i="15"/>
  <c r="T92" i="15"/>
  <c r="S92" i="15"/>
  <c r="P92" i="15"/>
  <c r="O92" i="15"/>
  <c r="N92" i="15"/>
  <c r="J92" i="15"/>
  <c r="I92" i="15"/>
  <c r="H92" i="15"/>
  <c r="D92" i="15"/>
  <c r="C92" i="15"/>
  <c r="K87" i="15"/>
  <c r="AB87" i="15" s="1"/>
  <c r="K83" i="15"/>
  <c r="AB83" i="15" s="1"/>
  <c r="K82" i="15"/>
  <c r="AB82" i="15" s="1"/>
  <c r="K81" i="15"/>
  <c r="AB81" i="15" s="1"/>
  <c r="AA80" i="15"/>
  <c r="Z80" i="15"/>
  <c r="Y80" i="15"/>
  <c r="X80" i="15"/>
  <c r="W80" i="15"/>
  <c r="V80" i="15"/>
  <c r="U80" i="15"/>
  <c r="T80" i="15"/>
  <c r="S80" i="15"/>
  <c r="P80" i="15"/>
  <c r="O80" i="15"/>
  <c r="N80" i="15"/>
  <c r="J80" i="15"/>
  <c r="I80" i="15"/>
  <c r="H80" i="15"/>
  <c r="C80" i="15"/>
  <c r="G80" i="15" s="1"/>
  <c r="K79" i="15"/>
  <c r="AB79" i="15" s="1"/>
  <c r="K78" i="15"/>
  <c r="AB78" i="15" s="1"/>
  <c r="K77" i="15"/>
  <c r="AB77" i="15" s="1"/>
  <c r="K76" i="15"/>
  <c r="AB76" i="15" s="1"/>
  <c r="P75" i="15"/>
  <c r="O75" i="15"/>
  <c r="N75" i="15"/>
  <c r="K75" i="15"/>
  <c r="C75" i="15"/>
  <c r="K74" i="15"/>
  <c r="AB74" i="15" s="1"/>
  <c r="K73" i="15"/>
  <c r="AB73" i="15" s="1"/>
  <c r="K72" i="15"/>
  <c r="AB72" i="15" s="1"/>
  <c r="K71" i="15"/>
  <c r="AB71" i="15" s="1"/>
  <c r="K70" i="15"/>
  <c r="AB70" i="15" s="1"/>
  <c r="K69" i="15"/>
  <c r="AB69" i="15" s="1"/>
  <c r="K68" i="15"/>
  <c r="AB68" i="15" s="1"/>
  <c r="K67" i="15"/>
  <c r="AB67" i="15" s="1"/>
  <c r="K66" i="15"/>
  <c r="AB66" i="15" s="1"/>
  <c r="K65" i="15"/>
  <c r="AB65" i="15" s="1"/>
  <c r="K64" i="15"/>
  <c r="AB64" i="15" s="1"/>
  <c r="K63" i="15"/>
  <c r="AB63" i="15" s="1"/>
  <c r="K62" i="15"/>
  <c r="AB62" i="15" s="1"/>
  <c r="K61" i="15"/>
  <c r="AB61" i="15" s="1"/>
  <c r="K60" i="15"/>
  <c r="AB60" i="15" s="1"/>
  <c r="AA59" i="15"/>
  <c r="Z59" i="15"/>
  <c r="Y59" i="15"/>
  <c r="X59" i="15"/>
  <c r="W59" i="15"/>
  <c r="V59" i="15"/>
  <c r="U59" i="15"/>
  <c r="T59" i="15"/>
  <c r="S59" i="15"/>
  <c r="N59" i="15"/>
  <c r="J59" i="15"/>
  <c r="I59" i="15"/>
  <c r="H59" i="15"/>
  <c r="H32" i="15" s="1"/>
  <c r="E32" i="15"/>
  <c r="C59" i="15"/>
  <c r="G59" i="15" s="1"/>
  <c r="K58" i="15"/>
  <c r="AB58" i="15" s="1"/>
  <c r="K57" i="15"/>
  <c r="AB57" i="15" s="1"/>
  <c r="K56" i="15"/>
  <c r="AB56" i="15" s="1"/>
  <c r="K55" i="15"/>
  <c r="AB55" i="15" s="1"/>
  <c r="K54" i="15"/>
  <c r="AB54" i="15" s="1"/>
  <c r="P53" i="15"/>
  <c r="P32" i="15" s="1"/>
  <c r="O53" i="15"/>
  <c r="K53" i="15"/>
  <c r="D32" i="15"/>
  <c r="K52" i="15"/>
  <c r="AB52" i="15" s="1"/>
  <c r="K51" i="15"/>
  <c r="AB51" i="15" s="1"/>
  <c r="K50" i="15"/>
  <c r="AB50" i="15" s="1"/>
  <c r="K49" i="15"/>
  <c r="AB49" i="15" s="1"/>
  <c r="K48" i="15"/>
  <c r="AB48" i="15" s="1"/>
  <c r="K47" i="15"/>
  <c r="AB47" i="15" s="1"/>
  <c r="K46" i="15"/>
  <c r="AB46" i="15" s="1"/>
  <c r="K45" i="15"/>
  <c r="AB45" i="15" s="1"/>
  <c r="K44" i="15"/>
  <c r="AB44" i="15" s="1"/>
  <c r="K43" i="15"/>
  <c r="AB43" i="15" s="1"/>
  <c r="K42" i="15"/>
  <c r="AB42" i="15" s="1"/>
  <c r="K41" i="15"/>
  <c r="AB41" i="15" s="1"/>
  <c r="K40" i="15"/>
  <c r="AB40" i="15" s="1"/>
  <c r="K39" i="15"/>
  <c r="AB39" i="15" s="1"/>
  <c r="K38" i="15"/>
  <c r="AB38" i="15" s="1"/>
  <c r="K37" i="15"/>
  <c r="AB37" i="15" s="1"/>
  <c r="K36" i="15"/>
  <c r="AB36" i="15" s="1"/>
  <c r="K35" i="15"/>
  <c r="AB35" i="15" s="1"/>
  <c r="K34" i="15"/>
  <c r="AB34" i="15" s="1"/>
  <c r="N33" i="15"/>
  <c r="K33" i="15"/>
  <c r="C33" i="15"/>
  <c r="G33" i="15" s="1"/>
  <c r="K31" i="15"/>
  <c r="G31" i="15"/>
  <c r="K30" i="15"/>
  <c r="AB30" i="15" s="1"/>
  <c r="K29" i="15"/>
  <c r="AB29" i="15" s="1"/>
  <c r="K28" i="15"/>
  <c r="G28" i="15"/>
  <c r="K27" i="15"/>
  <c r="G27" i="15"/>
  <c r="P26" i="15"/>
  <c r="O26" i="15"/>
  <c r="N26" i="15"/>
  <c r="K26" i="15"/>
  <c r="K25" i="15"/>
  <c r="AB25" i="15" s="1"/>
  <c r="K24" i="15"/>
  <c r="AB24" i="15" s="1"/>
  <c r="N23" i="15"/>
  <c r="R23" i="15" s="1"/>
  <c r="K23" i="15"/>
  <c r="K22" i="15"/>
  <c r="AB22" i="15" s="1"/>
  <c r="P21" i="15"/>
  <c r="O21" i="15"/>
  <c r="K21" i="15"/>
  <c r="K20" i="15"/>
  <c r="AB20" i="15" s="1"/>
  <c r="P19" i="15"/>
  <c r="O19" i="15"/>
  <c r="N19" i="15"/>
  <c r="K19" i="15"/>
  <c r="K18" i="15"/>
  <c r="AB18" i="15" s="1"/>
  <c r="K17" i="15"/>
  <c r="AB17" i="15" s="1"/>
  <c r="K16" i="15"/>
  <c r="AB16" i="15" s="1"/>
  <c r="P15" i="15"/>
  <c r="N15" i="15"/>
  <c r="K15" i="15"/>
  <c r="K14" i="15"/>
  <c r="AB14" i="15" s="1"/>
  <c r="K13" i="15"/>
  <c r="AB13" i="15" s="1"/>
  <c r="K12" i="15"/>
  <c r="AB12" i="15" s="1"/>
  <c r="K11" i="15"/>
  <c r="AB11" i="15" s="1"/>
  <c r="P10" i="15"/>
  <c r="O10" i="15"/>
  <c r="N10" i="15"/>
  <c r="I10" i="15"/>
  <c r="H10" i="15"/>
  <c r="E10" i="15"/>
  <c r="E9" i="15" s="1"/>
  <c r="D10" i="15"/>
  <c r="D9" i="15" s="1"/>
  <c r="C10" i="15"/>
  <c r="C9" i="15" s="1"/>
  <c r="K9" i="15"/>
  <c r="O9" i="15" l="1"/>
  <c r="P9" i="15"/>
  <c r="O32" i="15"/>
  <c r="AB23" i="15"/>
  <c r="AB27" i="15"/>
  <c r="AB144" i="15"/>
  <c r="AB146" i="15"/>
  <c r="AB149" i="15"/>
  <c r="AB28" i="15"/>
  <c r="AB145" i="15"/>
  <c r="AB148" i="15"/>
  <c r="AB150" i="15"/>
  <c r="AB120" i="15"/>
  <c r="R15" i="15"/>
  <c r="AB15" i="15" s="1"/>
  <c r="R75" i="15"/>
  <c r="X151" i="15"/>
  <c r="R101" i="15"/>
  <c r="H91" i="15"/>
  <c r="R53" i="15"/>
  <c r="AB53" i="15" s="1"/>
  <c r="I91" i="15"/>
  <c r="R109" i="15"/>
  <c r="N106" i="15"/>
  <c r="R106" i="15" s="1"/>
  <c r="P114" i="15"/>
  <c r="R129" i="15"/>
  <c r="R92" i="15"/>
  <c r="R19" i="15"/>
  <c r="AB19" i="15" s="1"/>
  <c r="R80" i="15"/>
  <c r="J114" i="15"/>
  <c r="R97" i="15"/>
  <c r="R26" i="15"/>
  <c r="AB26" i="15" s="1"/>
  <c r="N114" i="15"/>
  <c r="R115" i="15"/>
  <c r="N9" i="15"/>
  <c r="R10" i="15"/>
  <c r="R59" i="15"/>
  <c r="R33" i="15"/>
  <c r="AB33" i="15" s="1"/>
  <c r="R21" i="15"/>
  <c r="AB21" i="15" s="1"/>
  <c r="D14" i="18"/>
  <c r="I14" i="18" s="1"/>
  <c r="E151" i="15"/>
  <c r="G109" i="15"/>
  <c r="C32" i="15"/>
  <c r="G32" i="15" s="1"/>
  <c r="G75" i="15"/>
  <c r="G92" i="15"/>
  <c r="J138" i="15"/>
  <c r="K10" i="15"/>
  <c r="D91" i="15"/>
  <c r="D151" i="15" s="1"/>
  <c r="K59" i="15"/>
  <c r="Z151" i="15"/>
  <c r="J91" i="15"/>
  <c r="C91" i="15"/>
  <c r="O114" i="15"/>
  <c r="N32" i="15"/>
  <c r="P91" i="15"/>
  <c r="K97" i="15"/>
  <c r="K115" i="15"/>
  <c r="G9" i="15"/>
  <c r="G10" i="15"/>
  <c r="I32" i="15"/>
  <c r="K32" i="15" s="1"/>
  <c r="K80" i="15"/>
  <c r="K92" i="15"/>
  <c r="K101" i="15"/>
  <c r="O91" i="15"/>
  <c r="G129" i="15"/>
  <c r="G114" i="15" s="1"/>
  <c r="Y151" i="15"/>
  <c r="AA151" i="15"/>
  <c r="N91" i="15"/>
  <c r="O151" i="15" l="1"/>
  <c r="E12" i="18" s="1"/>
  <c r="P151" i="15"/>
  <c r="E13" i="18" s="1"/>
  <c r="AB75" i="15"/>
  <c r="AB80" i="15"/>
  <c r="AB97" i="15"/>
  <c r="AB59" i="15"/>
  <c r="AB115" i="15"/>
  <c r="G106" i="15"/>
  <c r="AB106" i="15" s="1"/>
  <c r="AB109" i="15"/>
  <c r="AB101" i="15"/>
  <c r="AB10" i="15"/>
  <c r="G91" i="15"/>
  <c r="G151" i="15" s="1"/>
  <c r="AB92" i="15"/>
  <c r="N151" i="15"/>
  <c r="K91" i="15"/>
  <c r="K138" i="15"/>
  <c r="AB138" i="15" s="1"/>
  <c r="J151" i="15"/>
  <c r="R114" i="15"/>
  <c r="R9" i="15"/>
  <c r="AB9" i="15" s="1"/>
  <c r="C151" i="15"/>
  <c r="R91" i="15"/>
  <c r="R32" i="15"/>
  <c r="AB32" i="15" s="1"/>
  <c r="D13" i="18"/>
  <c r="D12" i="18"/>
  <c r="D23" i="18" l="1"/>
  <c r="I23" i="18" s="1"/>
  <c r="E23" i="10"/>
  <c r="F22" i="10" s="1"/>
  <c r="G21" i="10" s="1"/>
  <c r="AB91" i="15"/>
  <c r="I13" i="18"/>
  <c r="E13" i="10"/>
  <c r="E11" i="18"/>
  <c r="E24" i="18" s="1"/>
  <c r="E11" i="10"/>
  <c r="I12" i="18"/>
  <c r="E12" i="10"/>
  <c r="D11" i="18"/>
  <c r="R151" i="15"/>
  <c r="F10" i="10" l="1"/>
  <c r="I80" i="8"/>
  <c r="I78" i="8"/>
  <c r="I77" i="8"/>
  <c r="I76" i="8"/>
  <c r="H72" i="8"/>
  <c r="H70" i="8" s="1"/>
  <c r="F70" i="8"/>
  <c r="F15" i="8" s="1"/>
  <c r="E72" i="8"/>
  <c r="E70" i="8" s="1"/>
  <c r="I45" i="8"/>
  <c r="I72" i="8" l="1"/>
  <c r="K136" i="15" l="1"/>
  <c r="AB136" i="15" s="1"/>
  <c r="D17" i="14"/>
  <c r="D118" i="14"/>
  <c r="D117" i="14" s="1"/>
  <c r="E37" i="19" s="1"/>
  <c r="C118" i="14"/>
  <c r="C117" i="14" s="1"/>
  <c r="C112" i="14"/>
  <c r="D109" i="14"/>
  <c r="C109" i="14"/>
  <c r="C77" i="14"/>
  <c r="C28" i="14"/>
  <c r="C23" i="14"/>
  <c r="C21" i="14"/>
  <c r="I39" i="19" s="1"/>
  <c r="C17" i="14"/>
  <c r="D19" i="14"/>
  <c r="G136" i="14"/>
  <c r="F136" i="14"/>
  <c r="E136" i="14"/>
  <c r="H135" i="14"/>
  <c r="D134" i="14"/>
  <c r="D133" i="14" s="1"/>
  <c r="C134" i="14"/>
  <c r="H131" i="14"/>
  <c r="D130" i="14"/>
  <c r="D129" i="14" s="1"/>
  <c r="C130" i="14"/>
  <c r="C129" i="14" s="1"/>
  <c r="H126" i="14"/>
  <c r="H125" i="14"/>
  <c r="H124" i="14"/>
  <c r="H123" i="14"/>
  <c r="H122" i="14"/>
  <c r="H121" i="14"/>
  <c r="H120" i="14"/>
  <c r="H119" i="14"/>
  <c r="H115" i="14"/>
  <c r="H114" i="14"/>
  <c r="H113" i="14"/>
  <c r="H111" i="14"/>
  <c r="H110" i="14"/>
  <c r="H106" i="14"/>
  <c r="D105" i="14"/>
  <c r="C105" i="14"/>
  <c r="D104" i="14"/>
  <c r="C104" i="14"/>
  <c r="H102" i="14"/>
  <c r="C101" i="14"/>
  <c r="H101" i="14" s="1"/>
  <c r="C100" i="14"/>
  <c r="H100" i="14" s="1"/>
  <c r="D99" i="14"/>
  <c r="H98" i="14"/>
  <c r="H97" i="14"/>
  <c r="H96" i="14"/>
  <c r="D94" i="14"/>
  <c r="C94" i="14"/>
  <c r="H89" i="14"/>
  <c r="H88" i="14"/>
  <c r="H87" i="14"/>
  <c r="H86" i="14"/>
  <c r="H85" i="14"/>
  <c r="H84" i="14"/>
  <c r="D83" i="14"/>
  <c r="D82" i="14" s="1"/>
  <c r="C83" i="14"/>
  <c r="C82" i="14" s="1"/>
  <c r="D81" i="14"/>
  <c r="H81" i="14" s="1"/>
  <c r="H80" i="14"/>
  <c r="D79" i="14"/>
  <c r="H79" i="14" s="1"/>
  <c r="D78" i="14"/>
  <c r="H78" i="14" s="1"/>
  <c r="H76" i="14"/>
  <c r="C75" i="14"/>
  <c r="H75" i="14" s="1"/>
  <c r="C74" i="14"/>
  <c r="H74" i="14" s="1"/>
  <c r="H73" i="14"/>
  <c r="H72" i="14"/>
  <c r="C71" i="14"/>
  <c r="H71" i="14" s="1"/>
  <c r="C70" i="14"/>
  <c r="H70" i="14" s="1"/>
  <c r="C69" i="14"/>
  <c r="H69" i="14" s="1"/>
  <c r="C68" i="14"/>
  <c r="H68" i="14" s="1"/>
  <c r="C67" i="14"/>
  <c r="H67" i="14" s="1"/>
  <c r="H66" i="14"/>
  <c r="H65" i="14"/>
  <c r="C64" i="14"/>
  <c r="H64" i="14" s="1"/>
  <c r="H63" i="14"/>
  <c r="D61" i="14"/>
  <c r="C62" i="14"/>
  <c r="H62" i="14" s="1"/>
  <c r="H60" i="14"/>
  <c r="H59" i="14"/>
  <c r="H58" i="14"/>
  <c r="H57" i="14"/>
  <c r="C55" i="14"/>
  <c r="D55" i="14"/>
  <c r="C54" i="14"/>
  <c r="H54" i="14" s="1"/>
  <c r="H53" i="14"/>
  <c r="C52" i="14"/>
  <c r="H52" i="14" s="1"/>
  <c r="H51" i="14"/>
  <c r="C50" i="14"/>
  <c r="H50" i="14" s="1"/>
  <c r="C49" i="14"/>
  <c r="H49" i="14" s="1"/>
  <c r="H48" i="14"/>
  <c r="H46" i="14"/>
  <c r="C45" i="14"/>
  <c r="H45" i="14" s="1"/>
  <c r="C44" i="14"/>
  <c r="H44" i="14" s="1"/>
  <c r="H43" i="14"/>
  <c r="H42" i="14"/>
  <c r="C41" i="14"/>
  <c r="H41" i="14" s="1"/>
  <c r="C40" i="14"/>
  <c r="H40" i="14" s="1"/>
  <c r="C39" i="14"/>
  <c r="H39" i="14" s="1"/>
  <c r="H38" i="14"/>
  <c r="H37" i="14"/>
  <c r="C36" i="14"/>
  <c r="H36" i="14" s="1"/>
  <c r="H35" i="14"/>
  <c r="H34" i="14"/>
  <c r="C31" i="14"/>
  <c r="H31" i="14" s="1"/>
  <c r="D30" i="14"/>
  <c r="H29" i="14"/>
  <c r="D28" i="14"/>
  <c r="C27" i="14"/>
  <c r="H27" i="14" s="1"/>
  <c r="C26" i="14"/>
  <c r="H26" i="14" s="1"/>
  <c r="D25" i="14"/>
  <c r="H24" i="14"/>
  <c r="D23" i="14"/>
  <c r="H22" i="14"/>
  <c r="D21" i="14"/>
  <c r="C20" i="14"/>
  <c r="H20" i="14" s="1"/>
  <c r="H18" i="14"/>
  <c r="H16" i="14"/>
  <c r="C12" i="14"/>
  <c r="H17" i="14" l="1"/>
  <c r="H21" i="14"/>
  <c r="C103" i="14"/>
  <c r="C108" i="14"/>
  <c r="D35" i="19" s="1"/>
  <c r="D103" i="14"/>
  <c r="C61" i="14"/>
  <c r="C33" i="14" s="1"/>
  <c r="C99" i="14"/>
  <c r="C93" i="14" s="1"/>
  <c r="H82" i="14"/>
  <c r="H14" i="14"/>
  <c r="H15" i="14"/>
  <c r="C25" i="14"/>
  <c r="H25" i="14" s="1"/>
  <c r="C30" i="14"/>
  <c r="H30" i="14" s="1"/>
  <c r="H28" i="14"/>
  <c r="H23" i="14"/>
  <c r="C19" i="14"/>
  <c r="H134" i="14"/>
  <c r="D77" i="14"/>
  <c r="H77" i="14" s="1"/>
  <c r="H104" i="14"/>
  <c r="H105" i="14"/>
  <c r="H83" i="14"/>
  <c r="H112" i="14"/>
  <c r="H129" i="14"/>
  <c r="H13" i="14"/>
  <c r="H55" i="14"/>
  <c r="D108" i="14"/>
  <c r="E35" i="19" s="1"/>
  <c r="H117" i="14"/>
  <c r="C133" i="14"/>
  <c r="H133" i="14" s="1"/>
  <c r="H109" i="14"/>
  <c r="H94" i="14"/>
  <c r="H56" i="14"/>
  <c r="H118" i="14"/>
  <c r="H130" i="14"/>
  <c r="C81" i="9"/>
  <c r="C80" i="9" s="1"/>
  <c r="C35" i="9"/>
  <c r="D29" i="9"/>
  <c r="H90" i="14" l="1"/>
  <c r="D33" i="14"/>
  <c r="E31" i="19" s="1"/>
  <c r="H103" i="14"/>
  <c r="H99" i="14"/>
  <c r="D12" i="14"/>
  <c r="H12" i="14" s="1"/>
  <c r="H108" i="14"/>
  <c r="I35" i="19"/>
  <c r="H61" i="14"/>
  <c r="H19" i="14"/>
  <c r="C11" i="14"/>
  <c r="D29" i="19" s="1"/>
  <c r="D93" i="14"/>
  <c r="E33" i="19" s="1"/>
  <c r="H80" i="13"/>
  <c r="H79" i="13" s="1"/>
  <c r="H78" i="13" s="1"/>
  <c r="H76" i="13"/>
  <c r="H75" i="13"/>
  <c r="H64" i="13"/>
  <c r="H63" i="13"/>
  <c r="H61" i="13"/>
  <c r="H60" i="13" s="1"/>
  <c r="H59" i="13"/>
  <c r="H58" i="13"/>
  <c r="H57" i="13"/>
  <c r="H53" i="13"/>
  <c r="H52" i="13"/>
  <c r="H48" i="13"/>
  <c r="H47" i="13"/>
  <c r="H46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F79" i="13"/>
  <c r="F78" i="13" s="1"/>
  <c r="C79" i="13"/>
  <c r="C78" i="13" s="1"/>
  <c r="G83" i="13"/>
  <c r="G82" i="13" s="1"/>
  <c r="G86" i="13" s="1"/>
  <c r="F83" i="13"/>
  <c r="F82" i="13" s="1"/>
  <c r="G24" i="19" s="1"/>
  <c r="E83" i="13"/>
  <c r="E82" i="13" s="1"/>
  <c r="E86" i="13" s="1"/>
  <c r="D83" i="13"/>
  <c r="D82" i="13" s="1"/>
  <c r="E24" i="19" s="1"/>
  <c r="C83" i="13"/>
  <c r="C74" i="13"/>
  <c r="E14" i="19"/>
  <c r="I14" i="19" s="1"/>
  <c r="D11" i="13"/>
  <c r="D10" i="13" s="1"/>
  <c r="F86" i="13" l="1"/>
  <c r="D16" i="20" s="1"/>
  <c r="D11" i="14"/>
  <c r="I29" i="19" s="1"/>
  <c r="H51" i="13"/>
  <c r="H50" i="13" s="1"/>
  <c r="H45" i="13"/>
  <c r="H31" i="13"/>
  <c r="H11" i="13"/>
  <c r="H10" i="13" s="1"/>
  <c r="I31" i="19"/>
  <c r="H93" i="14"/>
  <c r="I33" i="19"/>
  <c r="E10" i="19"/>
  <c r="E12" i="19"/>
  <c r="I12" i="19" s="1"/>
  <c r="E16" i="19"/>
  <c r="I16" i="19" s="1"/>
  <c r="D14" i="20"/>
  <c r="F24" i="19"/>
  <c r="F25" i="19" s="1"/>
  <c r="D18" i="20"/>
  <c r="H24" i="19"/>
  <c r="H25" i="19" s="1"/>
  <c r="H56" i="13"/>
  <c r="H74" i="13"/>
  <c r="C136" i="14"/>
  <c r="H33" i="14"/>
  <c r="H83" i="13"/>
  <c r="H82" i="13" s="1"/>
  <c r="D86" i="13" l="1"/>
  <c r="D12" i="20" s="1"/>
  <c r="H11" i="14"/>
  <c r="D136" i="14"/>
  <c r="H136" i="14" s="1"/>
  <c r="H30" i="13"/>
  <c r="E44" i="19"/>
  <c r="I10" i="19"/>
  <c r="E25" i="19"/>
  <c r="I24" i="19"/>
  <c r="H55" i="13"/>
  <c r="H73" i="13"/>
  <c r="I11" i="18" l="1"/>
  <c r="H68" i="13"/>
  <c r="H67" i="13" s="1"/>
  <c r="H66" i="13" s="1"/>
  <c r="C67" i="13"/>
  <c r="C66" i="13" s="1"/>
  <c r="D18" i="19" s="1"/>
  <c r="H72" i="13"/>
  <c r="H71" i="13" s="1"/>
  <c r="H70" i="13" s="1"/>
  <c r="C71" i="13"/>
  <c r="C70" i="13" s="1"/>
  <c r="D20" i="19" s="1"/>
  <c r="I20" i="19" s="1"/>
  <c r="I87" i="6"/>
  <c r="H87" i="6"/>
  <c r="I84" i="6"/>
  <c r="H84" i="6"/>
  <c r="I78" i="6"/>
  <c r="H78" i="6"/>
  <c r="I74" i="6"/>
  <c r="H74" i="6"/>
  <c r="I69" i="6"/>
  <c r="G72" i="6"/>
  <c r="H65" i="6"/>
  <c r="I57" i="6"/>
  <c r="H57" i="6"/>
  <c r="I52" i="6"/>
  <c r="H52" i="6"/>
  <c r="I36" i="6"/>
  <c r="H36" i="6"/>
  <c r="I30" i="6"/>
  <c r="H10" i="6"/>
  <c r="G89" i="6"/>
  <c r="G88" i="6"/>
  <c r="G85" i="6"/>
  <c r="H83" i="6" l="1"/>
  <c r="G69" i="6"/>
  <c r="H72" i="6"/>
  <c r="H69" i="6" s="1"/>
  <c r="H68" i="6" s="1"/>
  <c r="I83" i="6"/>
  <c r="I68" i="6"/>
  <c r="D25" i="19"/>
  <c r="I18" i="19"/>
  <c r="H86" i="13"/>
  <c r="C86" i="13"/>
  <c r="D10" i="20" s="1"/>
  <c r="D20" i="20" s="1"/>
  <c r="G81" i="6"/>
  <c r="G80" i="6"/>
  <c r="G79" i="6"/>
  <c r="G76" i="6"/>
  <c r="G75" i="6"/>
  <c r="G35" i="6" l="1"/>
  <c r="G34" i="6"/>
  <c r="G33" i="6"/>
  <c r="G32" i="6"/>
  <c r="G31" i="6"/>
  <c r="H30" i="6" l="1"/>
  <c r="H9" i="6" s="1"/>
  <c r="H91" i="6" s="1"/>
  <c r="G87" i="6"/>
  <c r="G84" i="6"/>
  <c r="G78" i="6"/>
  <c r="G74" i="6"/>
  <c r="G66" i="6"/>
  <c r="G65" i="6" s="1"/>
  <c r="G64" i="6"/>
  <c r="G63" i="6"/>
  <c r="G62" i="6"/>
  <c r="G61" i="6"/>
  <c r="G60" i="6"/>
  <c r="G58" i="6"/>
  <c r="G56" i="6"/>
  <c r="G55" i="6"/>
  <c r="G54" i="6"/>
  <c r="G53" i="6"/>
  <c r="G59" i="6"/>
  <c r="G30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29" i="6"/>
  <c r="I29" i="6" s="1"/>
  <c r="G28" i="6"/>
  <c r="I28" i="6" s="1"/>
  <c r="G27" i="6"/>
  <c r="I27" i="6" s="1"/>
  <c r="G26" i="6"/>
  <c r="I26" i="6" s="1"/>
  <c r="G25" i="6"/>
  <c r="I25" i="6" s="1"/>
  <c r="G24" i="6"/>
  <c r="I24" i="6" s="1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2" i="6"/>
  <c r="I12" i="6" s="1"/>
  <c r="G11" i="6"/>
  <c r="I11" i="6" s="1"/>
  <c r="G13" i="6"/>
  <c r="I13" i="6" s="1"/>
  <c r="I10" i="6" l="1"/>
  <c r="I9" i="6" s="1"/>
  <c r="I91" i="6" s="1"/>
  <c r="G57" i="6"/>
  <c r="G68" i="6"/>
  <c r="G83" i="6"/>
  <c r="G36" i="6"/>
  <c r="G10" i="6"/>
  <c r="F87" i="6"/>
  <c r="E87" i="6"/>
  <c r="D87" i="6"/>
  <c r="C87" i="6"/>
  <c r="F84" i="6"/>
  <c r="F83" i="6" s="1"/>
  <c r="E84" i="6"/>
  <c r="E83" i="6" s="1"/>
  <c r="D84" i="6"/>
  <c r="D83" i="6" s="1"/>
  <c r="C84" i="6"/>
  <c r="F78" i="6"/>
  <c r="E78" i="6"/>
  <c r="D78" i="6"/>
  <c r="C78" i="6"/>
  <c r="F74" i="6"/>
  <c r="E74" i="6"/>
  <c r="D74" i="6"/>
  <c r="C74" i="6"/>
  <c r="F69" i="6"/>
  <c r="F68" i="6" s="1"/>
  <c r="E69" i="6"/>
  <c r="D69" i="6"/>
  <c r="C69" i="6"/>
  <c r="E65" i="6"/>
  <c r="D65" i="6"/>
  <c r="C65" i="6"/>
  <c r="F36" i="6"/>
  <c r="E36" i="6"/>
  <c r="D36" i="6"/>
  <c r="C36" i="6"/>
  <c r="F10" i="6"/>
  <c r="E10" i="6"/>
  <c r="D10" i="6"/>
  <c r="C10" i="6"/>
  <c r="E68" i="6" l="1"/>
  <c r="D68" i="6"/>
  <c r="C68" i="6"/>
  <c r="C83" i="6"/>
  <c r="D9" i="6"/>
  <c r="C9" i="6"/>
  <c r="E9" i="6"/>
  <c r="F9" i="6"/>
  <c r="F91" i="6" s="1"/>
  <c r="D59" i="11"/>
  <c r="E91" i="6" l="1"/>
  <c r="D91" i="6"/>
  <c r="C91" i="6"/>
  <c r="G52" i="6"/>
  <c r="G9" i="6" s="1"/>
  <c r="G91" i="6" s="1"/>
  <c r="L54" i="11"/>
  <c r="K54" i="11"/>
  <c r="G59" i="11" s="1"/>
  <c r="J54" i="11"/>
  <c r="G58" i="11" s="1"/>
  <c r="I54" i="11"/>
  <c r="G57" i="11" s="1"/>
  <c r="H54" i="11"/>
  <c r="G54" i="11"/>
  <c r="E54" i="11"/>
  <c r="G60" i="11" l="1"/>
  <c r="G56" i="11"/>
  <c r="G61" i="11" l="1"/>
  <c r="E191" i="9"/>
  <c r="E190" i="9"/>
  <c r="E189" i="9" s="1"/>
  <c r="E187" i="9"/>
  <c r="C186" i="9"/>
  <c r="E186" i="9" s="1"/>
  <c r="D185" i="9"/>
  <c r="C185" i="9"/>
  <c r="D184" i="9"/>
  <c r="D182" i="9"/>
  <c r="E182" i="9" s="1"/>
  <c r="D181" i="9"/>
  <c r="C181" i="9"/>
  <c r="D180" i="9"/>
  <c r="C180" i="9"/>
  <c r="D179" i="9"/>
  <c r="E178" i="9"/>
  <c r="E177" i="9"/>
  <c r="E176" i="9"/>
  <c r="D175" i="9"/>
  <c r="C175" i="9"/>
  <c r="D174" i="9"/>
  <c r="C174" i="9"/>
  <c r="D173" i="9"/>
  <c r="E173" i="9" s="1"/>
  <c r="D172" i="9"/>
  <c r="E171" i="9"/>
  <c r="E167" i="9"/>
  <c r="C166" i="9"/>
  <c r="C165" i="9"/>
  <c r="D164" i="9"/>
  <c r="E164" i="9" s="1"/>
  <c r="D163" i="9"/>
  <c r="E163" i="9" s="1"/>
  <c r="D162" i="9"/>
  <c r="E162" i="9" s="1"/>
  <c r="D161" i="9"/>
  <c r="C161" i="9"/>
  <c r="D159" i="9"/>
  <c r="E159" i="9" s="1"/>
  <c r="E158" i="9"/>
  <c r="D157" i="9"/>
  <c r="C157" i="9"/>
  <c r="D156" i="9"/>
  <c r="C156" i="9"/>
  <c r="E154" i="9"/>
  <c r="E153" i="9"/>
  <c r="E152" i="9"/>
  <c r="E151" i="9"/>
  <c r="E150" i="9"/>
  <c r="E148" i="9"/>
  <c r="E147" i="9"/>
  <c r="E146" i="9"/>
  <c r="E145" i="9"/>
  <c r="E144" i="9"/>
  <c r="E143" i="9"/>
  <c r="E142" i="9"/>
  <c r="E141" i="9"/>
  <c r="E140" i="9"/>
  <c r="D139" i="9"/>
  <c r="C139" i="9"/>
  <c r="E138" i="9"/>
  <c r="E137" i="9"/>
  <c r="E136" i="9"/>
  <c r="E135" i="9"/>
  <c r="E134" i="9"/>
  <c r="D133" i="9"/>
  <c r="C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D112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C66" i="9"/>
  <c r="C65" i="9" s="1"/>
  <c r="E66" i="9"/>
  <c r="E65" i="9" s="1"/>
  <c r="E34" i="9"/>
  <c r="E32" i="9"/>
  <c r="E31" i="9"/>
  <c r="E30" i="9"/>
  <c r="E28" i="9"/>
  <c r="E27" i="9"/>
  <c r="E26" i="9"/>
  <c r="E25" i="9"/>
  <c r="E24" i="9"/>
  <c r="E23" i="9"/>
  <c r="E22" i="9"/>
  <c r="E21" i="9"/>
  <c r="E20" i="9"/>
  <c r="E19" i="9"/>
  <c r="E18" i="9"/>
  <c r="E17" i="9"/>
  <c r="D16" i="9"/>
  <c r="E16" i="9" s="1"/>
  <c r="E15" i="9"/>
  <c r="E14" i="9"/>
  <c r="E13" i="9"/>
  <c r="E12" i="9"/>
  <c r="D11" i="9"/>
  <c r="E10" i="9"/>
  <c r="D160" i="9" l="1"/>
  <c r="E175" i="9"/>
  <c r="C184" i="9"/>
  <c r="C179" i="9"/>
  <c r="E179" i="9" s="1"/>
  <c r="E184" i="9"/>
  <c r="C155" i="9"/>
  <c r="E11" i="9"/>
  <c r="D9" i="9"/>
  <c r="D170" i="9"/>
  <c r="D169" i="9" s="1"/>
  <c r="D165" i="9" s="1"/>
  <c r="C160" i="9"/>
  <c r="E157" i="9"/>
  <c r="E166" i="9"/>
  <c r="E165" i="9" s="1"/>
  <c r="G9" i="10"/>
  <c r="E133" i="9"/>
  <c r="E185" i="9"/>
  <c r="E33" i="9"/>
  <c r="C112" i="9"/>
  <c r="E112" i="9"/>
  <c r="D155" i="9"/>
  <c r="E161" i="9"/>
  <c r="E160" i="9" s="1"/>
  <c r="E172" i="9"/>
  <c r="C170" i="9"/>
  <c r="E174" i="9"/>
  <c r="E181" i="9"/>
  <c r="E139" i="9"/>
  <c r="E156" i="9"/>
  <c r="E180" i="9"/>
  <c r="C8" i="9"/>
  <c r="I73" i="8"/>
  <c r="I71" i="8"/>
  <c r="I61" i="8"/>
  <c r="I60" i="8" s="1"/>
  <c r="H60" i="8"/>
  <c r="E60" i="8"/>
  <c r="I59" i="8"/>
  <c r="I58" i="8"/>
  <c r="H57" i="8"/>
  <c r="G57" i="8"/>
  <c r="G15" i="8" s="1"/>
  <c r="F57" i="8"/>
  <c r="E57" i="8"/>
  <c r="D57" i="8"/>
  <c r="D81" i="8" s="1"/>
  <c r="I54" i="8"/>
  <c r="I39" i="8"/>
  <c r="I21" i="8"/>
  <c r="I20" i="8"/>
  <c r="I19" i="8"/>
  <c r="I18" i="8"/>
  <c r="I17" i="8"/>
  <c r="E16" i="8"/>
  <c r="I13" i="8"/>
  <c r="I12" i="8"/>
  <c r="I11" i="8"/>
  <c r="H10" i="8"/>
  <c r="G10" i="8"/>
  <c r="F10" i="8"/>
  <c r="E10" i="8"/>
  <c r="G81" i="8" l="1"/>
  <c r="I70" i="8"/>
  <c r="I134" i="15"/>
  <c r="D15" i="8"/>
  <c r="H15" i="8"/>
  <c r="H81" i="8" s="1"/>
  <c r="I16" i="8"/>
  <c r="C169" i="9"/>
  <c r="D111" i="9"/>
  <c r="D193" i="9" s="1"/>
  <c r="C111" i="9"/>
  <c r="F81" i="8"/>
  <c r="E15" i="8"/>
  <c r="E81" i="8" s="1"/>
  <c r="D8" i="9"/>
  <c r="D87" i="9" s="1"/>
  <c r="E9" i="9"/>
  <c r="I57" i="8"/>
  <c r="E155" i="9"/>
  <c r="E111" i="9" s="1"/>
  <c r="E170" i="9"/>
  <c r="E169" i="9" s="1"/>
  <c r="E29" i="9"/>
  <c r="I10" i="8"/>
  <c r="E104" i="3"/>
  <c r="I81" i="8" l="1"/>
  <c r="I15" i="8"/>
  <c r="C193" i="9"/>
  <c r="K135" i="15"/>
  <c r="AB135" i="15" s="1"/>
  <c r="M114" i="15"/>
  <c r="M151" i="15" s="1"/>
  <c r="G20" i="18" s="1"/>
  <c r="G24" i="18" s="1"/>
  <c r="K134" i="15"/>
  <c r="AB134" i="15" s="1"/>
  <c r="E193" i="9"/>
  <c r="C87" i="9"/>
  <c r="E87" i="9" s="1"/>
  <c r="E8" i="9"/>
  <c r="I37" i="19" l="1"/>
  <c r="D44" i="19"/>
  <c r="E20" i="20" l="1"/>
  <c r="I44" i="19"/>
  <c r="D18" i="4"/>
  <c r="E99" i="3" l="1"/>
  <c r="F116" i="3" l="1"/>
  <c r="D31" i="4" s="1"/>
  <c r="E87" i="3"/>
  <c r="E83" i="3"/>
  <c r="E71" i="3"/>
  <c r="E69" i="3"/>
  <c r="E56" i="3"/>
  <c r="E51" i="3"/>
  <c r="E32" i="3"/>
  <c r="E28" i="3"/>
  <c r="E26" i="3"/>
  <c r="E23" i="3"/>
  <c r="E21" i="3"/>
  <c r="E19" i="3"/>
  <c r="E17" i="3"/>
  <c r="F31" i="3" l="1"/>
  <c r="D27" i="4" s="1"/>
  <c r="E15" i="3"/>
  <c r="E10" i="3"/>
  <c r="F9" i="3" l="1"/>
  <c r="D26" i="4" s="1"/>
  <c r="E106" i="3" l="1"/>
  <c r="F98" i="3" s="1"/>
  <c r="D30" i="4" s="1"/>
  <c r="E91" i="3"/>
  <c r="F90" i="3" s="1"/>
  <c r="D29" i="4" s="1"/>
  <c r="E79" i="3" l="1"/>
  <c r="D86" i="2"/>
  <c r="E78" i="2"/>
  <c r="F69" i="2"/>
  <c r="D16" i="4" s="1"/>
  <c r="E66" i="2"/>
  <c r="F65" i="2" s="1"/>
  <c r="D15" i="4" s="1"/>
  <c r="E61" i="2"/>
  <c r="E59" i="2"/>
  <c r="E55" i="2"/>
  <c r="E50" i="2"/>
  <c r="F49" i="2" s="1"/>
  <c r="D13" i="4" s="1"/>
  <c r="E44" i="2"/>
  <c r="E30" i="2"/>
  <c r="E10" i="2"/>
  <c r="F9" i="2" s="1"/>
  <c r="D10" i="4" s="1"/>
  <c r="F54" i="2" l="1"/>
  <c r="D14" i="4" s="1"/>
  <c r="F29" i="2"/>
  <c r="D11" i="4" s="1"/>
  <c r="E86" i="2"/>
  <c r="F78" i="3"/>
  <c r="D28" i="4" s="1"/>
  <c r="E120" i="3"/>
  <c r="F77" i="2"/>
  <c r="I23" i="19" l="1"/>
  <c r="I25" i="19" s="1"/>
  <c r="G25" i="19"/>
  <c r="D33" i="4"/>
  <c r="F120" i="3"/>
  <c r="D17" i="4"/>
  <c r="D19" i="4" s="1"/>
  <c r="F86" i="2"/>
  <c r="K130" i="15" l="1"/>
  <c r="AB130" i="15" s="1"/>
  <c r="I129" i="15"/>
  <c r="I114" i="15" s="1"/>
  <c r="I151" i="15" l="1"/>
  <c r="E20" i="10" s="1"/>
  <c r="D20" i="18" l="1"/>
  <c r="I20" i="18" l="1"/>
  <c r="F19" i="10"/>
  <c r="G18" i="10" l="1"/>
  <c r="F84" i="22"/>
  <c r="F86" i="22" l="1"/>
  <c r="F88" i="22" s="1"/>
  <c r="G84" i="22"/>
  <c r="G86" i="22" s="1"/>
  <c r="F89" i="22" s="1"/>
  <c r="F91" i="22" l="1"/>
  <c r="F92" i="22" s="1"/>
  <c r="H47" i="22" s="1"/>
  <c r="H22" i="22" l="1"/>
  <c r="H21" i="22"/>
  <c r="H35" i="22"/>
  <c r="H27" i="22"/>
  <c r="H20" i="22"/>
  <c r="H39" i="22"/>
  <c r="H41" i="22"/>
  <c r="H7" i="22"/>
  <c r="H12" i="22"/>
  <c r="H45" i="22"/>
  <c r="H23" i="22"/>
  <c r="H29" i="22"/>
  <c r="H11" i="22"/>
  <c r="H16" i="22"/>
  <c r="H28" i="22"/>
  <c r="H15" i="22"/>
  <c r="H32" i="22"/>
  <c r="H46" i="22"/>
  <c r="H38" i="22"/>
  <c r="H10" i="22"/>
  <c r="H26" i="22"/>
  <c r="H37" i="22"/>
  <c r="H9" i="22"/>
  <c r="H14" i="22"/>
  <c r="H34" i="22"/>
  <c r="H48" i="22"/>
  <c r="H6" i="22"/>
  <c r="H36" i="22"/>
  <c r="H40" i="22"/>
  <c r="H19" i="22"/>
  <c r="H30" i="22"/>
  <c r="H33" i="22"/>
  <c r="H25" i="22"/>
  <c r="H8" i="22"/>
  <c r="H13" i="22"/>
  <c r="H42" i="22"/>
  <c r="H44" i="22"/>
  <c r="H31" i="22"/>
  <c r="H43" i="22"/>
  <c r="H17" i="22"/>
  <c r="H49" i="22"/>
  <c r="H18" i="22"/>
  <c r="H50" i="22" l="1"/>
  <c r="H70" i="22" s="1"/>
  <c r="H71" i="22" s="1"/>
  <c r="H133" i="15"/>
  <c r="K133" i="15" s="1"/>
  <c r="I32" i="16"/>
  <c r="I14" i="16" s="1"/>
  <c r="I37" i="16" s="1"/>
  <c r="D14" i="16"/>
  <c r="D37" i="16" s="1"/>
  <c r="H129" i="15" l="1"/>
  <c r="H114" i="15" s="1"/>
  <c r="K114" i="15" s="1"/>
  <c r="AB114" i="15" s="1"/>
  <c r="AB151" i="15" s="1"/>
  <c r="K129" i="15"/>
  <c r="AB129" i="15" s="1"/>
  <c r="H151" i="15" l="1"/>
  <c r="E17" i="10" s="1"/>
  <c r="D17" i="18" l="1"/>
  <c r="D24" i="18" s="1"/>
  <c r="I24" i="18" s="1"/>
  <c r="K151" i="15"/>
  <c r="E24" i="10"/>
  <c r="F16" i="10"/>
  <c r="I17" i="18" l="1"/>
  <c r="F24" i="10"/>
  <c r="G15" i="10"/>
  <c r="G24" i="10" s="1"/>
</calcChain>
</file>

<file path=xl/comments1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cuadro, los proyectos en ejecución</t>
        </r>
      </text>
    </comment>
  </commentList>
</comments>
</file>

<file path=xl/comments2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comments3.xml><?xml version="1.0" encoding="utf-8"?>
<comments xmlns="http://schemas.openxmlformats.org/spreadsheetml/2006/main">
  <authors>
    <author>NAVEGANTE</author>
  </authors>
  <commentList>
    <comment ref="H4" authorId="0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F92" authorId="0">
      <text>
        <r>
          <rPr>
            <b/>
            <sz val="8"/>
            <color indexed="81"/>
            <rFont val="Tahoma"/>
            <family val="2"/>
          </rPr>
          <t>Porcentaje de crecimiento de los ingresos corrientes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<sst xmlns="http://schemas.openxmlformats.org/spreadsheetml/2006/main" count="1659" uniqueCount="817">
  <si>
    <t>DETALLE</t>
  </si>
  <si>
    <t>TOTAL</t>
  </si>
  <si>
    <t>IMPUESTOS MUNICIPALES</t>
  </si>
  <si>
    <t>TASAS Y DERECHOS</t>
  </si>
  <si>
    <t>INGRESOS FINANCIEROS Y OTROS</t>
  </si>
  <si>
    <t>OTROS INGRESOS NO CLASIFICADOS</t>
  </si>
  <si>
    <t>TRANSFERENCIAS DE CAPITAL</t>
  </si>
  <si>
    <t>ENDEUDAMIENTO PUBLICO</t>
  </si>
  <si>
    <t xml:space="preserve"> </t>
  </si>
  <si>
    <t>IMPUESTOS</t>
  </si>
  <si>
    <t>DE COMERCIO</t>
  </si>
  <si>
    <t>DE INDUSTRIA</t>
  </si>
  <si>
    <t>FINANCIEROS</t>
  </si>
  <si>
    <t>DE SERVICIOS</t>
  </si>
  <si>
    <t>AGROPECUARIOS</t>
  </si>
  <si>
    <t>BARES Y RESTAURANTES</t>
  </si>
  <si>
    <t>CENTROS DE ENSEÑANZA</t>
  </si>
  <si>
    <t>ESTUDIOS FOTOGRAFICOS</t>
  </si>
  <si>
    <t>HOTELES, MOTELES Y SIMILARES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</si>
  <si>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</si>
  <si>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</si>
  <si>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</si>
  <si>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</si>
  <si>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</si>
  <si>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</si>
  <si>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</si>
  <si>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</si>
  <si>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TASAS</t>
  </si>
  <si>
    <t xml:space="preserve">POR SERVICIOS DE CERTIFICACION O VISADO DE </t>
  </si>
  <si>
    <t>POR EXPEDICION DE DOCUMENTOS DE IDENTIF.</t>
  </si>
  <si>
    <t>ALUMBRADO PUBLICO</t>
  </si>
  <si>
    <t>ASEO PUBLICO</t>
  </si>
  <si>
    <t>CASETAS TELEFONICAS</t>
  </si>
  <si>
    <t>CEMENTERIOS MUNICIPALES</t>
  </si>
  <si>
    <t>DESECHOS</t>
  </si>
  <si>
    <t>FIESTAS</t>
  </si>
  <si>
    <t>MERCADOS</t>
  </si>
  <si>
    <t>PAVIMENTACION</t>
  </si>
  <si>
    <t>POSTES, TORRES Y ANTENAS</t>
  </si>
  <si>
    <t xml:space="preserve">RASTRO </t>
  </si>
  <si>
    <t>REVISION Y PLANOS</t>
  </si>
  <si>
    <t>DERECHOS</t>
  </si>
  <si>
    <t>POR REGALIAS</t>
  </si>
  <si>
    <t>PERMISOS Y LICENCIAS MUNICIPALES</t>
  </si>
  <si>
    <t>COTEJO DE FIERROS</t>
  </si>
  <si>
    <t>VENTAS DE B. Y SERVICIOS</t>
  </si>
  <si>
    <t>ING. X PREST. SERV. PUBLIC.</t>
  </si>
  <si>
    <t>SERVICIOS BASICOS</t>
  </si>
  <si>
    <t>SERVICIOS DIVERSOS</t>
  </si>
  <si>
    <t>MULTAS E INTERESES X MORA</t>
  </si>
  <si>
    <t>INTERESES POR MORA DE IMPUESTOS</t>
  </si>
  <si>
    <t>MULTAS POR REGISTROS CIVILES</t>
  </si>
  <si>
    <t>OTRAS MULTAS MUNICIPALES</t>
  </si>
  <si>
    <t>ARRENDAMIENTO DE BIENES</t>
  </si>
  <si>
    <t>ARRENDAMIENTOS DE BIENES Y MUEBLES</t>
  </si>
  <si>
    <t>RENTABILIDAD DE CUENTAS BANCARIAS</t>
  </si>
  <si>
    <t>INGRESOS DIVERSOS</t>
  </si>
  <si>
    <t>TRANSFERENCIAS CORRIENTES</t>
  </si>
  <si>
    <t>TRANSF. CORRIENTES DEL SECTOR PUBLICO</t>
  </si>
  <si>
    <t>TRANSF. DE CAPITAL DEL SECTOR PUBLICO</t>
  </si>
  <si>
    <t>TRANSF. DE CAPITAL DEL SECTOR PRIVADO</t>
  </si>
  <si>
    <t>DE EMPRESAS PRIVADAS NO FINANCIERAS</t>
  </si>
  <si>
    <t>CONTRAT. DE EMPRESTITOS INTERNOS</t>
  </si>
  <si>
    <t>DE EMPRESAS PUBLICAS FINANCIERAS</t>
  </si>
  <si>
    <t>SALDOS AÑOS ANTERIORES</t>
  </si>
  <si>
    <t>SALDOS INIC. DE CAJA Y BCOS.</t>
  </si>
  <si>
    <t>SALDO INICIAL EN BANCOS</t>
  </si>
  <si>
    <t>TOTALES</t>
  </si>
  <si>
    <t>CUENTA</t>
  </si>
  <si>
    <t>ESPECIFICO</t>
  </si>
  <si>
    <t>SUB - TOTAL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</si>
  <si>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</si>
  <si>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</si>
  <si>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</si>
  <si>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</si>
  <si>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</si>
  <si>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</si>
  <si>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</si>
  <si>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</si>
  <si>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</si>
  <si>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POR REMUNERACIONES PERMANENTES</t>
  </si>
  <si>
    <t>GASTOS DE REPRESENTACION</t>
  </si>
  <si>
    <t>POR PRESTACION DE SERVICIOS EN EL PAIS</t>
  </si>
  <si>
    <t>POR PRESTACION DE SERVICIOS EN EL EXTERIOR</t>
  </si>
  <si>
    <t>INDEMNIZACIONES</t>
  </si>
  <si>
    <t>AL PERSONAL DE SERVICIOS PERMANENTES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</si>
  <si>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</si>
  <si>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</si>
  <si>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</si>
  <si>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</si>
  <si>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</si>
  <si>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</si>
  <si>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</si>
  <si>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</si>
  <si>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</si>
  <si>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</si>
  <si>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</si>
  <si>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</si>
  <si>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PRODUCTOS DERIVADOS</t>
  </si>
  <si>
    <t>MINERALES METALICOS Y PRODUCTOS DERIVADOS</t>
  </si>
  <si>
    <t>MATERIALES DE OFICINA</t>
  </si>
  <si>
    <t>MATERIALES INFORMATICOS</t>
  </si>
  <si>
    <t>MATERIALES DE DEFENSA Y SEGURIDAD PUBLICA</t>
  </si>
  <si>
    <t>HERRAMIENTAS.REPUESTOS Y ACCESORIOS</t>
  </si>
  <si>
    <t>MATERIALES ELECTRICOS</t>
  </si>
  <si>
    <t>ESPECIES MUNICIPALES DIVERSAS</t>
  </si>
  <si>
    <t>BIENES DE US0 Y CONSUMO DIVERSOS</t>
  </si>
  <si>
    <t>SERVICIOS DE ENERGIA ELECTRICA</t>
  </si>
  <si>
    <t>SERVICIOS DE AGUA</t>
  </si>
  <si>
    <t>SERVICIOS DE TELECOMUNICACIONES</t>
  </si>
  <si>
    <t>ALUMBRADO PÚBLICO</t>
  </si>
  <si>
    <t>SERVICIOS GENERALES  Y ARRENDAMIENTOS</t>
  </si>
  <si>
    <t>MANTTO Y REPARACIONES DE BIENES MUEBLES</t>
  </si>
  <si>
    <t>MANTTO. Y REPARACIONES DE VEHICULOS</t>
  </si>
  <si>
    <t>MANTENIMIENTO Y REPARACIONES DE BIENES</t>
  </si>
  <si>
    <t>TRANSPORTES, FLETES Y ALMACENAMIENTOS</t>
  </si>
  <si>
    <t>SERVICIOS DE PUBLICIDAD</t>
  </si>
  <si>
    <t>SERVICIOS DE ALIMENTACION</t>
  </si>
  <si>
    <t>SERVICIOS EDUCATIVOS</t>
  </si>
  <si>
    <t>IMPRESIONES, PUBLICACIONES Y REPRODUCCIONES</t>
  </si>
  <si>
    <t>ATENCIONES OFICIALES</t>
  </si>
  <si>
    <t>ARRENDAMIENTO DE BIENES MUEBLES</t>
  </si>
  <si>
    <t>ARRENDAMIENTO DE BIENES INMUEBLES</t>
  </si>
  <si>
    <t>SERV. GENERALES Y ARRENDAMIENTOS DIVERSOS</t>
  </si>
  <si>
    <t>PASAJES Y VIATICOS</t>
  </si>
  <si>
    <t>VIATICOS POR COMISION INTERNA</t>
  </si>
  <si>
    <t>CONSULTORIAS, ESTUDIOS E INVESTIGACIONES</t>
  </si>
  <si>
    <t>SERVICIOS JURIDICOS</t>
  </si>
  <si>
    <t>SERVICIOS DE CONTABILIDAD Y AUDITORIA</t>
  </si>
  <si>
    <t>GASTOS FINANCIEROS Y OTROS</t>
  </si>
  <si>
    <t>INT. Y COMISIONES. DE EMPRESTITOS INTERNOS</t>
  </si>
  <si>
    <t>DE INSTITUCIONES DESCENTRALIZADAS NO</t>
  </si>
  <si>
    <t>SEGUROS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</si>
  <si>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</si>
  <si>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</si>
  <si>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</si>
  <si>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</si>
  <si>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</si>
  <si>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 AL SECTOR PUBLICO</t>
  </si>
  <si>
    <t>TRANSFERENCIAS CORRIENTES AL SECTOR PRIVADO</t>
  </si>
  <si>
    <t>A ORGANISMOS SIN FINES DE LUCRO</t>
  </si>
  <si>
    <t>A PERSONAS NATURALES</t>
  </si>
  <si>
    <t>BECAS</t>
  </si>
  <si>
    <t>INVERSIONES EN ACTIVOS FIJOS</t>
  </si>
  <si>
    <t>BIENES MUEBLES</t>
  </si>
  <si>
    <t>MOBILIARIOS</t>
  </si>
  <si>
    <t>MAQUINARIAS Y EQUIPOS</t>
  </si>
  <si>
    <t>EQUIPOS INFORMATICOS</t>
  </si>
  <si>
    <t>BIENES INMUEBLES</t>
  </si>
  <si>
    <t>TERRENOS</t>
  </si>
  <si>
    <t>ESTUDIOS DE PRE-INVERSION</t>
  </si>
  <si>
    <t>PROYECTOS Y PROGRAMAS DE INVERSION DIVERSOS</t>
  </si>
  <si>
    <t>INFRAESTRUCTURAS</t>
  </si>
  <si>
    <t>VIALES</t>
  </si>
  <si>
    <t>DE EDUCACION Y RECREACION</t>
  </si>
  <si>
    <t>DE VIVIENDA Y OFICINA</t>
  </si>
  <si>
    <t>DE PRODUCCION DE BIENES Y SERVICIOS</t>
  </si>
  <si>
    <t>AMORTIZACION DE ENDEUDAMIENTO PUBLICO</t>
  </si>
  <si>
    <t>AMORTIZACION DE EMPRESTITOS INTERNOS</t>
  </si>
  <si>
    <t>ELECTRICAS Y COMUNICACIONES</t>
  </si>
  <si>
    <t>OBRAS DE INFRAESTRUCTURA DIVERSAS</t>
  </si>
  <si>
    <t>CONTRIB. PATRONALES A INSTITUCIONES DE SEG. SOC. PUB.</t>
  </si>
  <si>
    <t>CONTRIB. PATRONALES A INSTITUCIONES DE SEG. SOC. PRIV.</t>
  </si>
  <si>
    <t>VEHICULOS DE TRANSPORTE</t>
  </si>
  <si>
    <t>PRESUPUESTO INSTITUCIONAL DE INGRESOS</t>
  </si>
  <si>
    <t>POR OBJETO ESPECIFICO</t>
  </si>
  <si>
    <t>En dólares de Estados Unidos de América</t>
  </si>
  <si>
    <t>DETALLE DE INGRESOS</t>
  </si>
  <si>
    <t>ALCALDIA MUNICIPAL DE AGUILARES</t>
  </si>
  <si>
    <t>DEPARTAMENTO DE SAN SALVADOR</t>
  </si>
  <si>
    <t>PRESUPUESTO INSTITUCIONAL DE EGRESOS</t>
  </si>
  <si>
    <t>DETALLE DE EGRESOS</t>
  </si>
  <si>
    <t>CODIGO</t>
  </si>
  <si>
    <t>CONCEPTO</t>
  </si>
  <si>
    <t>MONTO</t>
  </si>
  <si>
    <t>PRESUPUESTO MUNICIPAL POR AREAS DE GESTION</t>
  </si>
  <si>
    <t>ALCALDIA MUNICIPAL DE AGUILARES     SAN SALVADOR</t>
  </si>
  <si>
    <t>CUADRO RESUMEN</t>
  </si>
  <si>
    <t>PRESUPUESTO DE INGRESOS</t>
  </si>
  <si>
    <t>PRESUPUESTO DE EGRESOS</t>
  </si>
  <si>
    <t>CLASIFICACION POR RUBRO DE INGRESOS</t>
  </si>
  <si>
    <t>CLASIFICACION POR RUBRO DE EGRESOS</t>
  </si>
  <si>
    <t>SALDOS DE AÑOS ANTERIORES</t>
  </si>
  <si>
    <t>AMORTIZACION DEL ENDEUDAMIENTO PUBLICO</t>
  </si>
  <si>
    <t>CONTRIBUCIONES A LA SEGURIDAD SOCIAL</t>
  </si>
  <si>
    <t>VENTAS DE BIENES Y SERVICIOS</t>
  </si>
  <si>
    <t>INVERSION</t>
  </si>
  <si>
    <r>
      <t xml:space="preserve">DE ORGANISMOS SIN FINES DE LUCRO </t>
    </r>
    <r>
      <rPr>
        <b/>
        <sz val="11"/>
        <color theme="1"/>
        <rFont val="Arial Narrow"/>
        <family val="2"/>
      </rPr>
      <t>(OIT)</t>
    </r>
  </si>
  <si>
    <r>
      <t xml:space="preserve">TRANSF. DE CAPITAL DEL SECT. PUB. </t>
    </r>
    <r>
      <rPr>
        <b/>
        <sz val="11"/>
        <color theme="1"/>
        <rFont val="Arial Narrow"/>
        <family val="2"/>
      </rPr>
      <t>(FISDL)</t>
    </r>
  </si>
  <si>
    <t>ALCALDIA MUNICIPAL DE AGUILARES, DEPARTAMENTO DE SAN SALVADOR.-</t>
  </si>
  <si>
    <t>Adquisición de Bienes y Servicios</t>
  </si>
  <si>
    <t>Por Centro de Responsabilidad</t>
  </si>
  <si>
    <t>En Dolares de los Estados Unidos de América</t>
  </si>
  <si>
    <t>UP 01: ADMINISTRACION MUNICIPAL</t>
  </si>
  <si>
    <t>0101</t>
  </si>
  <si>
    <t>0102</t>
  </si>
  <si>
    <t>0201</t>
  </si>
  <si>
    <t>Fuente de Financiamiento</t>
  </si>
  <si>
    <t>COD.</t>
  </si>
  <si>
    <t>Dirección Superior</t>
  </si>
  <si>
    <t>Admin.Finan. y Tributaria</t>
  </si>
  <si>
    <t>FF2</t>
  </si>
  <si>
    <t>PRODUCTOS ALIMENTICIOS P/PERSONAS</t>
  </si>
  <si>
    <t>PRODUCTOS AGROPECUARIOS Y FORESTAL</t>
  </si>
  <si>
    <t>PRODUCTOS  PAPEL Y CARTON</t>
  </si>
  <si>
    <t>MINERALES NO METALICOS Y PROD.DERIVADOS</t>
  </si>
  <si>
    <t>MINERALES METALICOS Y PRODUCTOS DERV.</t>
  </si>
  <si>
    <t>LIBROS, TEXTOS, UTILES DE ENSEÑANZA Y PUBLICACIONES</t>
  </si>
  <si>
    <t>HERRAMIENTAS, REPUESTOS Y ACCESORIOS</t>
  </si>
  <si>
    <t>BIENES DE USO Y CONSUMO DIVERSO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</si>
  <si>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</si>
  <si>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</si>
  <si>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</si>
  <si>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</si>
  <si>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</si>
  <si>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SERVICIOS DE VIGILANCIA</t>
  </si>
  <si>
    <t>SERVICIOS LIMPIEZA Y FUMIGACIONES</t>
  </si>
  <si>
    <t>SERVICIOS DE LABORATORIO</t>
  </si>
  <si>
    <t>IMPRESIONES, PUBLICACIONES Y REPRODUCCIONES.</t>
  </si>
  <si>
    <t>SERVICIOS GENERALES Y ARRENDAMIENTOS DIVERSOS</t>
  </si>
  <si>
    <t>PASAJES AL INTERIOR</t>
  </si>
  <si>
    <t>PASAJES AL EXTERIOR</t>
  </si>
  <si>
    <t>VIATICOS POR COMISION EXTERNA</t>
  </si>
  <si>
    <t xml:space="preserve">CONSULTORIAS, ESTUDIOS E INVESTIGACIONES  </t>
  </si>
  <si>
    <t>SERVICIOS MEDICOS</t>
  </si>
  <si>
    <t>SERVICIOS DE CAPACITACION</t>
  </si>
  <si>
    <t>DESARROLLOS INFORMATICOS</t>
  </si>
  <si>
    <t>ESTUDIOS E INVESTIGACIONES</t>
  </si>
  <si>
    <t>CONSULTORIAS, ESTUDIOS E INVESTIGACIONES DIVERSAS</t>
  </si>
  <si>
    <t>TRATAMIENTO DE DESECHOS</t>
  </si>
  <si>
    <t>RECOLECCION DE DESECHOS</t>
  </si>
  <si>
    <t>INTERESES Y COMISIONES DE EMPRESTITOS INTERNOS</t>
  </si>
  <si>
    <t>DE INSTITUC. DESCENTRALIZADAS NO EMPRESARIALES</t>
  </si>
  <si>
    <t>DE EMPRESAS PUBLICAS NO FINANCIERAS</t>
  </si>
  <si>
    <t>DE EMPRESAS PRIVADA FINANCIERAS</t>
  </si>
  <si>
    <t>SEGUROS, COMISIONES Y GTOS.BANCARIOS</t>
  </si>
  <si>
    <t>PRIMAS Y GASTOS SEGURO PERSONAS</t>
  </si>
  <si>
    <t>COMISION Y GASTOS BANCARIOS</t>
  </si>
  <si>
    <t>DIFERENCIAS CAMBIARIAS</t>
  </si>
  <si>
    <t>SENTENCIAS JUDICIALES</t>
  </si>
  <si>
    <t>Transferencias Ctes.al Sector Publico</t>
  </si>
  <si>
    <t>ORGANISMOS SIN FINES DE LUCRO</t>
  </si>
  <si>
    <t>ALCALDIA MUNICIPAL DE AGUILARES, DEPARTAMENTO DE SAN SALVADOR_</t>
  </si>
  <si>
    <t>Por Fuente de Financiamiento</t>
  </si>
  <si>
    <t>FODES 25% - FF1</t>
  </si>
  <si>
    <t>SUB TOTAL</t>
  </si>
  <si>
    <t>DE INSTITUCIONES DESCENTRALIZADAS NO EMPRESARIALES</t>
  </si>
  <si>
    <t>A personas naturales</t>
  </si>
  <si>
    <t>ALCALDIA MUNICIPAL DE AGUILARES_, DEPARTAMENTO DE SAN SALVADOR_</t>
  </si>
  <si>
    <t>FONDOS PROPIOS - FF2</t>
  </si>
  <si>
    <t>MATERIAL E INSTRUMENTAL DE LABORATORIO</t>
  </si>
  <si>
    <t>DE INST. DESCENTRALIZADAS NO EMPRESARIALES</t>
  </si>
  <si>
    <t>TRANSF. CORRIENTES AL SECTOR PUBLICO</t>
  </si>
  <si>
    <t>ASOCIACIONES MUNICIPALES</t>
  </si>
  <si>
    <t>En Dolares de Estados Unidos de America</t>
  </si>
  <si>
    <t>Codigo Presup</t>
  </si>
  <si>
    <t>Codigo del Proyecto</t>
  </si>
  <si>
    <t>CONCEPTO DE EGRESOS</t>
  </si>
  <si>
    <t>FUENTES DE FINANCIAMIENTO</t>
  </si>
  <si>
    <t>TOTAL INVERSION</t>
  </si>
  <si>
    <t>Fondo General</t>
  </si>
  <si>
    <t>Prestamos Externos</t>
  </si>
  <si>
    <t>Prestamos Internos</t>
  </si>
  <si>
    <t>Donaciones</t>
  </si>
  <si>
    <t>PROYECTOS DE CONSTRUCCIONES</t>
  </si>
  <si>
    <t>PROYECTOS DE AMPLIACIONES</t>
  </si>
  <si>
    <t>PROYECTOS Y PROGRAMAS DE INVERSION DIVERSAS</t>
  </si>
  <si>
    <t>IV001</t>
  </si>
  <si>
    <t>IV002</t>
  </si>
  <si>
    <t>IV003</t>
  </si>
  <si>
    <t>IV004</t>
  </si>
  <si>
    <t>ER001</t>
  </si>
  <si>
    <t>ER002</t>
  </si>
  <si>
    <t>ER003</t>
  </si>
  <si>
    <t>PB001</t>
  </si>
  <si>
    <t>ID001</t>
  </si>
  <si>
    <t>Fondos FISDL</t>
  </si>
  <si>
    <t>CONSOLIDADO DE PROYECTOS DE INVERSION ECONOMICA</t>
  </si>
  <si>
    <t xml:space="preserve">INSTITUCION: </t>
  </si>
  <si>
    <t>ALCALDIA MUNICIPAL DE AGUILARES  DEPARTAMENTO DE SAN SALVADOR</t>
  </si>
  <si>
    <t>AREA DE GESTION : 3 DESARROLLO ECONOMICO</t>
  </si>
  <si>
    <t>UNIDAD PRESUPUESTARIA: 3 INVERSION PARA EL DESARROLLO ECONOMICO</t>
  </si>
  <si>
    <t>LINEA DE TRABAJO: 0303 INVERSION E INFRAESTRUCTURA ECONOMICA</t>
  </si>
  <si>
    <t>IV005</t>
  </si>
  <si>
    <t>IV006</t>
  </si>
  <si>
    <t>Institucion:ALCALDIA MUNICIPAL DE AGUILARES    DEPARTAMENTO DE SAN SALVADOR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</si>
  <si>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</si>
  <si>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</si>
  <si>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</si>
  <si>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</si>
  <si>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</si>
  <si>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</si>
  <si>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</si>
  <si>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</si>
  <si>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</si>
  <si>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</si>
  <si>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</si>
  <si>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</t>
  </si>
  <si>
    <t>ADMINISTRACION FINANCIERA</t>
  </si>
  <si>
    <t>SERVICIOS MUNICIPALES</t>
  </si>
  <si>
    <t>DESARROLLO SOCIAL</t>
  </si>
  <si>
    <t>03</t>
  </si>
  <si>
    <t>INVERSION E INSFRAESTRUCTURA SOCIAL</t>
  </si>
  <si>
    <t>0301/02</t>
  </si>
  <si>
    <t>PROYECTOS DE DESARROLLO SOCIAL</t>
  </si>
  <si>
    <t>APOYO AL DESARROLLO ECONOMICO</t>
  </si>
  <si>
    <t>INVERSION E INSFRAESTRUCTURA ECONOMICA</t>
  </si>
  <si>
    <t>0303/06</t>
  </si>
  <si>
    <t>PROYECTO DE DESARROLLO ECONOMICO</t>
  </si>
  <si>
    <t>DEUDA PUBLICA</t>
  </si>
  <si>
    <t>05</t>
  </si>
  <si>
    <t>FINANCIAMIENTO MUNICIPAL</t>
  </si>
  <si>
    <t>0501</t>
  </si>
  <si>
    <t>AMORTIZACIÓN DEL ENDEUDAMIENTO PUBLICO</t>
  </si>
  <si>
    <t>ALCALDIA MUNICIPAL DE AGUILARES, DEPARTAMENTO DE SAN SALVADOR</t>
  </si>
  <si>
    <t>BANCO HIPOTECARIO</t>
  </si>
  <si>
    <t>BANCO DE FOMENTO AGROPECUARIO</t>
  </si>
  <si>
    <t>100-120-700043-4</t>
  </si>
  <si>
    <t>Tesorería Municipal de Aguilares</t>
  </si>
  <si>
    <t>FF1</t>
  </si>
  <si>
    <t>FF3</t>
  </si>
  <si>
    <t>FF4</t>
  </si>
  <si>
    <t>FF5</t>
  </si>
  <si>
    <t>N°</t>
  </si>
  <si>
    <t>N° Cta</t>
  </si>
  <si>
    <t>Nombres de Cuenta Bancaria</t>
  </si>
  <si>
    <t>FODES 25%</t>
  </si>
  <si>
    <t>FODES 75%</t>
  </si>
  <si>
    <t>FISDL</t>
  </si>
  <si>
    <t>Fdo Mpal</t>
  </si>
  <si>
    <t>N/D</t>
  </si>
  <si>
    <t>ESTRUCTURA PRESUPUESTARIA</t>
  </si>
  <si>
    <t>PARA LA FORMULACION DEL PRESUPUESTO POR AREAS DE GESTION</t>
  </si>
  <si>
    <t>Area de Gestión</t>
  </si>
  <si>
    <t>Unidad Presupuestaria</t>
  </si>
  <si>
    <t>Línea de Trabajo</t>
  </si>
  <si>
    <t>Centro de Responsabilidad</t>
  </si>
  <si>
    <t>Direcciòn y Administración</t>
  </si>
  <si>
    <t>02</t>
  </si>
  <si>
    <t>Registro del Estado Familiar</t>
  </si>
  <si>
    <t>3</t>
  </si>
  <si>
    <t>PREINVERSION</t>
  </si>
  <si>
    <t>INVERSION PARA EL DESARROLLO SOCIAL</t>
  </si>
  <si>
    <t>INFRAESTRUCTURA SOCIAL</t>
  </si>
  <si>
    <t>INVERSION PARA EL DESARROLLO ECONÓMICO</t>
  </si>
  <si>
    <t>04</t>
  </si>
  <si>
    <t>INVERSION CON FONDOS DE PRESTAMOS</t>
  </si>
  <si>
    <t>SERVICIOS INTERNOS</t>
  </si>
  <si>
    <t>Ingenierìa y Proyectos</t>
  </si>
  <si>
    <t>0202</t>
  </si>
  <si>
    <t>SERVICIOS EXTERNOS</t>
  </si>
  <si>
    <t>Agua Potable, Mercados, Tiangue y rastro, Cementerio, Medio Ambiente</t>
  </si>
  <si>
    <t>Proyección Social, Centro de Formación de la Mujer, Casa de la Juventud</t>
  </si>
  <si>
    <t>Concejo Municipal, Despacho de Alcalde, Secretaría, Gerencia General,</t>
  </si>
  <si>
    <t>DIRECCION SUPERIOR</t>
  </si>
  <si>
    <t>ADMINISTRACION FINANCIERA Y TRIBUTARIA</t>
  </si>
  <si>
    <t>Sub-total</t>
  </si>
  <si>
    <t>Reg.Est. Familiar y Proyectos</t>
  </si>
  <si>
    <t>CAM, Ger. Partic. Ciud., Comunic., UAIP y otros</t>
  </si>
  <si>
    <t>FF1 25%</t>
  </si>
  <si>
    <t xml:space="preserve">FF2 </t>
  </si>
  <si>
    <t>Rubro</t>
  </si>
  <si>
    <t>Cuenta</t>
  </si>
  <si>
    <t>Obj. Especif.</t>
  </si>
  <si>
    <t>Especifico</t>
  </si>
  <si>
    <t>Fondo</t>
  </si>
  <si>
    <t>General</t>
  </si>
  <si>
    <t xml:space="preserve">Fondos </t>
  </si>
  <si>
    <t>Propios</t>
  </si>
  <si>
    <t>Préstamos</t>
  </si>
  <si>
    <t>Externos</t>
  </si>
  <si>
    <t>Internos</t>
  </si>
  <si>
    <t>Total</t>
  </si>
  <si>
    <t>INSTITUCION: ALCALDIA MUNICIPAL DE AGUILARES, DEPARTAMENTO DE SAN SALVADOR</t>
  </si>
  <si>
    <t>0101- 0102 Direccion y Administracion Municipal</t>
  </si>
  <si>
    <t>0201- 0202 Servicios Municipales</t>
  </si>
  <si>
    <t>Linea de Trabajo : 0101 Dirección y Administración Superior y 0102 Administ. financiera y tributaria</t>
  </si>
  <si>
    <t xml:space="preserve">Linea de Trabajo: 0201 Servicios Internos, y 0202 Servicios Externos </t>
  </si>
  <si>
    <r>
      <t xml:space="preserve">Centro de Responsabilidad </t>
    </r>
    <r>
      <rPr>
        <sz val="10"/>
        <rFont val="Calibri"/>
        <family val="2"/>
      </rPr>
      <t>→</t>
    </r>
  </si>
  <si>
    <t>EXPRESION PRESUPUESTARIA POR LINEA DE TRABAJO</t>
  </si>
  <si>
    <t>RUBRO, CUENTA, OBJETO ESPECIFICO Y FUENTE DE FINANCIAMIENTO</t>
  </si>
  <si>
    <t>UNIDAD PRESUPUESTARIA:         01 ADMINISTRACION MUNICIPAL</t>
  </si>
  <si>
    <t>EXPRESION PRESUPUESTARIA</t>
  </si>
  <si>
    <t>Fuentes de Financiamiento</t>
  </si>
  <si>
    <t>Fondo General 25% FF1</t>
  </si>
  <si>
    <t>Fondos Propios   FF2</t>
  </si>
  <si>
    <t>51101</t>
  </si>
  <si>
    <t>51105</t>
  </si>
  <si>
    <t>512</t>
  </si>
  <si>
    <t>51201</t>
  </si>
  <si>
    <t>513</t>
  </si>
  <si>
    <t>51401</t>
  </si>
  <si>
    <t>51501</t>
  </si>
  <si>
    <t>516</t>
  </si>
  <si>
    <t>MATERIALES E INSTRUMENTAL DE LABORATORIO</t>
  </si>
  <si>
    <t>61</t>
  </si>
  <si>
    <t>611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</si>
  <si>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</si>
  <si>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</si>
  <si>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</si>
  <si>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</si>
  <si>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</si>
  <si>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</si>
  <si>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</si>
  <si>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61105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</si>
  <si>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</si>
  <si>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</si>
  <si>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</si>
  <si>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</si>
  <si>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</si>
  <si>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</si>
  <si>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PROY.Y PROG.INVERS.DIVERSOS</t>
  </si>
  <si>
    <t>CUENTAS POR PAGAR DE AÑOS ANTERIORES GASTOS CORRIENTES</t>
  </si>
  <si>
    <t>ASIGNACIONES POR APLICAR</t>
  </si>
  <si>
    <t>ASIGNACIONES POR APLICAR GASTOS CORRIENTES</t>
  </si>
  <si>
    <t>INSTITUCION: ALCALDIA MUNICIPAL  DE  AGUILARES, DEPARTAMENTO DE  SAN SALVADOR</t>
  </si>
  <si>
    <t>LINEA DE TRABAJO:                       0101 DIRECCION Y ADMINISTRACION</t>
  </si>
  <si>
    <t>AREA DE GESTION:                          1 CONDUCCION ADMINISTRATIVA</t>
  </si>
  <si>
    <t>51107</t>
  </si>
  <si>
    <t>CONTRIBUCIONES PATRONALES A INST. SEG. SOCIAL PUBLICAS</t>
  </si>
  <si>
    <t>CONTRIBUCIONES PATRONALES A INST. SEG. SOCIAL PRIVADAS</t>
  </si>
  <si>
    <t>POR PRESTACION SERVICIOS EN EL PAIS</t>
  </si>
  <si>
    <t>POR PRESTACION SERVICIOS EN EL EXTERIOR</t>
  </si>
  <si>
    <t>SERVICIOS MUNICIPALES INTERNOS</t>
  </si>
  <si>
    <t>SERVICIOS MUNICIPALES EXTERNOS</t>
  </si>
  <si>
    <t>ER005</t>
  </si>
  <si>
    <t>ER006</t>
  </si>
  <si>
    <t>ID002</t>
  </si>
  <si>
    <t>ID003</t>
  </si>
  <si>
    <t>ER007</t>
  </si>
  <si>
    <t>ER008</t>
  </si>
  <si>
    <t>ER009</t>
  </si>
  <si>
    <t>FF1: FONDO GENERAL (FODES)</t>
  </si>
  <si>
    <t>FONDOS</t>
  </si>
  <si>
    <t>FF2: FONDOS PROPIOS</t>
  </si>
  <si>
    <t>FF3: PRESTAMOS EXTERNOS</t>
  </si>
  <si>
    <t>FF4: PRESTAMOS INTERNOS</t>
  </si>
  <si>
    <t>FF5: DONACIONES</t>
  </si>
  <si>
    <t>PRESTAMO</t>
  </si>
  <si>
    <t>AREAS DE GESTION</t>
  </si>
  <si>
    <t xml:space="preserve">AREA DE GESTION </t>
  </si>
  <si>
    <t>DES.SOC</t>
  </si>
  <si>
    <t>DES.ECON.</t>
  </si>
  <si>
    <t>DEUDA PUB.</t>
  </si>
  <si>
    <t>AG 3</t>
  </si>
  <si>
    <t>DES.EC.</t>
  </si>
  <si>
    <t xml:space="preserve">GRAN </t>
  </si>
  <si>
    <t>CODUCCION ADMINISTRATIVA   (AG 1)</t>
  </si>
  <si>
    <t>(AG 3)</t>
  </si>
  <si>
    <t>(AG  5)</t>
  </si>
  <si>
    <t>(AG 4)</t>
  </si>
  <si>
    <t>0101-</t>
  </si>
  <si>
    <t>0102-</t>
  </si>
  <si>
    <t>0201-</t>
  </si>
  <si>
    <t>0301</t>
  </si>
  <si>
    <t>0303</t>
  </si>
  <si>
    <t>0401</t>
  </si>
  <si>
    <t>Dir.y Admin</t>
  </si>
  <si>
    <t>Adm.financ.y trib.</t>
  </si>
  <si>
    <t>Serv.Mples</t>
  </si>
  <si>
    <t>Amort.Endeu.Pub.</t>
  </si>
  <si>
    <t>CONTRIBUCIONES PATRONALES A INST. SEG. SOC. PUB.</t>
  </si>
  <si>
    <t>CONTRIBUCIONES PATRONALES A INST. SEG. SOC. PRIV.</t>
  </si>
  <si>
    <t>POR PRESTACION SERV.EN EL EXTERIOR</t>
  </si>
  <si>
    <t>AL PERSONAL DE SERVICIOS EVENTUALES</t>
  </si>
  <si>
    <t>612</t>
  </si>
  <si>
    <t>61201</t>
  </si>
  <si>
    <t>61202</t>
  </si>
  <si>
    <t>EDIFICIOS E INSTALACIONES</t>
  </si>
  <si>
    <t>61299</t>
  </si>
  <si>
    <t>INMUEBLES DIVERSOS</t>
  </si>
  <si>
    <t>PROGRAMAS DE INVERSION SOCIAL</t>
  </si>
  <si>
    <t>DE EMPRESAS PRIVADAS FINANCIERAS</t>
  </si>
  <si>
    <t>Proy.Des.Social</t>
  </si>
  <si>
    <t>Proy.Des.Econ.</t>
  </si>
  <si>
    <t>Proy.Des.Soc.</t>
  </si>
  <si>
    <t>Proy.Des.Ec.</t>
  </si>
  <si>
    <t>0202-</t>
  </si>
  <si>
    <t>Adm.fin.y trib.</t>
  </si>
  <si>
    <t>CONSOLIDADO DE PROYECTOS DE INVERSION SOCIAL</t>
  </si>
  <si>
    <t>INSTITUCION: ALCALDIA MUNICIPAL DE AGUILARES   DEPARTAMENTO DE SAN SALVADOR.-</t>
  </si>
  <si>
    <t>AREA DE GESTION: 3 DESARROLLO SOCIAL</t>
  </si>
  <si>
    <t>UNIDAD PRESUPUESTARIA: 3 INVERSION PARA EL DESARROLLO SOCIAL</t>
  </si>
  <si>
    <t>LINEA DE TRABAJO: 0301 y 0302 INVERSION E INFRAESTRUCTURA SOCIAL</t>
  </si>
  <si>
    <t>DE SALUD Y SANEAMIENTO AMBIENTAL</t>
  </si>
  <si>
    <t>CONDUCCION ADMINISTRATIVA (AG 1)</t>
  </si>
  <si>
    <t>Institucion:ALCALDIA MUNICIPAL DE AGUILARES   DEPARTAMENTO DE SAN SALVADOR</t>
  </si>
  <si>
    <t>EGRESOS POR ESTRUCTURA PRESUPUESTARIA Y FUENTE DE FINANCIAMIENTO</t>
  </si>
  <si>
    <t>COD</t>
  </si>
  <si>
    <t>0301-02</t>
  </si>
  <si>
    <t>0303-05</t>
  </si>
  <si>
    <t>5</t>
  </si>
  <si>
    <t>Institucion:ALCALDIA MUNICIPAL DE AGUILARES DEPARTAMENTO DE SAN SALVADOR</t>
  </si>
  <si>
    <t>CUADRO RESUMEN DE INGRESOS Y EGRESOS</t>
  </si>
  <si>
    <t>Por Clasificación Económica y Fuente de Financiamiento</t>
  </si>
  <si>
    <t>INGRESOS</t>
  </si>
  <si>
    <t>RUBRO</t>
  </si>
  <si>
    <t>NOMBRE DEL RUBRO</t>
  </si>
  <si>
    <t xml:space="preserve">IMPUESTOS  </t>
  </si>
  <si>
    <t>VENTA DE BIENES Y SERVICIOS</t>
  </si>
  <si>
    <t xml:space="preserve">TRANSFERENCIAS CORRIENTES  </t>
  </si>
  <si>
    <t>EGRESOS</t>
  </si>
  <si>
    <t>CUADRO RESUMEN POR FUENTE DE FINANCIAMIENTO</t>
  </si>
  <si>
    <t>En dolares de Estados Unidos de America</t>
  </si>
  <si>
    <t>FUENTE</t>
  </si>
  <si>
    <t>FONDO GENERAL</t>
  </si>
  <si>
    <t>FONDOS PROPIOS</t>
  </si>
  <si>
    <t>PRESTAMOS INTERNOS</t>
  </si>
  <si>
    <t>DONACIONES</t>
  </si>
  <si>
    <t>Institución:ALCALDIA MUNICIPAL DE AGUILARES</t>
  </si>
  <si>
    <t>CONSOLIDADO PRESUPUESTARIO</t>
  </si>
  <si>
    <t>CUENTAS POR PAGAR DE AÑOS ANTERIORES GASTOS CTES.</t>
  </si>
  <si>
    <t>CONSOLIDADO DEL ENDEUDAMIENTO PUBLICO</t>
  </si>
  <si>
    <t>En Dólares de Estados Unidos de América</t>
  </si>
  <si>
    <t>AREA DE GESTION: 5, DEUDA PUBLICA</t>
  </si>
  <si>
    <t>UNIDAD PRESUPUESTARIA: 05 FINANCIAMIENTO MUNICIPAL</t>
  </si>
  <si>
    <t>LINEA DE TRABAJO: 0401 AMORTIZACION DEL ENDEUDAMIENTO PUBLICO</t>
  </si>
  <si>
    <t>PRESUP.</t>
  </si>
  <si>
    <t>Fondos Propios</t>
  </si>
  <si>
    <t xml:space="preserve">Préstamos </t>
  </si>
  <si>
    <t>INTERESES Y COMISIONES DE EMPRESTITOS</t>
  </si>
  <si>
    <t>DE INSTITUCIONES DESCENTRALIZADAS NO EMPRES.</t>
  </si>
  <si>
    <t>DE EMPRESAS PUBLICAS FINANCIERAS (FIDEMUNI)</t>
  </si>
  <si>
    <t>DE EMPRESAS PUBLICAS FINANCIERAS (HIPOTECARIO)</t>
  </si>
  <si>
    <t>ALCALDIA MUNICIPAL DE AGUILARES, DEPARTAMENTO DESAN SALVADOR</t>
  </si>
  <si>
    <t>Cód</t>
  </si>
  <si>
    <t>Nombre de la Cuenta</t>
  </si>
  <si>
    <t>Comercio</t>
  </si>
  <si>
    <t>Industria</t>
  </si>
  <si>
    <t>Financiero</t>
  </si>
  <si>
    <t>Servicios</t>
  </si>
  <si>
    <t>Agropecuarios</t>
  </si>
  <si>
    <t>Bares y Restaurantes</t>
  </si>
  <si>
    <t>Centros de Enseñanza</t>
  </si>
  <si>
    <t>Estudios Fotográficos</t>
  </si>
  <si>
    <t>Hoteles,Moteles y Similares</t>
  </si>
  <si>
    <t>Loterias de Cartón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</si>
  <si>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</si>
  <si>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</si>
  <si>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</si>
  <si>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</si>
  <si>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</si>
  <si>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</si>
  <si>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</si>
  <si>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</si>
  <si>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Servicios de Certificación</t>
  </si>
  <si>
    <t>Expedición Docum. de Identificación</t>
  </si>
  <si>
    <t>Alumbrado Público</t>
  </si>
  <si>
    <t>Aseo Público</t>
  </si>
  <si>
    <t>Casetas Teléfonicas</t>
  </si>
  <si>
    <t>Cementerios Municipales</t>
  </si>
  <si>
    <t>Disposición final de Desechos</t>
  </si>
  <si>
    <t>Fiestas</t>
  </si>
  <si>
    <t>Mercados</t>
  </si>
  <si>
    <t>Pavimentación</t>
  </si>
  <si>
    <t>Postes,torres y antenas</t>
  </si>
  <si>
    <t>Rastro y Tiangue</t>
  </si>
  <si>
    <t>Revisión de planos</t>
  </si>
  <si>
    <t>Permisos y Licencias Municipales</t>
  </si>
  <si>
    <t>Cotejo de Fierros</t>
  </si>
  <si>
    <t>Por Regalias</t>
  </si>
  <si>
    <t>Serv.Agua Potable</t>
  </si>
  <si>
    <t>Servicios diversos</t>
  </si>
  <si>
    <t>Intereses por Mora Impuestos</t>
  </si>
  <si>
    <t>Multas por Registro Civil</t>
  </si>
  <si>
    <t>Otras multas municipales</t>
  </si>
  <si>
    <t>Arrendamiento de Bienes Inmuebles</t>
  </si>
  <si>
    <t>Rentabilidad de Ctas.Bancarias</t>
  </si>
  <si>
    <t>Ingresos Diversos</t>
  </si>
  <si>
    <t>TRANSFERENCIAS DEL GOBIERNO CENTRAL Y OTRAS FUENTES DE FINANCIAMIENTO</t>
  </si>
  <si>
    <t>Tranferencias Corrientes provenientes del FODES (25% para funcionamiento)</t>
  </si>
  <si>
    <t>Mensual</t>
  </si>
  <si>
    <t>Anual</t>
  </si>
  <si>
    <t>Transferencias Corrientes del Sector Publico</t>
  </si>
  <si>
    <t>Tranferencias de Capital provenientes del FODES (75% para inversion) y otras fuentes</t>
  </si>
  <si>
    <t>Transferencias  de Capital del Sector Publico - FODES</t>
  </si>
  <si>
    <t>Transferencias de Capital del Sector Privado</t>
  </si>
  <si>
    <t>De Organismos sin fines de Lucro</t>
  </si>
  <si>
    <t>Transferencias de Capital del Sector Externo</t>
  </si>
  <si>
    <t>De Gobierno y Organismos Gubernamentales</t>
  </si>
  <si>
    <t>Endeudamiento Público</t>
  </si>
  <si>
    <t>De Empresas Públicas Financieras</t>
  </si>
  <si>
    <t>Sub-Total</t>
  </si>
  <si>
    <t>Total Ingresos</t>
  </si>
  <si>
    <t>Saldos Bancarios</t>
  </si>
  <si>
    <t>Presupuesto Ingresos</t>
  </si>
  <si>
    <t xml:space="preserve">   </t>
  </si>
  <si>
    <t>PROYECCION DE INGRESOS POR METODO DE</t>
  </si>
  <si>
    <t>LOS MINIMOS CUADRADOS</t>
  </si>
  <si>
    <t>X</t>
  </si>
  <si>
    <t>n</t>
  </si>
  <si>
    <t>Y</t>
  </si>
  <si>
    <t>XY</t>
  </si>
  <si>
    <t>a=</t>
  </si>
  <si>
    <t>b=</t>
  </si>
  <si>
    <t>i=</t>
  </si>
  <si>
    <t>RASTRO y TIANGUE</t>
  </si>
  <si>
    <t>100-120-700270-4</t>
  </si>
  <si>
    <t>IV007</t>
  </si>
  <si>
    <t>IV008</t>
  </si>
  <si>
    <t>DEPOSITO DE DESECHOS</t>
  </si>
  <si>
    <t>IV009</t>
  </si>
  <si>
    <t>C.A.M., Comunicaciones, U.A.I.P.,Gerente Participación Ciudadana</t>
  </si>
  <si>
    <t>Aseo Publico, Alumbrado Público, Mantenimiento de Maquinaria,</t>
  </si>
  <si>
    <t>INVERSION CON FONDOS DE PFGL/FISDL</t>
  </si>
  <si>
    <t>INVERSION CON FONDOS DE OIT /OTROS DONACIONES</t>
  </si>
  <si>
    <t>Disposición de Desechos</t>
  </si>
  <si>
    <t>Recoleccion de Desechos</t>
  </si>
  <si>
    <t>0301-0302-303</t>
  </si>
  <si>
    <t xml:space="preserve">                                                    </t>
  </si>
  <si>
    <t>ER010</t>
  </si>
  <si>
    <t>ER011</t>
  </si>
  <si>
    <t>Gerente Administrativo,Sindicatura,'Recursos Humanos,Unidad  Jurídica, Auditoría Interna</t>
  </si>
  <si>
    <t>0301-0302-0303</t>
  </si>
  <si>
    <t>AG 5</t>
  </si>
  <si>
    <t>0401-</t>
  </si>
  <si>
    <t>Presupuesto,Tesorería, Contabilidad, UATM, Catastro, Cuentas Corrientes,</t>
  </si>
  <si>
    <t>Cobro y recuperacion de mora, UACI</t>
  </si>
  <si>
    <t>COSTOS</t>
  </si>
  <si>
    <t>SALUD Y SANEAMIENTO AMBIENTAL</t>
  </si>
  <si>
    <t>Costos</t>
  </si>
  <si>
    <t>0302</t>
  </si>
  <si>
    <t>Proy.Económ</t>
  </si>
  <si>
    <t>Social</t>
  </si>
  <si>
    <t>Prëstamo</t>
  </si>
  <si>
    <t>Funcionamiento del Centro de Atención Infantil</t>
  </si>
  <si>
    <t>isna</t>
  </si>
  <si>
    <t>Alcaldía Municipal de Aguilares</t>
  </si>
  <si>
    <t>ER012</t>
  </si>
  <si>
    <t>ER013</t>
  </si>
  <si>
    <r>
      <t xml:space="preserve">TRANSF. DE CAPITAL DEL SECT. PUB. </t>
    </r>
    <r>
      <rPr>
        <b/>
        <sz val="11"/>
        <color theme="1"/>
        <rFont val="Arial Narrow"/>
        <family val="2"/>
      </rPr>
      <t>(isna)</t>
    </r>
  </si>
  <si>
    <t xml:space="preserve">De Educación y Recreacion </t>
  </si>
  <si>
    <t>PROY</t>
  </si>
  <si>
    <t>Transferencias  de Capital del Sector Publico - isna</t>
  </si>
  <si>
    <t>Proy. Seg.catastro</t>
  </si>
  <si>
    <t>Pago Aguinaldos de Empleados 2018</t>
  </si>
  <si>
    <t>Revestimiento con mezcla asfaltica</t>
  </si>
  <si>
    <t>Prevención de la Violencia hacia las Mujeres y Acciones Afirmativas</t>
  </si>
  <si>
    <t>Contrapartida de Proyecto de Agua Gestionado por Cordes</t>
  </si>
  <si>
    <t>PRODUCTOS FORESTALES</t>
  </si>
  <si>
    <t>Para el año 2020, el valor de X=3</t>
  </si>
  <si>
    <r>
      <t>Y</t>
    </r>
    <r>
      <rPr>
        <b/>
        <vertAlign val="subscript"/>
        <sz val="10"/>
        <rFont val="Arial"/>
        <family val="2"/>
      </rPr>
      <t>2020</t>
    </r>
  </si>
  <si>
    <t>Proyectos fodes 2%</t>
  </si>
  <si>
    <t>Fiestas Patronales de Aguilares 2020/2021</t>
  </si>
  <si>
    <t>Unidad de la Mujer 2020</t>
  </si>
  <si>
    <t>Mantto. y balastreo de Calles Urbanas y Rurales del Municipio (2020)</t>
  </si>
  <si>
    <t>Clínica Municipal, Activo Fijo,Medio Ambiente</t>
  </si>
  <si>
    <t>100-120-700381-6</t>
  </si>
  <si>
    <t>Introduccion de Agua Potable en los lirios</t>
  </si>
  <si>
    <t>100-120-700374-3</t>
  </si>
  <si>
    <t>Ingresos Diversos de la Municipalidad</t>
  </si>
  <si>
    <t>Asfaltado desde el Kinder</t>
  </si>
  <si>
    <t>Calle Principal Altos de la Toma</t>
  </si>
  <si>
    <t>Compra de dos Camiones Compactadores</t>
  </si>
  <si>
    <t>Prolongación de Calle Ppal de col. Venecia</t>
  </si>
  <si>
    <t>Pavimentación de 455mt Calle entre Col. Tres Campanas</t>
  </si>
  <si>
    <t>Pavimentación desde Plaza Hidalgo a Col.Santa Eugenia</t>
  </si>
  <si>
    <t>Pavimentación de Pje Girón y Pje Gabriela Col.Salinas 1</t>
  </si>
  <si>
    <t>Pavimentación de Prolong.Boulevard hasta El Cocalito</t>
  </si>
  <si>
    <t>Pavimentación de pje 1 Col. El Porvenir</t>
  </si>
  <si>
    <t>Pavimentación hasta la Iglesia Católica</t>
  </si>
  <si>
    <t xml:space="preserve">OBRAS SOCIALES DIVERSAS </t>
  </si>
  <si>
    <t>COSTO</t>
  </si>
  <si>
    <t>IV011</t>
  </si>
  <si>
    <t>IV012</t>
  </si>
  <si>
    <t>IV013</t>
  </si>
  <si>
    <t>IV014</t>
  </si>
  <si>
    <t>IV015</t>
  </si>
  <si>
    <t>Pav.Prolong. Av Ctral Nte desde 20a C. a Iglesia  Católica sn josé</t>
  </si>
  <si>
    <t>Pavimentación Pje 1 Colonia El Porvenir</t>
  </si>
  <si>
    <t>Pavimentación de Calle Ppal de Altos de la Toma</t>
  </si>
  <si>
    <t>IV016</t>
  </si>
  <si>
    <t>IV017</t>
  </si>
  <si>
    <t xml:space="preserve">Pavimentación de Pje Girón y Pje Gabriela Col. Salinas </t>
  </si>
  <si>
    <t>Pavimentación de 455mt de C. entre Col. Tres Campana y Los Mangos</t>
  </si>
  <si>
    <t xml:space="preserve">Pavimentación 2a Calle Pte desde Av. Ferrocarril a Av.Manuel Calderón </t>
  </si>
  <si>
    <t>IV018</t>
  </si>
  <si>
    <t>IV019</t>
  </si>
  <si>
    <t>Pavimentación de Prolong. Boulevard hasta El Cocalito</t>
  </si>
  <si>
    <t>Pavimentación de 4a Calle Pte hasta Interspción Boulevard Salinas</t>
  </si>
  <si>
    <t>IV020</t>
  </si>
  <si>
    <t>IV021</t>
  </si>
  <si>
    <t>Pavimentaión de Calle desde Plaza Hidalgo hasta Col. Santa Eugenia</t>
  </si>
  <si>
    <t>ER014</t>
  </si>
  <si>
    <t>Programa de Becas a Estudiantes de Escasos Recursos 2020</t>
  </si>
  <si>
    <t>Introd. Agua Potable en los Lirios</t>
  </si>
  <si>
    <t>FODES 75%+2%</t>
  </si>
  <si>
    <t>Fondos ISNA</t>
  </si>
  <si>
    <t>IV022</t>
  </si>
  <si>
    <t>DE EMPRESAS PUBLICAS FINANCIERAS (HIPOTECARO)</t>
  </si>
  <si>
    <t>DE EMPRESAS PRIVADAS NO FINANCIERAS (VALAGRO)</t>
  </si>
  <si>
    <t>INGRESOS CORRIENTES REALES DE 2016 AL 2020</t>
  </si>
  <si>
    <t>Proy.2021</t>
  </si>
  <si>
    <t>PROYECCION DE INGRESOS CORRIENTES PARA EL AÑO 2021</t>
  </si>
  <si>
    <t>Ejercicio Financiero Fiscal 2021</t>
  </si>
  <si>
    <r>
      <t xml:space="preserve">EJERCICIO FINANCIERO FISCAL:    </t>
    </r>
    <r>
      <rPr>
        <b/>
        <sz val="11"/>
        <color theme="1"/>
        <rFont val="Arial Narrow"/>
        <family val="2"/>
      </rPr>
      <t>2021</t>
    </r>
  </si>
  <si>
    <t>Mantto. y balastreo de Calles Urbanas y Rurales del Municipio (2021)</t>
  </si>
  <si>
    <t>Mantenimiento y Mejoram.Red Agua de Estaciones de Bombeo/2020</t>
  </si>
  <si>
    <t>Mantto y Mejoram.Red Agua de Estaciones de Bombeo 2021</t>
  </si>
  <si>
    <t>Transporte y Disposición final de desechos sólidos (2021)</t>
  </si>
  <si>
    <t>Disposición final de desechos sólidos (2020)</t>
  </si>
  <si>
    <t>ID004</t>
  </si>
  <si>
    <t>Mantenimiento de Zonas Verdes 2021</t>
  </si>
  <si>
    <t>Mantenimiento de Maquinaria, equipo y vehiculos 2020</t>
  </si>
  <si>
    <t>Mantenimiento de Maquinaria, equipoy vehiculos 2021</t>
  </si>
  <si>
    <t>Apoyo al Deporte y Escuelas de Futball 2021</t>
  </si>
  <si>
    <r>
      <t xml:space="preserve">EJERCICIO FINANCIERO FISCAL: </t>
    </r>
    <r>
      <rPr>
        <b/>
        <sz val="11"/>
        <color theme="1"/>
        <rFont val="Arial Narrow"/>
        <family val="2"/>
      </rPr>
      <t>2021</t>
    </r>
  </si>
  <si>
    <t>Mantto. Y Func.del Centro de Formación de la Mujer 2021</t>
  </si>
  <si>
    <t>Fomento al Deporte 2020</t>
  </si>
  <si>
    <t>Casa de la Juventud 2020</t>
  </si>
  <si>
    <t>Promoción  al Turismo 2020</t>
  </si>
  <si>
    <t>Promoción a la Cultura y al Turismo 2021</t>
  </si>
  <si>
    <t>Programa de Becas a Estudiantes de Escasos Recursos 2021</t>
  </si>
  <si>
    <t>Pavimentación de Prolongac. Calle Ppal Colonia Las Pampitas (2020)</t>
  </si>
  <si>
    <t>Pavimentación de Prolongación de Calle Ppal col. Venecia (2020)</t>
  </si>
  <si>
    <t>Mantto. Funcionam.y Compra de Medicamento en Clinica Mpal (2020)</t>
  </si>
  <si>
    <t>Equipamiento con juegos para niños en el Parque Mpal (2020)</t>
  </si>
  <si>
    <t xml:space="preserve"> Const.de Techo en Centro Escolar Canton Los Mangos (2020)</t>
  </si>
  <si>
    <t xml:space="preserve">              </t>
  </si>
  <si>
    <t>Mantto.y funcionam. Ctro de Formación Int. de la niñez y adolec. 2021</t>
  </si>
  <si>
    <t>Mantto de Alumbrado Público 2021</t>
  </si>
  <si>
    <t>Unidad de la Mujer 2021</t>
  </si>
  <si>
    <t>Mantto. Funcionam.y Compra de Medicamento en Clinica Mpal (2021)</t>
  </si>
  <si>
    <t>Pav. Asfalt. De Cl Ppal de Colonia Girón (entrada de Troncal del Nte)</t>
  </si>
  <si>
    <t>Contin. De Pav. Asfalt. Desde Pje #2 hasta cancha de Futbol de Col, Sta Eugenia</t>
  </si>
  <si>
    <t>Pav. Asfalt. Pje#10 Oriente de Colonia Los Mangos</t>
  </si>
  <si>
    <t>Pav. Asfalt. Pje#7 Oriente de Colinia Los Mangos</t>
  </si>
  <si>
    <t>Pav. Asfalt. Pje# 2 de Colonia El Porvenir</t>
  </si>
  <si>
    <t xml:space="preserve">Pav. Asfalt. De Calle Principal de Portales de jerusalén </t>
  </si>
  <si>
    <t>Pav. Asfalt. De tramo de 2a. Av. Nte entre 8a. Cl Ote y Mercado Municipal</t>
  </si>
  <si>
    <t>Const. De Oficinas Administrativas en 2a. Planta</t>
  </si>
  <si>
    <t>Mejoramiento de Tiangue Municipal</t>
  </si>
  <si>
    <t>Compra de Motocicletas Equip. De CAM y Bicicletas para UATM</t>
  </si>
  <si>
    <t>Constr. De Pozo en Colonia Florida #3</t>
  </si>
  <si>
    <t>Perf.y Equip. De Pozo de Agua Potable Col. Maria Auxiliadora</t>
  </si>
  <si>
    <t>Construción de tres cercas perimetrales</t>
  </si>
  <si>
    <t>Reparación de 3 tanques</t>
  </si>
  <si>
    <t>Compra de Medidores, Tuberias y Accesorios</t>
  </si>
  <si>
    <t>Ejercicio Financiero 2021</t>
  </si>
  <si>
    <t>LISTADO DE CUENTAS BANCARIAS Y SUS SALDOS AL 31 DE DICIEMBRE DE 2020</t>
  </si>
  <si>
    <t>Saldo 31/12/20</t>
  </si>
  <si>
    <t>Equipamiento con juegos para niños en el parque</t>
  </si>
  <si>
    <t>Fodes 2% para Inversión</t>
  </si>
  <si>
    <t>Prevension y Acciones para Combatir El Covid-19</t>
  </si>
  <si>
    <t>GOES</t>
  </si>
  <si>
    <t>Pandemia y Alerta Roja por Tormenta Amanda</t>
  </si>
  <si>
    <t>Alerta Roja por Tormenta Cristobal</t>
  </si>
  <si>
    <t>Ejecucion de proyecto Pandemia Covid-19 (3)</t>
  </si>
  <si>
    <t>Pavimentac.10a Calle Ote hasta Interc.Troncal Nte</t>
  </si>
  <si>
    <t>Pavimentac.2a Calle Pte Av. Ferrea hasta Av.Manuel</t>
  </si>
  <si>
    <t>Pav Prolong.Calle Ppal Col.Las Pampitas</t>
  </si>
  <si>
    <t>Adoquinado Comunidad Buen Pastor</t>
  </si>
  <si>
    <t>Mantenimiento de zonas verdes</t>
  </si>
  <si>
    <t>Techado plaza Civica Complejo Educativo los Mangos</t>
  </si>
  <si>
    <t>100-120-700384-0</t>
  </si>
  <si>
    <t>Mantenimiento y mejoram.red de Agua</t>
  </si>
  <si>
    <t>100-120-700388-3</t>
  </si>
  <si>
    <t>Apoyo al Deporte y Escuelas de Futball 2020</t>
  </si>
  <si>
    <t>100-120-700385-9</t>
  </si>
  <si>
    <t>Mantenimiento de Maquinaria 2020</t>
  </si>
  <si>
    <t>100-120-700387-5</t>
  </si>
  <si>
    <t>Reparac. De Calles Urbanas y Rurales 2020</t>
  </si>
  <si>
    <t>100-120-700386-7</t>
  </si>
  <si>
    <t>Transporte y Disposicion Final de Desechos 2020</t>
  </si>
  <si>
    <t>100-120-700390-5</t>
  </si>
  <si>
    <t>Centro de Atencion Infantil 2020</t>
  </si>
  <si>
    <t>100-120-700389-1</t>
  </si>
  <si>
    <t>100-120-700393-0</t>
  </si>
  <si>
    <t>Progama de Becas a Estudiantes 2020</t>
  </si>
  <si>
    <t>100-120-700392-1</t>
  </si>
  <si>
    <t>Mantto. Y Funcionam.del Centro Integral de la Niñez 2020</t>
  </si>
  <si>
    <t>100-120-700391-3</t>
  </si>
  <si>
    <t>Manto. De Alumbrado 2020</t>
  </si>
  <si>
    <t>100-120-700394-8</t>
  </si>
  <si>
    <t>Compra de Medicaamentos para Clinica Mpal. 2020</t>
  </si>
  <si>
    <t>100-120-700397-2</t>
  </si>
  <si>
    <t>Centro de Formacion de la Mujer 2020</t>
  </si>
  <si>
    <t>100-120-700398-0</t>
  </si>
  <si>
    <t>Construccion de Muro Retencion en Col. San Antonio 2</t>
  </si>
  <si>
    <t>100-120-7003999-9</t>
  </si>
  <si>
    <t>Mejoramiento de Cancha en Col. Sta Eugenia</t>
  </si>
  <si>
    <t>Cuota Fodes 25% pendiente Diciembre/2020</t>
  </si>
  <si>
    <t>Cuota Fodes 75% pendiente Diciembre/2020</t>
  </si>
  <si>
    <t>Cuota Fodes 2% pendiente Diciembre/2020</t>
  </si>
  <si>
    <r>
      <t xml:space="preserve">EJERCICIO FINANCIERO FISCAL: </t>
    </r>
    <r>
      <rPr>
        <sz val="12"/>
        <color theme="1"/>
        <rFont val="Arial Narrow"/>
        <family val="2"/>
      </rPr>
      <t>2021</t>
    </r>
  </si>
  <si>
    <t>Fondos goes</t>
  </si>
  <si>
    <t>Prevencion y Acciones p/Combatir el Covid-19</t>
  </si>
  <si>
    <t>Pandemia y Alerta Roja po Tormenta Amanda</t>
  </si>
  <si>
    <t>Pandemia y Alerta Roja po Tormenta Cristobal</t>
  </si>
  <si>
    <t>Ejecucion de Proyecto por Pandemia Covid-19</t>
  </si>
  <si>
    <t>Pavimentación de 10a Calle Ote. hasta Intersepc.Col. Troncal del Nte</t>
  </si>
  <si>
    <t>Contrapartida de Proy. Pavimentación de Calle Concepción Col.Vaquero</t>
  </si>
  <si>
    <t>Mantto. Y Funcionamiento del Centro de Atencion infantil (2021)</t>
  </si>
  <si>
    <t>Equipamiento para Departamentos Municipales</t>
  </si>
  <si>
    <t>Mantto. Y Func.del Centro de Formación de la Mujer 2020</t>
  </si>
  <si>
    <t>Mantto de Alumbrado Público 2020</t>
  </si>
  <si>
    <t>Mantto. Y Funcionamiento del Centro de Atencion infantil (2020)</t>
  </si>
  <si>
    <t>Adoquinado en Comunidad El Buen Pastor</t>
  </si>
  <si>
    <t>Cuneteado y balastreo de cont. Av. Central (terreno priv.) de Cl. Sn Jose</t>
  </si>
  <si>
    <t xml:space="preserve">Pav. Asfalt. De tramo de Cl entre el INA y Cl a Reparto La Toma </t>
  </si>
  <si>
    <t>Pavimentación de Calle Antigua a Aguilares Col. Florida</t>
  </si>
  <si>
    <t>Pavimentación de Calle PPAL Comunidad Bolivar Cton Las Tunas</t>
  </si>
  <si>
    <t>Pavimentación Asfaltica de Prolong. De pje 9 Col. Tres Campanas</t>
  </si>
  <si>
    <t>Cuentas por Cobrar años Anteriores</t>
  </si>
  <si>
    <t>Cuentas por Cobrar años Anteriores 2% Fodes</t>
  </si>
  <si>
    <t>Cuentas por Cobrar años ant. 2% fodes</t>
  </si>
  <si>
    <t>Fondos</t>
  </si>
  <si>
    <t>Goes</t>
  </si>
  <si>
    <t>Mejoramiento de Cancha en Col. Santa Eugenia</t>
  </si>
  <si>
    <t>goe</t>
  </si>
  <si>
    <t>EJERCICIO FINANCIERO FISCAL: 2021</t>
  </si>
  <si>
    <t>EJERCICIO FISCAL 2021</t>
  </si>
  <si>
    <t>EJERCICIO FISCAL 2021.-</t>
  </si>
  <si>
    <r>
      <t xml:space="preserve">Ejercicio Financiero Fiscal:  </t>
    </r>
    <r>
      <rPr>
        <b/>
        <sz val="12"/>
        <rFont val="Arial Narrow"/>
        <family val="2"/>
      </rPr>
      <t>2021</t>
    </r>
  </si>
  <si>
    <t>FONDOS GOES</t>
  </si>
  <si>
    <t>Cuentas por cobrar años anteriores</t>
  </si>
  <si>
    <t>ALCALDIA MUNICIPAL DE AGUILARES, DEPARTAMENTO DE SAN SALVADOR - PRESUPUESTO APROBADO PARA EL AÑO 2021.-_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</si>
</sst>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¢&quot;* #,##0.00_);_(&quot;¢&quot;* \(#,##0.00\);_(&quot;¢&quot;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 * #,##0_ ;_ * \-#,##0_ ;_ * &quot;-&quot;??_ ;_ @_ "/>
    <numFmt numFmtId="170" formatCode="_ * #,##0.00_ ;_ * \-#,##0.00_ ;_ * &quot;-&quot;??_ ;_ @_ "/>
    <numFmt numFmtId="171" formatCode="&quot;$&quot;#,##0.0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i/>
      <sz val="11"/>
      <name val="Arial Narrow"/>
      <family val="2"/>
    </font>
    <font>
      <b/>
      <sz val="11"/>
      <color indexed="9"/>
      <name val="Arial Narrow"/>
      <family val="2"/>
    </font>
    <font>
      <i/>
      <sz val="12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Calibri"/>
      <family val="2"/>
      <scheme val="minor"/>
    </font>
    <font>
      <sz val="11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715">
    <xf numFmtId="0" fontId="0" fillId="0" borderId="0" xfId="0"/>
    <xf numFmtId="0" fontId="2" fillId="0" borderId="0" xfId="0" applyFont="1"/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19" xfId="0" applyFont="1" applyBorder="1" applyAlignment="1">
      <alignment horizontal="center"/>
    </xf>
    <xf numFmtId="0" fontId="3" fillId="0" borderId="7" xfId="0" applyFont="1" applyBorder="1"/>
    <xf numFmtId="0" fontId="2" fillId="0" borderId="19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2" fillId="0" borderId="0" xfId="0" applyNumberFormat="1" applyFont="1"/>
    <xf numFmtId="0" fontId="3" fillId="0" borderId="16" xfId="0" applyFont="1" applyBorder="1" applyAlignment="1">
      <alignment horizontal="center"/>
    </xf>
    <xf numFmtId="44" fontId="4" fillId="0" borderId="18" xfId="0" applyNumberFormat="1" applyFont="1" applyBorder="1"/>
    <xf numFmtId="44" fontId="2" fillId="0" borderId="18" xfId="0" applyNumberFormat="1" applyFont="1" applyBorder="1"/>
    <xf numFmtId="44" fontId="2" fillId="0" borderId="20" xfId="0" applyNumberFormat="1" applyFont="1" applyBorder="1"/>
    <xf numFmtId="44" fontId="3" fillId="0" borderId="3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13" xfId="0" applyFont="1" applyBorder="1"/>
    <xf numFmtId="44" fontId="3" fillId="0" borderId="21" xfId="0" applyNumberFormat="1" applyFont="1" applyBorder="1"/>
    <xf numFmtId="44" fontId="2" fillId="0" borderId="13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44" fontId="3" fillId="0" borderId="25" xfId="0" applyNumberFormat="1" applyFont="1" applyBorder="1" applyAlignment="1">
      <alignment horizontal="center"/>
    </xf>
    <xf numFmtId="44" fontId="3" fillId="0" borderId="7" xfId="0" applyNumberFormat="1" applyFont="1" applyBorder="1"/>
    <xf numFmtId="44" fontId="3" fillId="0" borderId="22" xfId="0" applyNumberFormat="1" applyFont="1" applyBorder="1"/>
    <xf numFmtId="44" fontId="3" fillId="0" borderId="23" xfId="0" applyNumberFormat="1" applyFont="1" applyBorder="1"/>
    <xf numFmtId="44" fontId="2" fillId="0" borderId="7" xfId="0" applyNumberFormat="1" applyFont="1" applyBorder="1"/>
    <xf numFmtId="44" fontId="5" fillId="0" borderId="3" xfId="0" applyNumberFormat="1" applyFont="1" applyBorder="1"/>
    <xf numFmtId="44" fontId="3" fillId="0" borderId="29" xfId="0" applyNumberFormat="1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2" fillId="0" borderId="13" xfId="0" applyFont="1" applyBorder="1"/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2" fillId="0" borderId="29" xfId="0" applyNumberFormat="1" applyFont="1" applyBorder="1"/>
    <xf numFmtId="44" fontId="2" fillId="0" borderId="22" xfId="0" applyNumberFormat="1" applyFont="1" applyBorder="1"/>
    <xf numFmtId="44" fontId="3" fillId="0" borderId="10" xfId="0" applyNumberFormat="1" applyFont="1" applyBorder="1"/>
    <xf numFmtId="44" fontId="3" fillId="0" borderId="12" xfId="0" applyNumberFormat="1" applyFont="1" applyBorder="1"/>
    <xf numFmtId="0" fontId="3" fillId="0" borderId="1" xfId="0" applyFont="1" applyBorder="1" applyAlignment="1">
      <alignment horizontal="center"/>
    </xf>
    <xf numFmtId="44" fontId="3" fillId="0" borderId="2" xfId="0" applyNumberFormat="1" applyFont="1" applyBorder="1"/>
    <xf numFmtId="44" fontId="3" fillId="0" borderId="27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6" fillId="0" borderId="3" xfId="0" applyFont="1" applyBorder="1"/>
    <xf numFmtId="44" fontId="6" fillId="0" borderId="3" xfId="0" applyNumberFormat="1" applyFont="1" applyBorder="1"/>
    <xf numFmtId="44" fontId="6" fillId="0" borderId="36" xfId="0" applyNumberFormat="1" applyFont="1" applyBorder="1"/>
    <xf numFmtId="44" fontId="0" fillId="0" borderId="0" xfId="0" applyNumberFormat="1"/>
    <xf numFmtId="0" fontId="2" fillId="0" borderId="1" xfId="0" applyFont="1" applyBorder="1"/>
    <xf numFmtId="44" fontId="2" fillId="0" borderId="35" xfId="0" applyNumberFormat="1" applyFont="1" applyBorder="1"/>
    <xf numFmtId="0" fontId="10" fillId="0" borderId="14" xfId="1" applyFont="1" applyBorder="1"/>
    <xf numFmtId="0" fontId="10" fillId="0" borderId="30" xfId="1" applyFont="1" applyBorder="1"/>
    <xf numFmtId="0" fontId="10" fillId="0" borderId="31" xfId="1" applyFont="1" applyBorder="1"/>
    <xf numFmtId="0" fontId="10" fillId="0" borderId="11" xfId="1" applyFont="1" applyBorder="1"/>
    <xf numFmtId="0" fontId="10" fillId="0" borderId="34" xfId="1" applyFont="1" applyBorder="1"/>
    <xf numFmtId="0" fontId="10" fillId="0" borderId="0" xfId="1" applyFont="1"/>
    <xf numFmtId="0" fontId="10" fillId="0" borderId="15" xfId="1" applyFont="1" applyBorder="1"/>
    <xf numFmtId="0" fontId="10" fillId="0" borderId="40" xfId="1" applyFont="1" applyBorder="1"/>
    <xf numFmtId="49" fontId="10" fillId="0" borderId="24" xfId="2" applyNumberFormat="1" applyFont="1" applyBorder="1" applyAlignment="1">
      <alignment horizontal="center"/>
    </xf>
    <xf numFmtId="49" fontId="10" fillId="0" borderId="25" xfId="2" applyNumberFormat="1" applyFont="1" applyBorder="1" applyAlignment="1">
      <alignment horizontal="center"/>
    </xf>
    <xf numFmtId="49" fontId="10" fillId="0" borderId="41" xfId="2" applyNumberFormat="1" applyFont="1" applyBorder="1" applyAlignment="1">
      <alignment horizontal="left"/>
    </xf>
    <xf numFmtId="4" fontId="10" fillId="0" borderId="23" xfId="2" applyNumberFormat="1" applyFont="1" applyBorder="1" applyAlignment="1">
      <alignment horizontal="center"/>
    </xf>
    <xf numFmtId="4" fontId="10" fillId="0" borderId="19" xfId="2" applyNumberFormat="1" applyFont="1" applyBorder="1" applyAlignment="1">
      <alignment horizontal="center" wrapText="1"/>
    </xf>
    <xf numFmtId="4" fontId="10" fillId="0" borderId="7" xfId="2" applyNumberFormat="1" applyFont="1" applyBorder="1" applyAlignment="1">
      <alignment horizontal="center" wrapText="1"/>
    </xf>
    <xf numFmtId="4" fontId="10" fillId="0" borderId="39" xfId="2" applyNumberFormat="1" applyFont="1" applyBorder="1" applyAlignment="1">
      <alignment horizontal="center" wrapText="1"/>
    </xf>
    <xf numFmtId="0" fontId="10" fillId="0" borderId="48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10" fillId="0" borderId="4" xfId="1" applyFont="1" applyBorder="1" applyAlignment="1">
      <alignment horizontal="left"/>
    </xf>
    <xf numFmtId="0" fontId="10" fillId="0" borderId="3" xfId="1" applyFont="1" applyBorder="1"/>
    <xf numFmtId="167" fontId="10" fillId="0" borderId="3" xfId="1" applyNumberFormat="1" applyFont="1" applyBorder="1"/>
    <xf numFmtId="167" fontId="10" fillId="0" borderId="22" xfId="1" applyNumberFormat="1" applyFont="1" applyBorder="1"/>
    <xf numFmtId="0" fontId="10" fillId="0" borderId="19" xfId="1" applyFont="1" applyBorder="1" applyAlignment="1">
      <alignment horizontal="left"/>
    </xf>
    <xf numFmtId="0" fontId="10" fillId="0" borderId="7" xfId="1" applyFont="1" applyBorder="1"/>
    <xf numFmtId="167" fontId="10" fillId="0" borderId="7" xfId="1" applyNumberFormat="1" applyFont="1" applyBorder="1"/>
    <xf numFmtId="167" fontId="10" fillId="0" borderId="23" xfId="1" applyNumberFormat="1" applyFont="1" applyBorder="1"/>
    <xf numFmtId="0" fontId="10" fillId="0" borderId="1" xfId="1" applyFont="1" applyBorder="1"/>
    <xf numFmtId="0" fontId="1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12" fillId="0" borderId="14" xfId="0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0" fontId="12" fillId="0" borderId="56" xfId="0" applyFont="1" applyBorder="1"/>
    <xf numFmtId="0" fontId="12" fillId="0" borderId="57" xfId="0" applyFont="1" applyBorder="1"/>
    <xf numFmtId="0" fontId="12" fillId="0" borderId="32" xfId="0" applyFont="1" applyBorder="1" applyAlignment="1">
      <alignment horizontal="center"/>
    </xf>
    <xf numFmtId="0" fontId="12" fillId="0" borderId="56" xfId="0" applyFont="1" applyBorder="1" applyAlignment="1">
      <alignment horizontal="left"/>
    </xf>
    <xf numFmtId="0" fontId="12" fillId="0" borderId="15" xfId="0" applyFont="1" applyBorder="1" applyAlignment="1">
      <alignment horizontal="center"/>
    </xf>
    <xf numFmtId="49" fontId="0" fillId="0" borderId="0" xfId="0" applyNumberFormat="1"/>
    <xf numFmtId="44" fontId="2" fillId="0" borderId="28" xfId="0" applyNumberFormat="1" applyFont="1" applyBorder="1"/>
    <xf numFmtId="0" fontId="2" fillId="0" borderId="0" xfId="0" applyFont="1" applyAlignment="1">
      <alignment horizontal="center"/>
    </xf>
    <xf numFmtId="168" fontId="2" fillId="0" borderId="0" xfId="0" applyNumberFormat="1" applyFont="1"/>
    <xf numFmtId="0" fontId="15" fillId="0" borderId="12" xfId="0" applyFont="1" applyBorder="1" applyAlignment="1">
      <alignment horizontal="center"/>
    </xf>
    <xf numFmtId="0" fontId="15" fillId="0" borderId="10" xfId="0" applyFont="1" applyBorder="1"/>
    <xf numFmtId="0" fontId="15" fillId="0" borderId="2" xfId="0" applyFont="1" applyBorder="1"/>
    <xf numFmtId="168" fontId="15" fillId="0" borderId="2" xfId="0" applyNumberFormat="1" applyFont="1" applyBorder="1"/>
    <xf numFmtId="0" fontId="15" fillId="0" borderId="2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8" fontId="2" fillId="0" borderId="3" xfId="0" applyNumberFormat="1" applyFont="1" applyBorder="1"/>
    <xf numFmtId="168" fontId="2" fillId="0" borderId="13" xfId="0" applyNumberFormat="1" applyFont="1" applyBorder="1"/>
    <xf numFmtId="0" fontId="2" fillId="0" borderId="2" xfId="0" applyFont="1" applyBorder="1"/>
    <xf numFmtId="168" fontId="2" fillId="0" borderId="22" xfId="0" applyNumberFormat="1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4" fillId="0" borderId="35" xfId="0" applyNumberFormat="1" applyFont="1" applyBorder="1"/>
    <xf numFmtId="44" fontId="0" fillId="0" borderId="13" xfId="0" applyNumberFormat="1" applyBorder="1"/>
    <xf numFmtId="44" fontId="2" fillId="0" borderId="3" xfId="7" applyFont="1" applyBorder="1"/>
    <xf numFmtId="44" fontId="4" fillId="0" borderId="2" xfId="0" applyNumberFormat="1" applyFont="1" applyBorder="1"/>
    <xf numFmtId="44" fontId="4" fillId="0" borderId="35" xfId="0" applyNumberFormat="1" applyFont="1" applyBorder="1"/>
    <xf numFmtId="168" fontId="4" fillId="0" borderId="1" xfId="0" applyNumberFormat="1" applyFont="1" applyBorder="1" applyAlignment="1">
      <alignment horizontal="center"/>
    </xf>
    <xf numFmtId="168" fontId="4" fillId="0" borderId="24" xfId="0" applyNumberFormat="1" applyFont="1" applyBorder="1" applyAlignment="1">
      <alignment horizontal="center"/>
    </xf>
    <xf numFmtId="167" fontId="2" fillId="0" borderId="26" xfId="0" applyNumberFormat="1" applyFont="1" applyBorder="1"/>
    <xf numFmtId="168" fontId="4" fillId="0" borderId="4" xfId="0" applyNumberFormat="1" applyFont="1" applyBorder="1" applyAlignment="1">
      <alignment horizontal="center"/>
    </xf>
    <xf numFmtId="168" fontId="4" fillId="0" borderId="38" xfId="0" applyNumberFormat="1" applyFont="1" applyBorder="1" applyAlignment="1">
      <alignment horizontal="center"/>
    </xf>
    <xf numFmtId="168" fontId="2" fillId="0" borderId="37" xfId="0" applyNumberFormat="1" applyFont="1" applyBorder="1"/>
    <xf numFmtId="44" fontId="6" fillId="0" borderId="11" xfId="0" applyNumberFormat="1" applyFont="1" applyBorder="1"/>
    <xf numFmtId="0" fontId="2" fillId="0" borderId="3" xfId="0" applyFont="1" applyBorder="1" applyAlignment="1">
      <alignment horizontal="left"/>
    </xf>
    <xf numFmtId="0" fontId="15" fillId="0" borderId="3" xfId="0" applyFont="1" applyBorder="1"/>
    <xf numFmtId="0" fontId="15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58" xfId="0" applyFont="1" applyBorder="1"/>
    <xf numFmtId="0" fontId="10" fillId="0" borderId="58" xfId="0" quotePrefix="1" applyFont="1" applyBorder="1"/>
    <xf numFmtId="0" fontId="15" fillId="0" borderId="58" xfId="0" applyFont="1" applyBorder="1"/>
    <xf numFmtId="0" fontId="10" fillId="0" borderId="41" xfId="0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0" fillId="0" borderId="6" xfId="0" applyFont="1" applyBorder="1"/>
    <xf numFmtId="49" fontId="15" fillId="0" borderId="0" xfId="0" applyNumberFormat="1" applyFont="1" applyAlignment="1">
      <alignment horizontal="center"/>
    </xf>
    <xf numFmtId="49" fontId="15" fillId="0" borderId="54" xfId="0" applyNumberFormat="1" applyFont="1" applyBorder="1" applyAlignment="1">
      <alignment horizontal="center"/>
    </xf>
    <xf numFmtId="49" fontId="10" fillId="0" borderId="41" xfId="0" applyNumberFormat="1" applyFont="1" applyBorder="1" applyAlignment="1">
      <alignment horizontal="center"/>
    </xf>
    <xf numFmtId="49" fontId="10" fillId="0" borderId="54" xfId="0" applyNumberFormat="1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35" xfId="0" applyFont="1" applyBorder="1" applyAlignment="1">
      <alignment horizontal="center" vertical="center"/>
    </xf>
    <xf numFmtId="49" fontId="0" fillId="0" borderId="44" xfId="0" applyNumberForma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12" fillId="0" borderId="43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0" fillId="0" borderId="43" xfId="0" applyNumberForma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12" fillId="0" borderId="45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49" fontId="14" fillId="0" borderId="44" xfId="0" applyNumberFormat="1" applyFont="1" applyBorder="1" applyAlignment="1">
      <alignment horizontal="center"/>
    </xf>
    <xf numFmtId="49" fontId="14" fillId="0" borderId="30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49" fontId="14" fillId="0" borderId="45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5" fillId="0" borderId="40" xfId="0" applyNumberFormat="1" applyFont="1" applyBorder="1" applyAlignment="1">
      <alignment horizontal="center"/>
    </xf>
    <xf numFmtId="49" fontId="15" fillId="0" borderId="30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49" fontId="10" fillId="0" borderId="59" xfId="0" applyNumberFormat="1" applyFont="1" applyBorder="1" applyAlignment="1">
      <alignment horizontal="center"/>
    </xf>
    <xf numFmtId="0" fontId="10" fillId="0" borderId="6" xfId="0" quotePrefix="1" applyFont="1" applyBorder="1"/>
    <xf numFmtId="0" fontId="15" fillId="0" borderId="41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15" fillId="0" borderId="33" xfId="0" applyFont="1" applyBorder="1"/>
    <xf numFmtId="0" fontId="10" fillId="0" borderId="33" xfId="0" applyFont="1" applyBorder="1"/>
    <xf numFmtId="0" fontId="10" fillId="0" borderId="33" xfId="0" quotePrefix="1" applyFont="1" applyBorder="1"/>
    <xf numFmtId="0" fontId="15" fillId="0" borderId="33" xfId="0" quotePrefix="1" applyFont="1" applyBorder="1"/>
    <xf numFmtId="0" fontId="15" fillId="0" borderId="33" xfId="0" applyFont="1" applyBorder="1" applyAlignment="1">
      <alignment horizontal="left"/>
    </xf>
    <xf numFmtId="0" fontId="10" fillId="0" borderId="34" xfId="0" applyFont="1" applyBorder="1"/>
    <xf numFmtId="49" fontId="10" fillId="0" borderId="40" xfId="0" applyNumberFormat="1" applyFont="1" applyBorder="1" applyAlignment="1">
      <alignment horizontal="center"/>
    </xf>
    <xf numFmtId="0" fontId="15" fillId="0" borderId="31" xfId="0" applyFont="1" applyBorder="1"/>
    <xf numFmtId="49" fontId="10" fillId="0" borderId="47" xfId="2" applyNumberFormat="1" applyFont="1" applyBorder="1" applyAlignment="1">
      <alignment horizontal="center"/>
    </xf>
    <xf numFmtId="167" fontId="15" fillId="0" borderId="25" xfId="1" applyNumberFormat="1" applyFont="1" applyBorder="1"/>
    <xf numFmtId="167" fontId="15" fillId="0" borderId="3" xfId="1" applyNumberFormat="1" applyFont="1" applyBorder="1"/>
    <xf numFmtId="0" fontId="15" fillId="0" borderId="24" xfId="1" applyFont="1" applyBorder="1" applyAlignment="1">
      <alignment horizontal="left"/>
    </xf>
    <xf numFmtId="0" fontId="15" fillId="0" borderId="25" xfId="1" applyFont="1" applyBorder="1"/>
    <xf numFmtId="0" fontId="15" fillId="0" borderId="4" xfId="1" applyFont="1" applyBorder="1" applyAlignment="1">
      <alignment horizontal="left"/>
    </xf>
    <xf numFmtId="0" fontId="15" fillId="0" borderId="3" xfId="1" applyFont="1" applyBorder="1"/>
    <xf numFmtId="0" fontId="15" fillId="0" borderId="2" xfId="1" applyFont="1" applyBorder="1" applyAlignment="1">
      <alignment horizontal="center"/>
    </xf>
    <xf numFmtId="167" fontId="15" fillId="0" borderId="2" xfId="1" applyNumberFormat="1" applyFont="1" applyBorder="1"/>
    <xf numFmtId="167" fontId="15" fillId="0" borderId="35" xfId="1" applyNumberFormat="1" applyFont="1" applyBorder="1"/>
    <xf numFmtId="167" fontId="11" fillId="0" borderId="3" xfId="0" applyNumberFormat="1" applyFont="1" applyBorder="1"/>
    <xf numFmtId="167" fontId="15" fillId="0" borderId="26" xfId="1" applyNumberFormat="1" applyFont="1" applyBorder="1"/>
    <xf numFmtId="167" fontId="15" fillId="0" borderId="22" xfId="1" applyNumberFormat="1" applyFont="1" applyBorder="1"/>
    <xf numFmtId="44" fontId="4" fillId="0" borderId="3" xfId="0" applyNumberFormat="1" applyFont="1" applyBorder="1"/>
    <xf numFmtId="0" fontId="3" fillId="0" borderId="5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4" fontId="3" fillId="0" borderId="35" xfId="0" applyNumberFormat="1" applyFont="1" applyBorder="1"/>
    <xf numFmtId="49" fontId="15" fillId="0" borderId="44" xfId="2" applyNumberFormat="1" applyFont="1" applyBorder="1" applyAlignment="1">
      <alignment horizontal="left"/>
    </xf>
    <xf numFmtId="4" fontId="10" fillId="0" borderId="44" xfId="2" applyNumberFormat="1" applyFont="1" applyBorder="1"/>
    <xf numFmtId="49" fontId="10" fillId="0" borderId="43" xfId="2" applyNumberFormat="1" applyFont="1" applyBorder="1" applyAlignment="1">
      <alignment horizontal="left"/>
    </xf>
    <xf numFmtId="4" fontId="10" fillId="0" borderId="43" xfId="2" applyNumberFormat="1" applyFont="1" applyBorder="1"/>
    <xf numFmtId="4" fontId="10" fillId="0" borderId="43" xfId="2" applyNumberFormat="1" applyFont="1" applyBorder="1" applyAlignment="1">
      <alignment horizontal="center"/>
    </xf>
    <xf numFmtId="167" fontId="15" fillId="0" borderId="25" xfId="0" applyNumberFormat="1" applyFont="1" applyBorder="1"/>
    <xf numFmtId="167" fontId="15" fillId="0" borderId="26" xfId="0" applyNumberFormat="1" applyFont="1" applyBorder="1"/>
    <xf numFmtId="167" fontId="15" fillId="0" borderId="3" xfId="0" applyNumberFormat="1" applyFont="1" applyBorder="1"/>
    <xf numFmtId="167" fontId="15" fillId="0" borderId="22" xfId="0" applyNumberFormat="1" applyFont="1" applyBorder="1"/>
    <xf numFmtId="167" fontId="10" fillId="0" borderId="3" xfId="2" applyNumberFormat="1" applyFont="1" applyBorder="1"/>
    <xf numFmtId="167" fontId="10" fillId="0" borderId="3" xfId="0" applyNumberFormat="1" applyFont="1" applyBorder="1"/>
    <xf numFmtId="167" fontId="10" fillId="0" borderId="22" xfId="0" applyNumberFormat="1" applyFont="1" applyBorder="1"/>
    <xf numFmtId="167" fontId="10" fillId="0" borderId="36" xfId="0" applyNumberFormat="1" applyFont="1" applyBorder="1"/>
    <xf numFmtId="0" fontId="15" fillId="0" borderId="53" xfId="0" applyFont="1" applyBorder="1"/>
    <xf numFmtId="167" fontId="15" fillId="0" borderId="52" xfId="0" applyNumberFormat="1" applyFont="1" applyBorder="1"/>
    <xf numFmtId="167" fontId="15" fillId="0" borderId="45" xfId="0" applyNumberFormat="1" applyFont="1" applyBorder="1"/>
    <xf numFmtId="167" fontId="10" fillId="0" borderId="7" xfId="0" applyNumberFormat="1" applyFont="1" applyBorder="1"/>
    <xf numFmtId="167" fontId="15" fillId="0" borderId="2" xfId="0" applyNumberFormat="1" applyFont="1" applyBorder="1"/>
    <xf numFmtId="167" fontId="15" fillId="0" borderId="35" xfId="0" applyNumberFormat="1" applyFont="1" applyBorder="1"/>
    <xf numFmtId="0" fontId="10" fillId="0" borderId="3" xfId="0" applyFont="1" applyBorder="1"/>
    <xf numFmtId="49" fontId="10" fillId="0" borderId="43" xfId="2" applyNumberFormat="1" applyFont="1" applyBorder="1" applyAlignment="1">
      <alignment horizontal="center"/>
    </xf>
    <xf numFmtId="0" fontId="15" fillId="0" borderId="49" xfId="0" applyFont="1" applyBorder="1" applyAlignment="1">
      <alignment horizontal="left"/>
    </xf>
    <xf numFmtId="0" fontId="15" fillId="0" borderId="25" xfId="0" applyFont="1" applyBorder="1"/>
    <xf numFmtId="0" fontId="15" fillId="0" borderId="50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167" fontId="11" fillId="0" borderId="22" xfId="0" applyNumberFormat="1" applyFont="1" applyBorder="1"/>
    <xf numFmtId="0" fontId="10" fillId="0" borderId="51" xfId="0" applyFont="1" applyBorder="1" applyAlignment="1">
      <alignment horizontal="left"/>
    </xf>
    <xf numFmtId="0" fontId="10" fillId="0" borderId="36" xfId="0" applyFont="1" applyBorder="1"/>
    <xf numFmtId="167" fontId="11" fillId="0" borderId="37" xfId="0" applyNumberFormat="1" applyFont="1" applyBorder="1"/>
    <xf numFmtId="0" fontId="11" fillId="0" borderId="52" xfId="0" applyFont="1" applyBorder="1"/>
    <xf numFmtId="0" fontId="15" fillId="0" borderId="24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7" xfId="0" applyFont="1" applyBorder="1"/>
    <xf numFmtId="0" fontId="11" fillId="0" borderId="1" xfId="0" applyFont="1" applyBorder="1"/>
    <xf numFmtId="0" fontId="21" fillId="0" borderId="0" xfId="0" applyFont="1"/>
    <xf numFmtId="4" fontId="10" fillId="0" borderId="26" xfId="2" applyNumberFormat="1" applyFont="1" applyBorder="1" applyAlignment="1">
      <alignment horizontal="center"/>
    </xf>
    <xf numFmtId="167" fontId="2" fillId="0" borderId="3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167" fontId="4" fillId="0" borderId="3" xfId="3" applyNumberFormat="1" applyFont="1" applyBorder="1" applyAlignment="1">
      <alignment vertical="center"/>
    </xf>
    <xf numFmtId="167" fontId="4" fillId="0" borderId="3" xfId="0" applyNumberFormat="1" applyFont="1" applyBorder="1" applyAlignment="1">
      <alignment vertical="center"/>
    </xf>
    <xf numFmtId="167" fontId="4" fillId="0" borderId="3" xfId="0" quotePrefix="1" applyNumberFormat="1" applyFont="1" applyBorder="1" applyAlignment="1">
      <alignment wrapText="1"/>
    </xf>
    <xf numFmtId="4" fontId="5" fillId="0" borderId="3" xfId="2" applyNumberFormat="1" applyFont="1" applyBorder="1"/>
    <xf numFmtId="167" fontId="5" fillId="0" borderId="3" xfId="3" applyNumberFormat="1" applyFont="1" applyBorder="1" applyAlignment="1">
      <alignment vertical="center"/>
    </xf>
    <xf numFmtId="167" fontId="5" fillId="0" borderId="3" xfId="2" applyNumberFormat="1" applyFont="1" applyBorder="1"/>
    <xf numFmtId="167" fontId="5" fillId="0" borderId="3" xfId="8" quotePrefix="1" applyNumberFormat="1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/>
    <xf numFmtId="167" fontId="4" fillId="0" borderId="3" xfId="8" quotePrefix="1" applyNumberFormat="1" applyFont="1" applyBorder="1" applyAlignment="1">
      <alignment wrapText="1"/>
    </xf>
    <xf numFmtId="167" fontId="5" fillId="0" borderId="3" xfId="0" applyNumberFormat="1" applyFont="1" applyBorder="1" applyAlignment="1">
      <alignment vertical="center"/>
    </xf>
    <xf numFmtId="4" fontId="4" fillId="0" borderId="3" xfId="2" applyNumberFormat="1" applyFont="1" applyBorder="1"/>
    <xf numFmtId="167" fontId="5" fillId="0" borderId="3" xfId="8" applyNumberFormat="1" applyFont="1" applyBorder="1"/>
    <xf numFmtId="167" fontId="4" fillId="0" borderId="3" xfId="8" applyNumberFormat="1" applyFont="1" applyBorder="1"/>
    <xf numFmtId="0" fontId="4" fillId="0" borderId="3" xfId="0" applyFont="1" applyBorder="1"/>
    <xf numFmtId="167" fontId="4" fillId="0" borderId="3" xfId="0" applyNumberFormat="1" applyFont="1" applyBorder="1"/>
    <xf numFmtId="167" fontId="5" fillId="0" borderId="3" xfId="0" applyNumberFormat="1" applyFont="1" applyBorder="1"/>
    <xf numFmtId="3" fontId="4" fillId="0" borderId="0" xfId="2" applyNumberFormat="1" applyFont="1" applyAlignment="1">
      <alignment horizontal="center"/>
    </xf>
    <xf numFmtId="166" fontId="23" fillId="0" borderId="0" xfId="2" applyFont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7" fontId="4" fillId="0" borderId="3" xfId="2" applyNumberFormat="1" applyFont="1" applyBorder="1" applyAlignment="1">
      <alignment horizontal="right"/>
    </xf>
    <xf numFmtId="167" fontId="4" fillId="0" borderId="22" xfId="2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67" fontId="5" fillId="0" borderId="3" xfId="2" applyNumberFormat="1" applyFont="1" applyBorder="1" applyAlignment="1">
      <alignment horizontal="right"/>
    </xf>
    <xf numFmtId="167" fontId="5" fillId="0" borderId="22" xfId="2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7" fontId="4" fillId="0" borderId="2" xfId="2" applyNumberFormat="1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" fontId="4" fillId="0" borderId="5" xfId="2" applyNumberFormat="1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4" fontId="4" fillId="0" borderId="25" xfId="2" applyNumberFormat="1" applyFont="1" applyBorder="1"/>
    <xf numFmtId="167" fontId="4" fillId="0" borderId="25" xfId="2" applyNumberFormat="1" applyFont="1" applyBorder="1" applyAlignment="1">
      <alignment horizontal="right"/>
    </xf>
    <xf numFmtId="167" fontId="4" fillId="0" borderId="26" xfId="2" applyNumberFormat="1" applyFont="1" applyBorder="1" applyAlignment="1">
      <alignment horizontal="right"/>
    </xf>
    <xf numFmtId="167" fontId="5" fillId="0" borderId="36" xfId="2" applyNumberFormat="1" applyFont="1" applyBorder="1" applyAlignment="1">
      <alignment horizontal="right"/>
    </xf>
    <xf numFmtId="167" fontId="5" fillId="0" borderId="37" xfId="2" applyNumberFormat="1" applyFont="1" applyBorder="1" applyAlignment="1">
      <alignment horizontal="right"/>
    </xf>
    <xf numFmtId="0" fontId="2" fillId="0" borderId="36" xfId="0" applyFont="1" applyBorder="1"/>
    <xf numFmtId="0" fontId="20" fillId="0" borderId="14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" xfId="0" applyFont="1" applyBorder="1"/>
    <xf numFmtId="44" fontId="4" fillId="0" borderId="22" xfId="0" applyNumberFormat="1" applyFont="1" applyBorder="1"/>
    <xf numFmtId="0" fontId="2" fillId="0" borderId="38" xfId="0" applyFont="1" applyBorder="1" applyAlignment="1">
      <alignment horizontal="center"/>
    </xf>
    <xf numFmtId="44" fontId="2" fillId="0" borderId="36" xfId="0" applyNumberFormat="1" applyFont="1" applyBorder="1"/>
    <xf numFmtId="44" fontId="2" fillId="0" borderId="37" xfId="0" applyNumberFormat="1" applyFont="1" applyBorder="1"/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wrapText="1"/>
    </xf>
    <xf numFmtId="167" fontId="4" fillId="0" borderId="25" xfId="3" applyNumberFormat="1" applyFont="1" applyBorder="1" applyAlignment="1">
      <alignment vertical="center"/>
    </xf>
    <xf numFmtId="167" fontId="4" fillId="0" borderId="25" xfId="0" applyNumberFormat="1" applyFont="1" applyBorder="1" applyAlignment="1">
      <alignment vertical="center"/>
    </xf>
    <xf numFmtId="167" fontId="4" fillId="0" borderId="26" xfId="0" applyNumberFormat="1" applyFont="1" applyBorder="1" applyAlignment="1">
      <alignment vertical="center"/>
    </xf>
    <xf numFmtId="167" fontId="4" fillId="0" borderId="22" xfId="0" quotePrefix="1" applyNumberFormat="1" applyFont="1" applyBorder="1" applyAlignment="1">
      <alignment wrapText="1"/>
    </xf>
    <xf numFmtId="49" fontId="5" fillId="0" borderId="4" xfId="2" applyNumberFormat="1" applyFont="1" applyBorder="1" applyAlignment="1">
      <alignment horizontal="left"/>
    </xf>
    <xf numFmtId="167" fontId="5" fillId="0" borderId="22" xfId="8" quotePrefix="1" applyNumberFormat="1" applyFont="1" applyBorder="1" applyAlignment="1">
      <alignment wrapText="1"/>
    </xf>
    <xf numFmtId="49" fontId="4" fillId="0" borderId="4" xfId="2" applyNumberFormat="1" applyFont="1" applyBorder="1" applyAlignment="1">
      <alignment horizontal="left"/>
    </xf>
    <xf numFmtId="167" fontId="4" fillId="0" borderId="22" xfId="8" quotePrefix="1" applyNumberFormat="1" applyFont="1" applyBorder="1" applyAlignment="1">
      <alignment wrapText="1"/>
    </xf>
    <xf numFmtId="0" fontId="5" fillId="0" borderId="19" xfId="0" applyFont="1" applyBorder="1" applyAlignment="1">
      <alignment horizontal="left"/>
    </xf>
    <xf numFmtId="0" fontId="5" fillId="0" borderId="7" xfId="0" applyFont="1" applyBorder="1"/>
    <xf numFmtId="167" fontId="5" fillId="0" borderId="7" xfId="8" applyNumberFormat="1" applyFont="1" applyBorder="1"/>
    <xf numFmtId="167" fontId="2" fillId="0" borderId="7" xfId="0" applyNumberFormat="1" applyFont="1" applyBorder="1"/>
    <xf numFmtId="167" fontId="5" fillId="0" borderId="23" xfId="8" quotePrefix="1" applyNumberFormat="1" applyFont="1" applyBorder="1" applyAlignment="1">
      <alignment wrapText="1"/>
    </xf>
    <xf numFmtId="167" fontId="4" fillId="0" borderId="2" xfId="0" applyNumberFormat="1" applyFont="1" applyBorder="1"/>
    <xf numFmtId="167" fontId="4" fillId="0" borderId="35" xfId="0" applyNumberFormat="1" applyFont="1" applyBorder="1"/>
    <xf numFmtId="44" fontId="5" fillId="0" borderId="36" xfId="0" applyNumberFormat="1" applyFont="1" applyBorder="1"/>
    <xf numFmtId="43" fontId="2" fillId="0" borderId="0" xfId="0" applyNumberFormat="1" applyFont="1"/>
    <xf numFmtId="0" fontId="4" fillId="0" borderId="14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/>
    <xf numFmtId="0" fontId="4" fillId="0" borderId="10" xfId="0" applyFont="1" applyBorder="1"/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5" xfId="0" applyFont="1" applyBorder="1"/>
    <xf numFmtId="0" fontId="24" fillId="0" borderId="10" xfId="0" applyFont="1" applyBorder="1"/>
    <xf numFmtId="0" fontId="8" fillId="0" borderId="0" xfId="0" applyFont="1" applyAlignment="1">
      <alignment horizontal="right"/>
    </xf>
    <xf numFmtId="49" fontId="8" fillId="0" borderId="12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164" fontId="9" fillId="0" borderId="43" xfId="6" applyFont="1" applyBorder="1"/>
    <xf numFmtId="0" fontId="8" fillId="0" borderId="43" xfId="0" applyFont="1" applyBorder="1" applyAlignment="1">
      <alignment horizontal="center"/>
    </xf>
    <xf numFmtId="0" fontId="8" fillId="0" borderId="0" xfId="0" applyFont="1"/>
    <xf numFmtId="4" fontId="6" fillId="0" borderId="0" xfId="0" applyNumberFormat="1" applyFont="1"/>
    <xf numFmtId="49" fontId="6" fillId="0" borderId="43" xfId="0" applyNumberFormat="1" applyFont="1" applyBorder="1"/>
    <xf numFmtId="49" fontId="6" fillId="0" borderId="12" xfId="0" applyNumberFormat="1" applyFont="1" applyBorder="1"/>
    <xf numFmtId="49" fontId="6" fillId="0" borderId="0" xfId="0" applyNumberFormat="1" applyFont="1"/>
    <xf numFmtId="164" fontId="6" fillId="0" borderId="0" xfId="0" applyNumberFormat="1" applyFont="1"/>
    <xf numFmtId="44" fontId="8" fillId="0" borderId="43" xfId="6" applyNumberFormat="1" applyFont="1" applyBorder="1"/>
    <xf numFmtId="44" fontId="9" fillId="0" borderId="43" xfId="6" applyNumberFormat="1" applyFont="1" applyBorder="1"/>
    <xf numFmtId="44" fontId="8" fillId="0" borderId="12" xfId="6" applyNumberFormat="1" applyFont="1" applyBorder="1"/>
    <xf numFmtId="49" fontId="8" fillId="0" borderId="14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0" fontId="8" fillId="0" borderId="56" xfId="0" applyFont="1" applyBorder="1" applyAlignment="1">
      <alignment horizontal="left"/>
    </xf>
    <xf numFmtId="0" fontId="8" fillId="0" borderId="56" xfId="0" applyFont="1" applyBorder="1"/>
    <xf numFmtId="0" fontId="8" fillId="0" borderId="57" xfId="0" applyFont="1" applyBorder="1"/>
    <xf numFmtId="44" fontId="8" fillId="0" borderId="43" xfId="6" applyNumberFormat="1" applyFont="1" applyBorder="1" applyAlignment="1">
      <alignment horizontal="right"/>
    </xf>
    <xf numFmtId="44" fontId="8" fillId="0" borderId="32" xfId="6" applyNumberFormat="1" applyFont="1" applyBorder="1" applyAlignment="1">
      <alignment horizontal="right"/>
    </xf>
    <xf numFmtId="44" fontId="8" fillId="0" borderId="45" xfId="6" applyNumberFormat="1" applyFont="1" applyBorder="1" applyAlignment="1">
      <alignment horizontal="right"/>
    </xf>
    <xf numFmtId="44" fontId="8" fillId="0" borderId="15" xfId="6" applyNumberFormat="1" applyFont="1" applyBorder="1" applyAlignment="1">
      <alignment horizontal="right"/>
    </xf>
    <xf numFmtId="44" fontId="8" fillId="0" borderId="44" xfId="6" applyNumberFormat="1" applyFont="1" applyBorder="1" applyAlignment="1">
      <alignment horizontal="right"/>
    </xf>
    <xf numFmtId="44" fontId="8" fillId="0" borderId="12" xfId="6" applyNumberFormat="1" applyFont="1" applyBorder="1" applyAlignment="1">
      <alignment horizontal="right"/>
    </xf>
    <xf numFmtId="44" fontId="12" fillId="0" borderId="44" xfId="6" applyNumberFormat="1" applyFont="1" applyBorder="1" applyAlignment="1">
      <alignment horizontal="right"/>
    </xf>
    <xf numFmtId="44" fontId="12" fillId="0" borderId="43" xfId="6" applyNumberFormat="1" applyFont="1" applyBorder="1" applyAlignment="1">
      <alignment horizontal="right"/>
    </xf>
    <xf numFmtId="44" fontId="12" fillId="0" borderId="45" xfId="6" applyNumberFormat="1" applyFont="1" applyBorder="1" applyAlignment="1">
      <alignment horizontal="right"/>
    </xf>
    <xf numFmtId="44" fontId="12" fillId="0" borderId="12" xfId="6" applyNumberFormat="1" applyFont="1" applyBorder="1" applyAlignment="1">
      <alignment horizontal="right"/>
    </xf>
    <xf numFmtId="44" fontId="3" fillId="0" borderId="26" xfId="0" applyNumberFormat="1" applyFont="1" applyBorder="1" applyAlignment="1">
      <alignment horizontal="center"/>
    </xf>
    <xf numFmtId="167" fontId="4" fillId="0" borderId="36" xfId="2" applyNumberFormat="1" applyFont="1" applyBorder="1" applyAlignment="1">
      <alignment horizontal="right"/>
    </xf>
    <xf numFmtId="167" fontId="4" fillId="0" borderId="37" xfId="2" applyNumberFormat="1" applyFont="1" applyBorder="1" applyAlignment="1">
      <alignment horizontal="right"/>
    </xf>
    <xf numFmtId="0" fontId="15" fillId="0" borderId="0" xfId="0" applyFont="1"/>
    <xf numFmtId="167" fontId="15" fillId="0" borderId="0" xfId="0" applyNumberFormat="1" applyFont="1"/>
    <xf numFmtId="4" fontId="28" fillId="0" borderId="7" xfId="2" applyNumberFormat="1" applyFont="1" applyBorder="1" applyAlignment="1">
      <alignment horizontal="center"/>
    </xf>
    <xf numFmtId="4" fontId="28" fillId="0" borderId="3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/>
    </xf>
    <xf numFmtId="4" fontId="28" fillId="0" borderId="13" xfId="2" applyNumberFormat="1" applyFont="1" applyBorder="1" applyAlignment="1">
      <alignment horizontal="center"/>
    </xf>
    <xf numFmtId="4" fontId="29" fillId="0" borderId="42" xfId="2" applyNumberFormat="1" applyFont="1" applyBorder="1" applyAlignment="1">
      <alignment horizontal="center"/>
    </xf>
    <xf numFmtId="4" fontId="29" fillId="0" borderId="33" xfId="2" applyNumberFormat="1" applyFont="1" applyBorder="1" applyAlignment="1">
      <alignment horizontal="center"/>
    </xf>
    <xf numFmtId="4" fontId="29" fillId="0" borderId="43" xfId="2" applyNumberFormat="1" applyFont="1" applyBorder="1" applyAlignment="1">
      <alignment horizontal="center"/>
    </xf>
    <xf numFmtId="4" fontId="29" fillId="0" borderId="14" xfId="2" applyNumberFormat="1" applyFont="1" applyBorder="1" applyAlignment="1">
      <alignment horizontal="center"/>
    </xf>
    <xf numFmtId="4" fontId="29" fillId="0" borderId="3" xfId="2" applyNumberFormat="1" applyFont="1" applyBorder="1" applyAlignment="1">
      <alignment horizontal="center"/>
    </xf>
    <xf numFmtId="4" fontId="28" fillId="0" borderId="27" xfId="2" applyNumberFormat="1" applyFont="1" applyBorder="1" applyAlignment="1">
      <alignment horizontal="center"/>
    </xf>
    <xf numFmtId="4" fontId="28" fillId="0" borderId="44" xfId="2" applyNumberFormat="1" applyFont="1" applyBorder="1" applyAlignment="1">
      <alignment horizontal="center"/>
    </xf>
    <xf numFmtId="4" fontId="29" fillId="0" borderId="32" xfId="2" applyNumberFormat="1" applyFont="1" applyBorder="1" applyAlignment="1">
      <alignment horizontal="center"/>
    </xf>
    <xf numFmtId="4" fontId="29" fillId="0" borderId="27" xfId="2" applyNumberFormat="1" applyFont="1" applyBorder="1" applyAlignment="1">
      <alignment horizontal="center"/>
    </xf>
    <xf numFmtId="4" fontId="28" fillId="0" borderId="43" xfId="2" applyNumberFormat="1" applyFont="1" applyBorder="1" applyAlignment="1">
      <alignment horizontal="center"/>
    </xf>
    <xf numFmtId="49" fontId="29" fillId="0" borderId="44" xfId="2" applyNumberFormat="1" applyFont="1" applyBorder="1" applyAlignment="1">
      <alignment horizontal="center"/>
    </xf>
    <xf numFmtId="0" fontId="28" fillId="0" borderId="24" xfId="0" applyFont="1" applyBorder="1" applyAlignment="1">
      <alignment horizontal="left"/>
    </xf>
    <xf numFmtId="167" fontId="28" fillId="0" borderId="25" xfId="2" applyNumberFormat="1" applyFont="1" applyBorder="1"/>
    <xf numFmtId="167" fontId="28" fillId="0" borderId="26" xfId="2" applyNumberFormat="1" applyFont="1" applyBorder="1"/>
    <xf numFmtId="0" fontId="28" fillId="0" borderId="4" xfId="0" applyFont="1" applyBorder="1" applyAlignment="1">
      <alignment horizontal="left"/>
    </xf>
    <xf numFmtId="4" fontId="28" fillId="0" borderId="3" xfId="2" applyNumberFormat="1" applyFont="1" applyBorder="1"/>
    <xf numFmtId="167" fontId="28" fillId="0" borderId="3" xfId="2" applyNumberFormat="1" applyFont="1" applyBorder="1"/>
    <xf numFmtId="167" fontId="29" fillId="0" borderId="3" xfId="2" applyNumberFormat="1" applyFont="1" applyBorder="1"/>
    <xf numFmtId="49" fontId="29" fillId="0" borderId="4" xfId="2" applyNumberFormat="1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49" fontId="28" fillId="0" borderId="4" xfId="2" applyNumberFormat="1" applyFont="1" applyBorder="1" applyAlignment="1">
      <alignment horizontal="left"/>
    </xf>
    <xf numFmtId="44" fontId="28" fillId="0" borderId="3" xfId="2" applyNumberFormat="1" applyFont="1" applyBorder="1"/>
    <xf numFmtId="167" fontId="29" fillId="0" borderId="3" xfId="1" applyNumberFormat="1" applyFont="1" applyBorder="1"/>
    <xf numFmtId="167" fontId="28" fillId="0" borderId="3" xfId="0" applyNumberFormat="1" applyFont="1" applyBorder="1"/>
    <xf numFmtId="0" fontId="29" fillId="0" borderId="4" xfId="1" applyFont="1" applyBorder="1" applyAlignment="1">
      <alignment horizontal="left"/>
    </xf>
    <xf numFmtId="0" fontId="28" fillId="0" borderId="4" xfId="1" applyFont="1" applyBorder="1" applyAlignment="1">
      <alignment horizontal="left"/>
    </xf>
    <xf numFmtId="167" fontId="28" fillId="0" borderId="3" xfId="1" applyNumberFormat="1" applyFont="1" applyBorder="1"/>
    <xf numFmtId="44" fontId="29" fillId="0" borderId="3" xfId="0" applyNumberFormat="1" applyFont="1" applyBorder="1"/>
    <xf numFmtId="0" fontId="29" fillId="0" borderId="38" xfId="0" applyFont="1" applyBorder="1" applyAlignment="1">
      <alignment horizontal="left"/>
    </xf>
    <xf numFmtId="167" fontId="29" fillId="0" borderId="36" xfId="2" applyNumberFormat="1" applyFont="1" applyBorder="1"/>
    <xf numFmtId="167" fontId="28" fillId="0" borderId="36" xfId="2" applyNumberFormat="1" applyFont="1" applyBorder="1"/>
    <xf numFmtId="49" fontId="29" fillId="0" borderId="1" xfId="2" applyNumberFormat="1" applyFont="1" applyBorder="1" applyAlignment="1">
      <alignment horizontal="left"/>
    </xf>
    <xf numFmtId="167" fontId="28" fillId="0" borderId="1" xfId="2" applyNumberFormat="1" applyFont="1" applyBorder="1"/>
    <xf numFmtId="167" fontId="28" fillId="0" borderId="16" xfId="2" applyNumberFormat="1" applyFont="1" applyBorder="1"/>
    <xf numFmtId="167" fontId="28" fillId="0" borderId="2" xfId="2" applyNumberFormat="1" applyFont="1" applyBorder="1"/>
    <xf numFmtId="167" fontId="28" fillId="0" borderId="35" xfId="2" applyNumberFormat="1" applyFont="1" applyBorder="1"/>
    <xf numFmtId="167" fontId="29" fillId="0" borderId="35" xfId="2" applyNumberFormat="1" applyFont="1" applyBorder="1"/>
    <xf numFmtId="167" fontId="28" fillId="0" borderId="12" xfId="2" applyNumberFormat="1" applyFont="1" applyBorder="1"/>
    <xf numFmtId="44" fontId="11" fillId="0" borderId="3" xfId="0" applyNumberFormat="1" applyFont="1" applyBorder="1"/>
    <xf numFmtId="0" fontId="11" fillId="0" borderId="3" xfId="0" applyFont="1" applyBorder="1"/>
    <xf numFmtId="0" fontId="11" fillId="0" borderId="7" xfId="0" applyFont="1" applyBorder="1"/>
    <xf numFmtId="0" fontId="11" fillId="0" borderId="4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30" fillId="0" borderId="3" xfId="0" applyFont="1" applyBorder="1"/>
    <xf numFmtId="0" fontId="30" fillId="0" borderId="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/>
    <xf numFmtId="0" fontId="11" fillId="0" borderId="26" xfId="0" applyFont="1" applyBorder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44" fontId="30" fillId="0" borderId="3" xfId="0" applyNumberFormat="1" applyFont="1" applyBorder="1"/>
    <xf numFmtId="44" fontId="30" fillId="0" borderId="22" xfId="0" applyNumberFormat="1" applyFont="1" applyBorder="1"/>
    <xf numFmtId="44" fontId="11" fillId="0" borderId="22" xfId="0" applyNumberFormat="1" applyFont="1" applyBorder="1"/>
    <xf numFmtId="44" fontId="11" fillId="0" borderId="7" xfId="0" applyNumberFormat="1" applyFont="1" applyBorder="1"/>
    <xf numFmtId="44" fontId="11" fillId="0" borderId="23" xfId="0" applyNumberFormat="1" applyFont="1" applyBorder="1"/>
    <xf numFmtId="44" fontId="30" fillId="0" borderId="2" xfId="0" applyNumberFormat="1" applyFont="1" applyBorder="1"/>
    <xf numFmtId="0" fontId="31" fillId="0" borderId="0" xfId="0" applyFont="1"/>
    <xf numFmtId="167" fontId="29" fillId="0" borderId="54" xfId="2" applyNumberFormat="1" applyFont="1" applyBorder="1"/>
    <xf numFmtId="0" fontId="32" fillId="0" borderId="0" xfId="0" applyFont="1"/>
    <xf numFmtId="43" fontId="0" fillId="0" borderId="0" xfId="0" applyNumberFormat="1"/>
    <xf numFmtId="167" fontId="32" fillId="0" borderId="0" xfId="0" applyNumberFormat="1" applyFont="1"/>
    <xf numFmtId="44" fontId="5" fillId="0" borderId="25" xfId="0" applyNumberFormat="1" applyFont="1" applyBorder="1"/>
    <xf numFmtId="44" fontId="5" fillId="0" borderId="26" xfId="3" applyNumberFormat="1" applyFont="1" applyBorder="1"/>
    <xf numFmtId="44" fontId="5" fillId="0" borderId="22" xfId="3" applyNumberFormat="1" applyFont="1" applyBorder="1"/>
    <xf numFmtId="44" fontId="5" fillId="0" borderId="37" xfId="3" applyNumberFormat="1" applyFont="1" applyBorder="1"/>
    <xf numFmtId="44" fontId="4" fillId="0" borderId="12" xfId="3" applyNumberFormat="1" applyFont="1" applyBorder="1"/>
    <xf numFmtId="44" fontId="2" fillId="0" borderId="25" xfId="3" applyNumberFormat="1" applyFont="1" applyBorder="1"/>
    <xf numFmtId="44" fontId="2" fillId="0" borderId="26" xfId="3" applyNumberFormat="1" applyFont="1" applyBorder="1"/>
    <xf numFmtId="44" fontId="2" fillId="0" borderId="3" xfId="3" applyNumberFormat="1" applyFont="1" applyBorder="1"/>
    <xf numFmtId="44" fontId="2" fillId="0" borderId="22" xfId="3" applyNumberFormat="1" applyFont="1" applyBorder="1"/>
    <xf numFmtId="44" fontId="2" fillId="0" borderId="36" xfId="3" applyNumberFormat="1" applyFont="1" applyBorder="1"/>
    <xf numFmtId="44" fontId="2" fillId="0" borderId="37" xfId="3" applyNumberFormat="1" applyFont="1" applyBorder="1"/>
    <xf numFmtId="44" fontId="4" fillId="0" borderId="42" xfId="3" applyNumberFormat="1" applyFont="1" applyBorder="1"/>
    <xf numFmtId="44" fontId="3" fillId="0" borderId="35" xfId="3" applyNumberFormat="1" applyFont="1" applyBorder="1"/>
    <xf numFmtId="0" fontId="5" fillId="0" borderId="4" xfId="1" applyFont="1" applyBorder="1" applyAlignment="1">
      <alignment horizontal="center"/>
    </xf>
    <xf numFmtId="0" fontId="5" fillId="0" borderId="3" xfId="1" applyFont="1" applyBorder="1"/>
    <xf numFmtId="167" fontId="5" fillId="0" borderId="7" xfId="2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67" fontId="5" fillId="0" borderId="5" xfId="2" applyNumberFormat="1" applyFont="1" applyBorder="1" applyAlignment="1">
      <alignment horizontal="right"/>
    </xf>
    <xf numFmtId="44" fontId="32" fillId="0" borderId="0" xfId="0" applyNumberFormat="1" applyFont="1"/>
    <xf numFmtId="0" fontId="33" fillId="0" borderId="0" xfId="0" applyFont="1"/>
    <xf numFmtId="0" fontId="12" fillId="0" borderId="0" xfId="0" applyFont="1"/>
    <xf numFmtId="0" fontId="12" fillId="0" borderId="3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169" fontId="12" fillId="0" borderId="3" xfId="0" applyNumberFormat="1" applyFont="1" applyBorder="1"/>
    <xf numFmtId="169" fontId="33" fillId="0" borderId="3" xfId="6" applyNumberFormat="1" applyFont="1" applyBorder="1"/>
    <xf numFmtId="0" fontId="33" fillId="0" borderId="0" xfId="0" applyFont="1" applyAlignment="1">
      <alignment horizontal="left"/>
    </xf>
    <xf numFmtId="169" fontId="33" fillId="0" borderId="0" xfId="6" applyNumberFormat="1" applyFont="1"/>
    <xf numFmtId="169" fontId="12" fillId="0" borderId="0" xfId="6" applyNumberFormat="1" applyFont="1"/>
    <xf numFmtId="0" fontId="1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33" fillId="0" borderId="64" xfId="0" applyFont="1" applyBorder="1"/>
    <xf numFmtId="0" fontId="33" fillId="0" borderId="65" xfId="0" applyFont="1" applyBorder="1"/>
    <xf numFmtId="43" fontId="33" fillId="0" borderId="65" xfId="3" applyFont="1" applyBorder="1"/>
    <xf numFmtId="43" fontId="33" fillId="0" borderId="3" xfId="3" applyFont="1" applyBorder="1"/>
    <xf numFmtId="43" fontId="12" fillId="0" borderId="3" xfId="0" applyNumberFormat="1" applyFont="1" applyBorder="1"/>
    <xf numFmtId="0" fontId="0" fillId="0" borderId="66" xfId="0" applyBorder="1" applyAlignment="1">
      <alignment horizontal="center"/>
    </xf>
    <xf numFmtId="0" fontId="12" fillId="0" borderId="66" xfId="0" applyFont="1" applyBorder="1" applyAlignment="1">
      <alignment horizontal="left"/>
    </xf>
    <xf numFmtId="0" fontId="0" fillId="0" borderId="66" xfId="0" applyBorder="1" applyAlignment="1">
      <alignment horizontal="left"/>
    </xf>
    <xf numFmtId="43" fontId="33" fillId="0" borderId="66" xfId="3" applyFont="1" applyBorder="1"/>
    <xf numFmtId="43" fontId="33" fillId="2" borderId="3" xfId="3" applyFont="1" applyFill="1" applyBorder="1"/>
    <xf numFmtId="43" fontId="33" fillId="2" borderId="65" xfId="3" applyFont="1" applyFill="1" applyBorder="1"/>
    <xf numFmtId="43" fontId="33" fillId="0" borderId="0" xfId="3" applyFont="1"/>
    <xf numFmtId="43" fontId="12" fillId="0" borderId="0" xfId="0" applyNumberFormat="1" applyFont="1"/>
    <xf numFmtId="0" fontId="33" fillId="2" borderId="7" xfId="0" applyFont="1" applyFill="1" applyBorder="1"/>
    <xf numFmtId="43" fontId="12" fillId="0" borderId="7" xfId="0" applyNumberFormat="1" applyFont="1" applyBorder="1"/>
    <xf numFmtId="0" fontId="33" fillId="2" borderId="3" xfId="0" applyFont="1" applyFill="1" applyBorder="1"/>
    <xf numFmtId="0" fontId="33" fillId="0" borderId="10" xfId="0" applyFont="1" applyBorder="1"/>
    <xf numFmtId="43" fontId="12" fillId="0" borderId="27" xfId="0" applyNumberFormat="1" applyFont="1" applyBorder="1"/>
    <xf numFmtId="43" fontId="33" fillId="3" borderId="30" xfId="0" applyNumberFormat="1" applyFont="1" applyFill="1" applyBorder="1" applyAlignment="1">
      <alignment horizontal="right"/>
    </xf>
    <xf numFmtId="43" fontId="12" fillId="3" borderId="31" xfId="0" applyNumberFormat="1" applyFont="1" applyFill="1" applyBorder="1"/>
    <xf numFmtId="0" fontId="33" fillId="3" borderId="0" xfId="0" applyFont="1" applyFill="1" applyAlignment="1">
      <alignment horizontal="right"/>
    </xf>
    <xf numFmtId="43" fontId="12" fillId="3" borderId="33" xfId="3" applyFont="1" applyFill="1" applyBorder="1"/>
    <xf numFmtId="0" fontId="33" fillId="3" borderId="14" xfId="0" applyFont="1" applyFill="1" applyBorder="1"/>
    <xf numFmtId="0" fontId="33" fillId="3" borderId="11" xfId="0" applyFont="1" applyFill="1" applyBorder="1" applyAlignment="1">
      <alignment horizontal="right"/>
    </xf>
    <xf numFmtId="43" fontId="12" fillId="3" borderId="67" xfId="0" applyNumberFormat="1" applyFont="1" applyFill="1" applyBorder="1"/>
    <xf numFmtId="43" fontId="1" fillId="0" borderId="0" xfId="10" applyNumberFormat="1"/>
    <xf numFmtId="0" fontId="33" fillId="3" borderId="32" xfId="0" applyFont="1" applyFill="1" applyBorder="1"/>
    <xf numFmtId="43" fontId="12" fillId="3" borderId="0" xfId="0" applyNumberFormat="1" applyFont="1" applyFill="1"/>
    <xf numFmtId="0" fontId="33" fillId="3" borderId="15" xfId="0" applyFont="1" applyFill="1" applyBorder="1"/>
    <xf numFmtId="0" fontId="33" fillId="0" borderId="14" xfId="0" applyFont="1" applyBorder="1"/>
    <xf numFmtId="0" fontId="12" fillId="0" borderId="30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33" fillId="0" borderId="69" xfId="0" applyFont="1" applyBorder="1"/>
    <xf numFmtId="0" fontId="33" fillId="0" borderId="32" xfId="0" applyFont="1" applyBorder="1"/>
    <xf numFmtId="0" fontId="12" fillId="0" borderId="11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33" fillId="0" borderId="33" xfId="0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43" fontId="12" fillId="0" borderId="3" xfId="10" applyNumberFormat="1" applyFont="1" applyBorder="1"/>
    <xf numFmtId="43" fontId="12" fillId="0" borderId="26" xfId="10" applyNumberFormat="1" applyFont="1" applyBorder="1"/>
    <xf numFmtId="43" fontId="33" fillId="0" borderId="32" xfId="10" applyNumberFormat="1" applyFont="1" applyBorder="1"/>
    <xf numFmtId="0" fontId="12" fillId="0" borderId="4" xfId="0" applyFont="1" applyBorder="1"/>
    <xf numFmtId="0" fontId="12" fillId="0" borderId="38" xfId="0" applyFont="1" applyBorder="1"/>
    <xf numFmtId="0" fontId="12" fillId="0" borderId="36" xfId="0" applyFont="1" applyBorder="1" applyAlignment="1">
      <alignment horizontal="center"/>
    </xf>
    <xf numFmtId="43" fontId="12" fillId="0" borderId="36" xfId="10" applyNumberFormat="1" applyFont="1" applyBorder="1"/>
    <xf numFmtId="0" fontId="12" fillId="0" borderId="59" xfId="0" applyFont="1" applyBorder="1"/>
    <xf numFmtId="0" fontId="12" fillId="0" borderId="5" xfId="0" applyFont="1" applyBorder="1" applyAlignment="1">
      <alignment horizontal="center"/>
    </xf>
    <xf numFmtId="43" fontId="12" fillId="0" borderId="5" xfId="10" applyNumberFormat="1" applyFont="1" applyBorder="1"/>
    <xf numFmtId="43" fontId="12" fillId="0" borderId="6" xfId="10" applyNumberFormat="1" applyFont="1" applyBorder="1"/>
    <xf numFmtId="0" fontId="12" fillId="0" borderId="1" xfId="0" applyFont="1" applyBorder="1"/>
    <xf numFmtId="0" fontId="12" fillId="0" borderId="2" xfId="0" applyFont="1" applyBorder="1"/>
    <xf numFmtId="43" fontId="12" fillId="0" borderId="2" xfId="0" applyNumberFormat="1" applyFont="1" applyBorder="1"/>
    <xf numFmtId="43" fontId="12" fillId="0" borderId="35" xfId="0" applyNumberFormat="1" applyFont="1" applyBorder="1"/>
    <xf numFmtId="43" fontId="12" fillId="0" borderId="0" xfId="10" applyNumberFormat="1" applyFont="1"/>
    <xf numFmtId="10" fontId="12" fillId="0" borderId="0" xfId="9" applyNumberFormat="1" applyFont="1"/>
    <xf numFmtId="43" fontId="33" fillId="0" borderId="15" xfId="10" applyNumberFormat="1" applyFont="1" applyBorder="1"/>
    <xf numFmtId="0" fontId="33" fillId="0" borderId="11" xfId="0" applyFont="1" applyBorder="1"/>
    <xf numFmtId="0" fontId="33" fillId="0" borderId="34" xfId="0" applyFont="1" applyBorder="1"/>
    <xf numFmtId="44" fontId="6" fillId="0" borderId="2" xfId="0" applyNumberFormat="1" applyFont="1" applyBorder="1"/>
    <xf numFmtId="167" fontId="28" fillId="0" borderId="27" xfId="2" applyNumberFormat="1" applyFont="1" applyBorder="1"/>
    <xf numFmtId="0" fontId="29" fillId="0" borderId="58" xfId="0" quotePrefix="1" applyFont="1" applyBorder="1"/>
    <xf numFmtId="0" fontId="28" fillId="0" borderId="25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4" fontId="29" fillId="0" borderId="3" xfId="2" applyNumberFormat="1" applyFont="1" applyBorder="1" applyAlignment="1">
      <alignment wrapText="1"/>
    </xf>
    <xf numFmtId="4" fontId="28" fillId="0" borderId="3" xfId="2" applyNumberFormat="1" applyFont="1" applyBorder="1" applyAlignment="1">
      <alignment wrapText="1"/>
    </xf>
    <xf numFmtId="0" fontId="29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9" fillId="0" borderId="3" xfId="1" applyFont="1" applyBorder="1" applyAlignment="1">
      <alignment wrapText="1"/>
    </xf>
    <xf numFmtId="0" fontId="28" fillId="0" borderId="3" xfId="1" applyFont="1" applyBorder="1" applyAlignment="1">
      <alignment wrapText="1"/>
    </xf>
    <xf numFmtId="0" fontId="29" fillId="0" borderId="36" xfId="0" applyFont="1" applyBorder="1" applyAlignment="1">
      <alignment wrapText="1"/>
    </xf>
    <xf numFmtId="4" fontId="28" fillId="0" borderId="16" xfId="2" applyNumberFormat="1" applyFont="1" applyBorder="1" applyAlignment="1">
      <alignment horizontal="center" wrapText="1"/>
    </xf>
    <xf numFmtId="44" fontId="0" fillId="0" borderId="0" xfId="7" applyFont="1"/>
    <xf numFmtId="167" fontId="15" fillId="0" borderId="3" xfId="2" applyNumberFormat="1" applyFont="1" applyBorder="1"/>
    <xf numFmtId="169" fontId="12" fillId="0" borderId="63" xfId="6" applyNumberFormat="1" applyFont="1" applyBorder="1"/>
    <xf numFmtId="44" fontId="20" fillId="0" borderId="3" xfId="7" applyFont="1" applyBorder="1"/>
    <xf numFmtId="169" fontId="1" fillId="0" borderId="3" xfId="0" applyNumberFormat="1" applyFont="1" applyBorder="1"/>
    <xf numFmtId="44" fontId="1" fillId="0" borderId="63" xfId="7" applyFont="1" applyBorder="1" applyAlignment="1">
      <alignment horizontal="center"/>
    </xf>
    <xf numFmtId="0" fontId="6" fillId="0" borderId="0" xfId="0" applyFont="1" applyAlignment="1">
      <alignment horizontal="left"/>
    </xf>
    <xf numFmtId="8" fontId="6" fillId="0" borderId="0" xfId="0" applyNumberFormat="1" applyFont="1"/>
    <xf numFmtId="8" fontId="6" fillId="0" borderId="28" xfId="0" applyNumberFormat="1" applyFont="1" applyBorder="1"/>
    <xf numFmtId="44" fontId="5" fillId="0" borderId="18" xfId="0" applyNumberFormat="1" applyFont="1" applyBorder="1"/>
    <xf numFmtId="44" fontId="2" fillId="0" borderId="0" xfId="7" applyFont="1"/>
    <xf numFmtId="168" fontId="3" fillId="0" borderId="8" xfId="0" applyNumberFormat="1" applyFont="1" applyBorder="1"/>
    <xf numFmtId="44" fontId="4" fillId="0" borderId="5" xfId="0" applyNumberFormat="1" applyFont="1" applyBorder="1"/>
    <xf numFmtId="168" fontId="3" fillId="0" borderId="3" xfId="0" applyNumberFormat="1" applyFont="1" applyBorder="1"/>
    <xf numFmtId="0" fontId="0" fillId="4" borderId="3" xfId="0" applyFill="1" applyBorder="1"/>
    <xf numFmtId="44" fontId="0" fillId="4" borderId="3" xfId="0" applyNumberFormat="1" applyFill="1" applyBorder="1"/>
    <xf numFmtId="44" fontId="33" fillId="4" borderId="3" xfId="6" applyNumberFormat="1" applyFont="1" applyFill="1" applyBorder="1"/>
    <xf numFmtId="0" fontId="2" fillId="4" borderId="4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2" fillId="0" borderId="54" xfId="0" applyFont="1" applyBorder="1"/>
    <xf numFmtId="44" fontId="2" fillId="0" borderId="54" xfId="0" applyNumberFormat="1" applyFont="1" applyBorder="1"/>
    <xf numFmtId="44" fontId="2" fillId="0" borderId="58" xfId="0" applyNumberFormat="1" applyFont="1" applyBorder="1"/>
    <xf numFmtId="170" fontId="12" fillId="0" borderId="63" xfId="6" applyNumberFormat="1" applyFont="1" applyBorder="1"/>
    <xf numFmtId="0" fontId="15" fillId="0" borderId="55" xfId="0" applyFont="1" applyBorder="1" applyAlignment="1">
      <alignment horizontal="center" wrapText="1"/>
    </xf>
    <xf numFmtId="44" fontId="3" fillId="0" borderId="3" xfId="7" applyFont="1" applyBorder="1"/>
    <xf numFmtId="44" fontId="12" fillId="0" borderId="63" xfId="7" applyFont="1" applyBorder="1"/>
    <xf numFmtId="44" fontId="12" fillId="0" borderId="39" xfId="7" applyFont="1" applyBorder="1"/>
    <xf numFmtId="171" fontId="0" fillId="5" borderId="0" xfId="0" applyNumberFormat="1" applyFill="1"/>
    <xf numFmtId="44" fontId="12" fillId="0" borderId="10" xfId="7" applyFont="1" applyBorder="1"/>
    <xf numFmtId="0" fontId="2" fillId="6" borderId="4" xfId="0" applyFont="1" applyFill="1" applyBorder="1" applyAlignment="1">
      <alignment horizontal="center"/>
    </xf>
    <xf numFmtId="167" fontId="36" fillId="0" borderId="3" xfId="2" applyNumberFormat="1" applyFont="1" applyBorder="1" applyAlignment="1">
      <alignment horizontal="right"/>
    </xf>
    <xf numFmtId="0" fontId="3" fillId="0" borderId="23" xfId="0" applyFont="1" applyBorder="1"/>
    <xf numFmtId="0" fontId="4" fillId="0" borderId="19" xfId="0" applyFont="1" applyBorder="1" applyAlignment="1">
      <alignment horizontal="center"/>
    </xf>
    <xf numFmtId="0" fontId="4" fillId="0" borderId="7" xfId="0" applyFont="1" applyBorder="1"/>
    <xf numFmtId="44" fontId="4" fillId="0" borderId="20" xfId="0" applyNumberFormat="1" applyFont="1" applyBorder="1"/>
    <xf numFmtId="0" fontId="2" fillId="0" borderId="59" xfId="0" applyFont="1" applyBorder="1" applyAlignment="1">
      <alignment horizontal="center"/>
    </xf>
    <xf numFmtId="0" fontId="2" fillId="0" borderId="5" xfId="0" applyFont="1" applyBorder="1"/>
    <xf numFmtId="44" fontId="2" fillId="0" borderId="5" xfId="0" applyNumberFormat="1" applyFont="1" applyBorder="1"/>
    <xf numFmtId="43" fontId="12" fillId="3" borderId="33" xfId="0" applyNumberFormat="1" applyFont="1" applyFill="1" applyBorder="1"/>
    <xf numFmtId="43" fontId="1" fillId="3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4" fontId="10" fillId="0" borderId="44" xfId="2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10" fillId="0" borderId="14" xfId="2" applyNumberFormat="1" applyFont="1" applyBorder="1" applyAlignment="1">
      <alignment horizontal="center"/>
    </xf>
    <xf numFmtId="4" fontId="10" fillId="0" borderId="30" xfId="2" applyNumberFormat="1" applyFont="1" applyBorder="1" applyAlignment="1">
      <alignment horizontal="center"/>
    </xf>
    <xf numFmtId="4" fontId="10" fillId="0" borderId="31" xfId="2" applyNumberFormat="1" applyFont="1" applyBorder="1" applyAlignment="1">
      <alignment horizontal="center"/>
    </xf>
    <xf numFmtId="0" fontId="11" fillId="0" borderId="4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/>
    <xf numFmtId="0" fontId="5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" fontId="4" fillId="0" borderId="44" xfId="2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0" fillId="0" borderId="46" xfId="1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10" fillId="0" borderId="14" xfId="1" applyFont="1" applyBorder="1" applyAlignment="1">
      <alignment horizontal="center" vertical="top" wrapText="1"/>
    </xf>
    <xf numFmtId="0" fontId="10" fillId="0" borderId="30" xfId="1" applyFont="1" applyBorder="1" applyAlignment="1">
      <alignment horizontal="center" vertical="top" wrapText="1"/>
    </xf>
    <xf numFmtId="0" fontId="10" fillId="0" borderId="15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10" fillId="0" borderId="44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14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49" fontId="28" fillId="0" borderId="44" xfId="2" applyNumberFormat="1" applyFont="1" applyBorder="1" applyAlignment="1">
      <alignment horizontal="center" vertical="center" textRotation="90" wrapText="1"/>
    </xf>
    <xf numFmtId="0" fontId="28" fillId="0" borderId="43" xfId="0" applyFont="1" applyBorder="1" applyAlignment="1">
      <alignment horizontal="center" vertical="center" textRotation="90" wrapText="1"/>
    </xf>
    <xf numFmtId="4" fontId="28" fillId="0" borderId="44" xfId="2" applyNumberFormat="1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4" fontId="29" fillId="0" borderId="10" xfId="2" applyNumberFormat="1" applyFont="1" applyBorder="1" applyAlignment="1">
      <alignment horizontal="center"/>
    </xf>
    <xf numFmtId="4" fontId="29" fillId="0" borderId="42" xfId="2" applyNumberFormat="1" applyFont="1" applyBorder="1" applyAlignment="1">
      <alignment horizontal="center"/>
    </xf>
    <xf numFmtId="4" fontId="28" fillId="0" borderId="42" xfId="2" applyNumberFormat="1" applyFont="1" applyBorder="1" applyAlignment="1">
      <alignment horizontal="center"/>
    </xf>
    <xf numFmtId="4" fontId="28" fillId="0" borderId="27" xfId="2" applyNumberFormat="1" applyFont="1" applyBorder="1" applyAlignment="1">
      <alignment horizontal="center"/>
    </xf>
    <xf numFmtId="4" fontId="28" fillId="0" borderId="10" xfId="2" applyNumberFormat="1" applyFont="1" applyBorder="1" applyAlignment="1">
      <alignment horizontal="center"/>
    </xf>
    <xf numFmtId="4" fontId="29" fillId="0" borderId="14" xfId="2" applyNumberFormat="1" applyFont="1" applyBorder="1" applyAlignment="1">
      <alignment horizontal="center"/>
    </xf>
    <xf numFmtId="4" fontId="29" fillId="0" borderId="30" xfId="2" applyNumberFormat="1" applyFont="1" applyBorder="1" applyAlignment="1">
      <alignment horizontal="center"/>
    </xf>
    <xf numFmtId="4" fontId="29" fillId="0" borderId="31" xfId="2" applyNumberFormat="1" applyFont="1" applyBorder="1" applyAlignment="1">
      <alignment horizontal="center"/>
    </xf>
    <xf numFmtId="4" fontId="29" fillId="0" borderId="32" xfId="2" applyNumberFormat="1" applyFont="1" applyBorder="1" applyAlignment="1">
      <alignment horizontal="center"/>
    </xf>
    <xf numFmtId="4" fontId="29" fillId="0" borderId="0" xfId="2" applyNumberFormat="1" applyFont="1" applyAlignment="1">
      <alignment horizontal="center"/>
    </xf>
    <xf numFmtId="4" fontId="29" fillId="0" borderId="33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 wrapText="1"/>
    </xf>
    <xf numFmtId="4" fontId="29" fillId="0" borderId="43" xfId="2" applyNumberFormat="1" applyFont="1" applyBorder="1" applyAlignment="1">
      <alignment horizontal="center" wrapText="1"/>
    </xf>
    <xf numFmtId="4" fontId="29" fillId="0" borderId="45" xfId="2" applyNumberFormat="1" applyFont="1" applyBorder="1" applyAlignment="1">
      <alignment horizontal="center" wrapText="1"/>
    </xf>
    <xf numFmtId="4" fontId="27" fillId="0" borderId="0" xfId="2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4" fontId="29" fillId="0" borderId="34" xfId="2" applyNumberFormat="1" applyFont="1" applyBorder="1" applyAlignment="1">
      <alignment horizontal="center"/>
    </xf>
    <xf numFmtId="4" fontId="29" fillId="0" borderId="15" xfId="2" applyNumberFormat="1" applyFont="1" applyBorder="1" applyAlignment="1">
      <alignment horizontal="center"/>
    </xf>
    <xf numFmtId="4" fontId="29" fillId="0" borderId="11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/>
    </xf>
    <xf numFmtId="4" fontId="29" fillId="0" borderId="43" xfId="2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4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2" fillId="0" borderId="10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55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3" fillId="0" borderId="3" xfId="0" applyFont="1" applyBorder="1" applyAlignment="1">
      <alignment horizontal="left"/>
    </xf>
    <xf numFmtId="0" fontId="12" fillId="0" borderId="0" xfId="0" applyFont="1" applyAlignment="1">
      <alignment horizontal="center"/>
    </xf>
  </cellXfs>
  <cellStyles count="11">
    <cellStyle name="Euro" xfId="2"/>
    <cellStyle name="Millares 2" xfId="3"/>
    <cellStyle name="Millares_bienes y servicios 2003 juayua" xfId="8"/>
    <cellStyle name="Millares_Presupuesto_Ingresos2003" xfId="10"/>
    <cellStyle name="Millares_Presupuesto2003_Juayua_Modelo" xfId="6"/>
    <cellStyle name="Moneda" xfId="7" builtinId="4"/>
    <cellStyle name="Moneda 2" xfId="4"/>
    <cellStyle name="Normal" xfId="0" builtinId="0"/>
    <cellStyle name="Normal 2" xfId="1"/>
    <cellStyle name="Porcentaje" xfId="9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>
          <a:spLocks/>
        </xdr:cNvSpPr>
      </xdr:nvSpPr>
      <xdr:spPr bwMode="auto">
        <a:xfrm>
          <a:off x="4419600" y="54768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>
          <a:spLocks/>
        </xdr:cNvSpPr>
      </xdr:nvSpPr>
      <xdr:spPr bwMode="auto">
        <a:xfrm>
          <a:off x="3381375" y="5000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Desktop\PRESUPUEST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Desktop\Documents%20and%20Settings\Lic%20Alejandro%20Jacobo\Mis%20documentos\PresupuestoAG\Formulacion_PAG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xiomara\Desktop\plan%20anual%20de%20compra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Pres_Ingresos"/>
      <sheetName val="Nomina_LS"/>
      <sheetName val="IngresosFF"/>
      <sheetName val="Nomina_PC"/>
      <sheetName val="Egresos_CR"/>
      <sheetName val="Egresos_FF"/>
      <sheetName val="Línea 1"/>
      <sheetName val="Linea03"/>
      <sheetName val="Consolidado"/>
      <sheetName val="Linea04"/>
      <sheetName val="Resumen1"/>
      <sheetName val="Resumen2"/>
      <sheetName val="Resumen3"/>
      <sheetName val="Resumen4"/>
      <sheetName val="Resumen5"/>
      <sheetName val="LINEA5"/>
      <sheetName val="Pres_Egresos"/>
      <sheetName val="fisdl"/>
      <sheetName val="Hoja2"/>
      <sheetName val="Prestamo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1">
          <cell r="P91">
            <v>0</v>
          </cell>
        </row>
        <row r="106">
          <cell r="I106">
            <v>0.17630685624787745</v>
          </cell>
        </row>
      </sheetData>
      <sheetData sheetId="8">
        <row r="145">
          <cell r="E145">
            <v>0</v>
          </cell>
        </row>
        <row r="146">
          <cell r="E146">
            <v>0</v>
          </cell>
        </row>
        <row r="148">
          <cell r="E148">
            <v>0</v>
          </cell>
        </row>
        <row r="150">
          <cell r="E150">
            <v>0</v>
          </cell>
        </row>
        <row r="169">
          <cell r="E169">
            <v>0</v>
          </cell>
        </row>
        <row r="170">
          <cell r="E17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IngresosFF"/>
      <sheetName val="Pres_Ingresos"/>
      <sheetName val="Nomina_LS"/>
      <sheetName val="Nomina_PC"/>
      <sheetName val="Res_Nom_CR"/>
      <sheetName val="Res_Nom_FF"/>
      <sheetName val="Egresos_CR"/>
      <sheetName val="Egresos_FF"/>
      <sheetName val="Linea01"/>
      <sheetName val="Linea02"/>
      <sheetName val="Linea03"/>
      <sheetName val="Linea04"/>
      <sheetName val="Linea05"/>
      <sheetName val="Consolidado"/>
      <sheetName val="Pres_Egresos"/>
      <sheetName val="Resumen1"/>
      <sheetName val="Resumen2"/>
      <sheetName val="Resumen3"/>
      <sheetName val="Resumen4"/>
      <sheetName val="Resumen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>
            <v>0</v>
          </cell>
        </row>
        <row r="22">
          <cell r="C22">
            <v>0</v>
          </cell>
        </row>
        <row r="31">
          <cell r="C31">
            <v>0</v>
          </cell>
        </row>
        <row r="32">
          <cell r="C32">
            <v>0</v>
          </cell>
        </row>
        <row r="39">
          <cell r="C39">
            <v>0</v>
          </cell>
        </row>
      </sheetData>
      <sheetData sheetId="9" refreshError="1"/>
      <sheetData sheetId="10" refreshError="1">
        <row r="13">
          <cell r="C13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1">
          <cell r="C21">
            <v>0</v>
          </cell>
        </row>
        <row r="22">
          <cell r="C22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30">
          <cell r="C30">
            <v>0</v>
          </cell>
        </row>
        <row r="38">
          <cell r="C38">
            <v>0</v>
          </cell>
        </row>
        <row r="40">
          <cell r="C40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50">
          <cell r="C50">
            <v>0</v>
          </cell>
        </row>
        <row r="51">
          <cell r="C51">
            <v>0</v>
          </cell>
        </row>
        <row r="59">
          <cell r="C59">
            <v>0</v>
          </cell>
        </row>
        <row r="73">
          <cell r="C73">
            <v>0</v>
          </cell>
        </row>
        <row r="74">
          <cell r="C74">
            <v>0</v>
          </cell>
        </row>
        <row r="77">
          <cell r="C77">
            <v>0</v>
          </cell>
        </row>
        <row r="78">
          <cell r="C78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I. COMP. 2020"/>
      <sheetName val="grupo por linea"/>
    </sheetNames>
    <sheetDataSet>
      <sheetData sheetId="0" refreshError="1"/>
      <sheetData sheetId="1" refreshError="1">
        <row r="12">
          <cell r="O12">
            <v>4668</v>
          </cell>
          <cell r="W12">
            <v>471.6</v>
          </cell>
          <cell r="AB12">
            <v>589.20000000000005</v>
          </cell>
          <cell r="AW12">
            <v>10071.6</v>
          </cell>
        </row>
        <row r="13">
          <cell r="AW13">
            <v>192</v>
          </cell>
        </row>
        <row r="22">
          <cell r="O22">
            <v>1621.12</v>
          </cell>
          <cell r="W22">
            <v>2766.34</v>
          </cell>
          <cell r="AB22">
            <v>103.08</v>
          </cell>
          <cell r="AW22">
            <v>15986.41</v>
          </cell>
        </row>
        <row r="56">
          <cell r="O56">
            <v>2613.7199999999998</v>
          </cell>
          <cell r="W56">
            <v>2995.65</v>
          </cell>
          <cell r="AB56">
            <v>503.05999999999995</v>
          </cell>
          <cell r="AW56">
            <v>5581.3540000000012</v>
          </cell>
        </row>
        <row r="58">
          <cell r="O58">
            <v>350</v>
          </cell>
          <cell r="W58">
            <v>2.5499999999999998</v>
          </cell>
          <cell r="AB58">
            <v>0</v>
          </cell>
          <cell r="AW58">
            <v>520</v>
          </cell>
        </row>
        <row r="100">
          <cell r="O100">
            <v>1575.45</v>
          </cell>
          <cell r="W100">
            <v>304.65999999999997</v>
          </cell>
          <cell r="AB100">
            <v>83</v>
          </cell>
          <cell r="AW100">
            <v>12582.61</v>
          </cell>
        </row>
        <row r="107">
          <cell r="AW107">
            <v>50.400000000000006</v>
          </cell>
        </row>
        <row r="147">
          <cell r="O147">
            <v>528.14</v>
          </cell>
          <cell r="W147">
            <v>1182.7200000000003</v>
          </cell>
          <cell r="AB147">
            <v>107.45000000000002</v>
          </cell>
          <cell r="AW147">
            <v>4461.6799999999985</v>
          </cell>
        </row>
        <row r="166">
          <cell r="O166">
            <v>781.75</v>
          </cell>
          <cell r="W166">
            <v>3827.1</v>
          </cell>
          <cell r="AB166">
            <v>1052.25</v>
          </cell>
          <cell r="AW166">
            <v>4619.75</v>
          </cell>
        </row>
        <row r="173">
          <cell r="O173">
            <v>1000</v>
          </cell>
          <cell r="W173">
            <v>0</v>
          </cell>
          <cell r="AB173">
            <v>0</v>
          </cell>
          <cell r="AW173">
            <v>3357.5</v>
          </cell>
        </row>
        <row r="201">
          <cell r="O201">
            <v>190</v>
          </cell>
          <cell r="W201">
            <v>0</v>
          </cell>
          <cell r="AB201">
            <v>0</v>
          </cell>
          <cell r="AW201">
            <v>6414.2000000000007</v>
          </cell>
        </row>
        <row r="211">
          <cell r="O211">
            <v>0</v>
          </cell>
          <cell r="W211">
            <v>0</v>
          </cell>
          <cell r="AB211">
            <v>0</v>
          </cell>
          <cell r="AW211">
            <v>1473.5</v>
          </cell>
        </row>
        <row r="230">
          <cell r="O230">
            <v>36.72</v>
          </cell>
          <cell r="W230">
            <v>50.64</v>
          </cell>
          <cell r="AB230">
            <v>0</v>
          </cell>
          <cell r="AW230">
            <v>5590.88</v>
          </cell>
        </row>
        <row r="233">
          <cell r="O233">
            <v>600</v>
          </cell>
          <cell r="W233">
            <v>2205</v>
          </cell>
          <cell r="AB233">
            <v>1310</v>
          </cell>
          <cell r="AW233">
            <v>2550</v>
          </cell>
        </row>
        <row r="241">
          <cell r="AW241">
            <v>216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120" zoomScaleNormal="120" workbookViewId="0">
      <selection activeCell="F8" sqref="F8"/>
    </sheetView>
  </sheetViews>
  <sheetFormatPr baseColWidth="10" defaultRowHeight="15" x14ac:dyDescent="0.25"/>
  <cols>
    <col min="2" max="2" width="6.28515625" customWidth="1"/>
    <col min="3" max="3" width="6.140625" customWidth="1"/>
    <col min="4" max="4" width="5.42578125" customWidth="1"/>
    <col min="5" max="5" width="7.140625" customWidth="1"/>
    <col min="6" max="6" width="53.42578125" bestFit="1" customWidth="1"/>
  </cols>
  <sheetData>
    <row r="1" spans="1:7" ht="16.5" x14ac:dyDescent="0.3">
      <c r="A1" s="88"/>
      <c r="B1" s="589" t="s">
        <v>314</v>
      </c>
      <c r="C1" s="589"/>
      <c r="D1" s="589"/>
      <c r="E1" s="589"/>
      <c r="F1" s="589"/>
      <c r="G1" s="88"/>
    </row>
    <row r="2" spans="1:7" ht="16.5" x14ac:dyDescent="0.3">
      <c r="A2" s="88"/>
      <c r="B2" s="589" t="s">
        <v>331</v>
      </c>
      <c r="C2" s="589"/>
      <c r="D2" s="589"/>
      <c r="E2" s="589"/>
      <c r="F2" s="589"/>
      <c r="G2" s="88"/>
    </row>
    <row r="3" spans="1:7" ht="16.5" x14ac:dyDescent="0.3">
      <c r="A3" s="88"/>
      <c r="B3" s="589" t="s">
        <v>332</v>
      </c>
      <c r="C3" s="589"/>
      <c r="D3" s="589"/>
      <c r="E3" s="589"/>
      <c r="F3" s="589"/>
      <c r="G3" s="88"/>
    </row>
    <row r="4" spans="1:7" ht="17.25" thickBot="1" x14ac:dyDescent="0.35">
      <c r="A4" s="88"/>
      <c r="B4" s="589" t="s">
        <v>694</v>
      </c>
      <c r="C4" s="589"/>
      <c r="D4" s="589"/>
      <c r="E4" s="589"/>
      <c r="F4" s="589"/>
      <c r="G4" s="88"/>
    </row>
    <row r="5" spans="1:7" ht="78" customHeight="1" thickBot="1" x14ac:dyDescent="0.3">
      <c r="A5" s="88"/>
      <c r="B5" s="150" t="s">
        <v>333</v>
      </c>
      <c r="C5" s="151" t="s">
        <v>334</v>
      </c>
      <c r="D5" s="151" t="s">
        <v>335</v>
      </c>
      <c r="E5" s="151" t="s">
        <v>336</v>
      </c>
      <c r="F5" s="152" t="s">
        <v>173</v>
      </c>
      <c r="G5" s="88"/>
    </row>
    <row r="6" spans="1:7" x14ac:dyDescent="0.25">
      <c r="A6" s="88"/>
      <c r="B6" s="170" t="s">
        <v>293</v>
      </c>
      <c r="C6" s="171"/>
      <c r="D6" s="172"/>
      <c r="E6" s="171"/>
      <c r="F6" s="173" t="s">
        <v>294</v>
      </c>
      <c r="G6" s="88"/>
    </row>
    <row r="7" spans="1:7" x14ac:dyDescent="0.25">
      <c r="A7" s="88"/>
      <c r="B7" s="146"/>
      <c r="C7" s="136" t="s">
        <v>295</v>
      </c>
      <c r="D7" s="147"/>
      <c r="E7" s="136"/>
      <c r="F7" s="138" t="s">
        <v>296</v>
      </c>
      <c r="G7" s="88"/>
    </row>
    <row r="8" spans="1:7" x14ac:dyDescent="0.25">
      <c r="A8" s="88"/>
      <c r="B8" s="146"/>
      <c r="C8" s="136"/>
      <c r="D8" s="145" t="s">
        <v>295</v>
      </c>
      <c r="E8" s="136"/>
      <c r="F8" s="138" t="s">
        <v>337</v>
      </c>
      <c r="G8" s="88"/>
    </row>
    <row r="9" spans="1:7" x14ac:dyDescent="0.25">
      <c r="A9" s="88"/>
      <c r="B9" s="146"/>
      <c r="C9" s="136"/>
      <c r="D9" s="147"/>
      <c r="E9" s="144" t="s">
        <v>194</v>
      </c>
      <c r="F9" s="140" t="s">
        <v>354</v>
      </c>
      <c r="G9" s="88"/>
    </row>
    <row r="10" spans="1:7" x14ac:dyDescent="0.25">
      <c r="A10" s="88"/>
      <c r="B10" s="146"/>
      <c r="C10" s="136"/>
      <c r="D10" s="147"/>
      <c r="E10" s="136"/>
      <c r="F10" s="537" t="s">
        <v>353</v>
      </c>
      <c r="G10" s="88"/>
    </row>
    <row r="11" spans="1:7" x14ac:dyDescent="0.25">
      <c r="A11" s="88"/>
      <c r="B11" s="146"/>
      <c r="C11" s="136"/>
      <c r="D11" s="147"/>
      <c r="E11" s="136"/>
      <c r="F11" s="537" t="s">
        <v>612</v>
      </c>
      <c r="G11" s="88"/>
    </row>
    <row r="12" spans="1:7" x14ac:dyDescent="0.25">
      <c r="A12" s="88"/>
      <c r="B12" s="146"/>
      <c r="C12" s="136"/>
      <c r="D12" s="147"/>
      <c r="E12" s="144" t="s">
        <v>195</v>
      </c>
      <c r="F12" s="140" t="s">
        <v>355</v>
      </c>
      <c r="G12" s="88"/>
    </row>
    <row r="13" spans="1:7" x14ac:dyDescent="0.25">
      <c r="A13" s="88"/>
      <c r="B13" s="146"/>
      <c r="C13" s="136"/>
      <c r="D13" s="147"/>
      <c r="E13" s="136"/>
      <c r="F13" s="139" t="s">
        <v>616</v>
      </c>
      <c r="G13" s="88"/>
    </row>
    <row r="14" spans="1:7" ht="15.75" thickBot="1" x14ac:dyDescent="0.3">
      <c r="A14" s="88"/>
      <c r="B14" s="174"/>
      <c r="C14" s="142"/>
      <c r="D14" s="149"/>
      <c r="E14" s="142"/>
      <c r="F14" s="175" t="s">
        <v>617</v>
      </c>
      <c r="G14" s="88"/>
    </row>
    <row r="15" spans="1:7" x14ac:dyDescent="0.25">
      <c r="A15" s="88"/>
      <c r="B15" s="185"/>
      <c r="C15" s="178"/>
      <c r="D15" s="172" t="s">
        <v>338</v>
      </c>
      <c r="E15" s="178" t="s">
        <v>8</v>
      </c>
      <c r="F15" s="186" t="s">
        <v>299</v>
      </c>
      <c r="G15" s="88"/>
    </row>
    <row r="16" spans="1:7" x14ac:dyDescent="0.25">
      <c r="A16" s="88"/>
      <c r="B16" s="146"/>
      <c r="C16" s="147"/>
      <c r="D16" s="147"/>
      <c r="E16" s="145" t="s">
        <v>196</v>
      </c>
      <c r="F16" s="179" t="s">
        <v>347</v>
      </c>
      <c r="G16" s="88"/>
    </row>
    <row r="17" spans="1:7" x14ac:dyDescent="0.25">
      <c r="A17" s="88"/>
      <c r="B17" s="146"/>
      <c r="C17" s="147"/>
      <c r="D17" s="147"/>
      <c r="E17" s="147"/>
      <c r="F17" s="180" t="s">
        <v>339</v>
      </c>
      <c r="G17" s="88"/>
    </row>
    <row r="18" spans="1:7" x14ac:dyDescent="0.25">
      <c r="A18" s="88"/>
      <c r="B18" s="146"/>
      <c r="C18" s="147"/>
      <c r="D18" s="147"/>
      <c r="E18" s="147"/>
      <c r="F18" s="181" t="s">
        <v>348</v>
      </c>
      <c r="G18" s="88"/>
    </row>
    <row r="19" spans="1:7" x14ac:dyDescent="0.25">
      <c r="A19" s="88"/>
      <c r="B19" s="146"/>
      <c r="C19" s="147"/>
      <c r="D19" s="147"/>
      <c r="E19" s="145" t="s">
        <v>349</v>
      </c>
      <c r="F19" s="182" t="s">
        <v>350</v>
      </c>
      <c r="G19" s="88"/>
    </row>
    <row r="20" spans="1:7" x14ac:dyDescent="0.25">
      <c r="A20" s="88"/>
      <c r="B20" s="146"/>
      <c r="C20" s="147"/>
      <c r="D20" s="147"/>
      <c r="E20" s="147"/>
      <c r="F20" s="181" t="s">
        <v>602</v>
      </c>
      <c r="G20" s="88"/>
    </row>
    <row r="21" spans="1:7" x14ac:dyDescent="0.25">
      <c r="A21" s="88"/>
      <c r="B21" s="146"/>
      <c r="C21" s="147"/>
      <c r="D21" s="147"/>
      <c r="E21" s="147"/>
      <c r="F21" s="180" t="s">
        <v>603</v>
      </c>
      <c r="G21" s="88"/>
    </row>
    <row r="22" spans="1:7" x14ac:dyDescent="0.25">
      <c r="A22" s="88"/>
      <c r="B22" s="146"/>
      <c r="C22" s="147"/>
      <c r="D22" s="147"/>
      <c r="E22" s="147"/>
      <c r="F22" s="180" t="s">
        <v>351</v>
      </c>
      <c r="G22" s="88"/>
    </row>
    <row r="23" spans="1:7" x14ac:dyDescent="0.25">
      <c r="A23" s="88"/>
      <c r="B23" s="146"/>
      <c r="C23" s="147"/>
      <c r="D23" s="147"/>
      <c r="E23" s="147"/>
      <c r="F23" s="180" t="s">
        <v>352</v>
      </c>
      <c r="G23" s="88"/>
    </row>
    <row r="24" spans="1:7" ht="15.75" thickBot="1" x14ac:dyDescent="0.3">
      <c r="A24" s="88"/>
      <c r="B24" s="174"/>
      <c r="C24" s="149"/>
      <c r="D24" s="149"/>
      <c r="E24" s="149"/>
      <c r="F24" s="184" t="s">
        <v>646</v>
      </c>
      <c r="G24" s="88"/>
    </row>
    <row r="25" spans="1:7" x14ac:dyDescent="0.25">
      <c r="A25" s="88"/>
      <c r="B25" s="170" t="s">
        <v>340</v>
      </c>
      <c r="C25" s="172" t="s">
        <v>301</v>
      </c>
      <c r="D25" s="172" t="s">
        <v>295</v>
      </c>
      <c r="E25" s="178"/>
      <c r="F25" s="186" t="s">
        <v>341</v>
      </c>
      <c r="G25" s="88"/>
    </row>
    <row r="26" spans="1:7" x14ac:dyDescent="0.25">
      <c r="A26" s="88"/>
      <c r="B26" s="176"/>
      <c r="C26" s="145"/>
      <c r="D26" s="145"/>
      <c r="E26" s="145"/>
      <c r="F26" s="183" t="s">
        <v>300</v>
      </c>
      <c r="G26" s="88"/>
    </row>
    <row r="27" spans="1:7" x14ac:dyDescent="0.25">
      <c r="A27" s="88"/>
      <c r="B27" s="141"/>
      <c r="C27" s="147" t="s">
        <v>301</v>
      </c>
      <c r="D27" s="147"/>
      <c r="E27" s="147"/>
      <c r="F27" s="180" t="s">
        <v>342</v>
      </c>
      <c r="G27" s="88"/>
    </row>
    <row r="28" spans="1:7" ht="15.75" thickBot="1" x14ac:dyDescent="0.3">
      <c r="A28" s="88"/>
      <c r="B28" s="148"/>
      <c r="C28" s="149"/>
      <c r="D28" s="149" t="s">
        <v>338</v>
      </c>
      <c r="E28" s="149"/>
      <c r="F28" s="184" t="s">
        <v>343</v>
      </c>
      <c r="G28" s="88"/>
    </row>
    <row r="29" spans="1:7" x14ac:dyDescent="0.25">
      <c r="A29" s="88"/>
      <c r="B29" s="177"/>
      <c r="C29" s="171"/>
      <c r="D29" s="172"/>
      <c r="E29" s="171"/>
      <c r="F29" s="173" t="s">
        <v>305</v>
      </c>
      <c r="G29" s="88"/>
    </row>
    <row r="30" spans="1:7" x14ac:dyDescent="0.25">
      <c r="A30" s="88"/>
      <c r="B30" s="141"/>
      <c r="C30" s="136" t="s">
        <v>301</v>
      </c>
      <c r="D30" s="147" t="s">
        <v>301</v>
      </c>
      <c r="E30" s="136"/>
      <c r="F30" s="138" t="s">
        <v>344</v>
      </c>
      <c r="G30" s="88"/>
    </row>
    <row r="31" spans="1:7" ht="15.75" thickBot="1" x14ac:dyDescent="0.3">
      <c r="A31" s="88"/>
      <c r="B31" s="141"/>
      <c r="C31" s="136"/>
      <c r="D31" s="147" t="s">
        <v>345</v>
      </c>
      <c r="E31" s="136"/>
      <c r="F31" s="143" t="s">
        <v>346</v>
      </c>
      <c r="G31" s="88"/>
    </row>
    <row r="32" spans="1:7" ht="15.75" thickBot="1" x14ac:dyDescent="0.3">
      <c r="A32" s="88"/>
      <c r="B32" s="141"/>
      <c r="C32" s="136"/>
      <c r="D32" s="147" t="s">
        <v>310</v>
      </c>
      <c r="E32" s="136"/>
      <c r="F32" s="143" t="s">
        <v>604</v>
      </c>
      <c r="G32" s="88"/>
    </row>
    <row r="33" spans="1:7" ht="15.75" thickBot="1" x14ac:dyDescent="0.3">
      <c r="A33" s="88"/>
      <c r="B33" s="148"/>
      <c r="C33" s="142"/>
      <c r="D33" s="149" t="s">
        <v>310</v>
      </c>
      <c r="E33" s="142"/>
      <c r="F33" s="143" t="s">
        <v>605</v>
      </c>
      <c r="G33" s="88"/>
    </row>
    <row r="34" spans="1:7" x14ac:dyDescent="0.25">
      <c r="A34" s="88"/>
      <c r="B34" s="176">
        <v>5</v>
      </c>
      <c r="C34" s="144"/>
      <c r="D34" s="145"/>
      <c r="E34" s="144"/>
      <c r="F34" s="140" t="s">
        <v>309</v>
      </c>
      <c r="G34" s="88"/>
    </row>
    <row r="35" spans="1:7" x14ac:dyDescent="0.25">
      <c r="A35" s="88"/>
      <c r="B35" s="141"/>
      <c r="C35" s="136" t="s">
        <v>345</v>
      </c>
      <c r="D35" s="147"/>
      <c r="E35" s="136"/>
      <c r="F35" s="138" t="s">
        <v>311</v>
      </c>
      <c r="G35" s="88"/>
    </row>
    <row r="36" spans="1:7" ht="15.75" thickBot="1" x14ac:dyDescent="0.3">
      <c r="A36" s="88"/>
      <c r="B36" s="148"/>
      <c r="C36" s="142"/>
      <c r="D36" s="149" t="s">
        <v>295</v>
      </c>
      <c r="E36" s="142"/>
      <c r="F36" s="143" t="s">
        <v>313</v>
      </c>
      <c r="G36" s="88"/>
    </row>
    <row r="37" spans="1:7" x14ac:dyDescent="0.25">
      <c r="A37" s="88"/>
      <c r="B37" s="88"/>
      <c r="C37" s="88"/>
      <c r="D37" s="88"/>
      <c r="E37" s="137"/>
      <c r="F37" s="88"/>
      <c r="G37" s="88"/>
    </row>
    <row r="38" spans="1:7" x14ac:dyDescent="0.25">
      <c r="A38" s="88"/>
      <c r="B38" s="88"/>
      <c r="C38" s="88"/>
      <c r="D38" s="88"/>
      <c r="E38" s="137"/>
      <c r="F38" s="88"/>
      <c r="G38" s="88"/>
    </row>
    <row r="39" spans="1:7" x14ac:dyDescent="0.25">
      <c r="A39" s="88"/>
      <c r="B39" s="88"/>
      <c r="C39" s="88"/>
      <c r="D39" s="88"/>
      <c r="E39" s="137"/>
      <c r="F39" s="88"/>
      <c r="G39" s="88"/>
    </row>
    <row r="40" spans="1:7" x14ac:dyDescent="0.25">
      <c r="A40" s="88"/>
      <c r="B40" s="88"/>
      <c r="C40" s="88"/>
      <c r="D40" s="88"/>
      <c r="E40" s="137"/>
      <c r="F40" s="88"/>
      <c r="G40" s="88"/>
    </row>
    <row r="41" spans="1:7" x14ac:dyDescent="0.25">
      <c r="A41" s="88"/>
      <c r="B41" s="88"/>
      <c r="C41" s="88"/>
      <c r="D41" s="88"/>
      <c r="E41" s="137"/>
      <c r="F41" s="88"/>
      <c r="G41" s="88"/>
    </row>
    <row r="42" spans="1:7" x14ac:dyDescent="0.25">
      <c r="A42" s="88"/>
      <c r="B42" s="88"/>
      <c r="C42" s="88"/>
      <c r="D42" s="88"/>
      <c r="E42" s="137"/>
      <c r="F42" s="88"/>
      <c r="G42" s="88"/>
    </row>
    <row r="43" spans="1:7" x14ac:dyDescent="0.25">
      <c r="A43" s="88"/>
      <c r="B43" s="88"/>
      <c r="C43" s="88"/>
      <c r="D43" s="88"/>
      <c r="E43" s="137"/>
      <c r="F43" s="88"/>
      <c r="G43" s="88"/>
    </row>
    <row r="44" spans="1:7" x14ac:dyDescent="0.25">
      <c r="A44" s="88"/>
      <c r="B44" s="88"/>
      <c r="C44" s="88"/>
      <c r="D44" s="88"/>
      <c r="E44" s="137"/>
      <c r="F44" s="88"/>
      <c r="G44" s="88"/>
    </row>
    <row r="45" spans="1:7" x14ac:dyDescent="0.25">
      <c r="A45" s="88"/>
      <c r="B45" s="88"/>
      <c r="C45" s="88"/>
      <c r="D45" s="88"/>
      <c r="E45" s="137"/>
      <c r="F45" s="88"/>
      <c r="G45" s="88"/>
    </row>
    <row r="46" spans="1:7" x14ac:dyDescent="0.25">
      <c r="A46" s="88"/>
      <c r="B46" s="88"/>
      <c r="C46" s="88"/>
      <c r="D46" s="88"/>
      <c r="E46" s="137"/>
      <c r="F46" s="88"/>
      <c r="G46" s="88"/>
    </row>
    <row r="47" spans="1:7" x14ac:dyDescent="0.25">
      <c r="A47" s="88"/>
      <c r="B47" s="88"/>
      <c r="C47" s="88"/>
      <c r="D47" s="88"/>
      <c r="E47" s="137"/>
      <c r="F47" s="88"/>
      <c r="G47" s="88"/>
    </row>
    <row r="48" spans="1:7" x14ac:dyDescent="0.25">
      <c r="A48" s="88"/>
      <c r="B48" s="88"/>
      <c r="C48" s="88"/>
      <c r="D48" s="88"/>
      <c r="E48" s="137"/>
      <c r="F48" s="88"/>
      <c r="G48" s="88"/>
    </row>
    <row r="49" spans="5:5" x14ac:dyDescent="0.25">
      <c r="E49" s="89"/>
    </row>
  </sheetData>
  <mergeCells count="4">
    <mergeCell ref="B1:F1"/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zoomScale="120" zoomScaleNormal="120" workbookViewId="0">
      <pane ySplit="9" topLeftCell="A13" activePane="bottomLeft" state="frozen"/>
      <selection pane="bottomLeft" activeCell="G21" sqref="G21"/>
    </sheetView>
  </sheetViews>
  <sheetFormatPr baseColWidth="10" defaultRowHeight="15" x14ac:dyDescent="0.25"/>
  <cols>
    <col min="1" max="1" width="7" customWidth="1"/>
    <col min="2" max="2" width="9.5703125" bestFit="1" customWidth="1"/>
    <col min="3" max="3" width="49.5703125" customWidth="1"/>
    <col min="4" max="4" width="12.7109375" customWidth="1"/>
    <col min="5" max="5" width="10.42578125" customWidth="1"/>
    <col min="6" max="6" width="11.42578125" customWidth="1"/>
    <col min="7" max="7" width="12.7109375" customWidth="1"/>
    <col min="8" max="8" width="11.42578125" bestFit="1" customWidth="1"/>
    <col min="9" max="9" width="14.140625" customWidth="1"/>
  </cols>
  <sheetData>
    <row r="1" spans="1:9" ht="16.5" x14ac:dyDescent="0.3">
      <c r="A1" s="589" t="s">
        <v>277</v>
      </c>
      <c r="B1" s="589"/>
      <c r="C1" s="589"/>
      <c r="D1" s="589"/>
      <c r="E1" s="589"/>
      <c r="F1" s="589"/>
      <c r="G1" s="589"/>
      <c r="H1" s="589"/>
      <c r="I1" s="589"/>
    </row>
    <row r="2" spans="1:9" ht="16.5" x14ac:dyDescent="0.3">
      <c r="A2" s="611" t="s">
        <v>254</v>
      </c>
      <c r="B2" s="611"/>
      <c r="C2" s="611"/>
      <c r="D2" s="611"/>
      <c r="E2" s="611"/>
      <c r="F2" s="611"/>
      <c r="G2" s="611"/>
      <c r="H2" s="611"/>
      <c r="I2" s="611"/>
    </row>
    <row r="3" spans="1:9" ht="16.5" x14ac:dyDescent="0.3">
      <c r="A3" s="90" t="s">
        <v>278</v>
      </c>
      <c r="B3" s="90"/>
      <c r="C3" s="90" t="s">
        <v>279</v>
      </c>
      <c r="D3" s="90"/>
      <c r="E3" s="90"/>
      <c r="F3" s="90"/>
      <c r="G3" s="90"/>
      <c r="H3" s="90"/>
      <c r="I3" s="90"/>
    </row>
    <row r="4" spans="1:9" ht="16.5" x14ac:dyDescent="0.3">
      <c r="A4" s="90" t="s">
        <v>695</v>
      </c>
      <c r="B4" s="90"/>
      <c r="C4" s="1"/>
      <c r="D4" s="261" t="s">
        <v>8</v>
      </c>
      <c r="E4" s="262"/>
      <c r="F4" s="262"/>
      <c r="G4" s="262"/>
      <c r="H4" s="262"/>
      <c r="I4" s="262"/>
    </row>
    <row r="5" spans="1:9" ht="16.5" x14ac:dyDescent="0.3">
      <c r="A5" s="90" t="s">
        <v>280</v>
      </c>
      <c r="B5" s="90"/>
      <c r="C5" s="262"/>
      <c r="D5" s="262"/>
      <c r="E5" s="262"/>
      <c r="F5" s="262"/>
      <c r="G5" s="262"/>
      <c r="H5" s="262"/>
      <c r="I5" s="262"/>
    </row>
    <row r="6" spans="1:9" ht="16.5" x14ac:dyDescent="0.3">
      <c r="A6" s="90" t="s">
        <v>281</v>
      </c>
      <c r="B6" s="90"/>
      <c r="C6" s="262"/>
      <c r="D6" s="262"/>
      <c r="E6" s="262"/>
      <c r="F6" s="262"/>
      <c r="G6" s="262"/>
      <c r="H6" s="262"/>
      <c r="I6" s="262"/>
    </row>
    <row r="7" spans="1:9" ht="17.25" thickBot="1" x14ac:dyDescent="0.35">
      <c r="A7" s="90" t="s">
        <v>282</v>
      </c>
      <c r="B7" s="90"/>
      <c r="C7" s="262"/>
      <c r="D7" s="262"/>
      <c r="E7" s="262"/>
      <c r="F7" s="262"/>
      <c r="G7" s="262"/>
      <c r="H7" s="262"/>
      <c r="I7" s="262"/>
    </row>
    <row r="8" spans="1:9" ht="15.75" customHeight="1" thickBot="1" x14ac:dyDescent="0.3">
      <c r="A8" s="612" t="s">
        <v>255</v>
      </c>
      <c r="B8" s="612" t="s">
        <v>256</v>
      </c>
      <c r="C8" s="614" t="s">
        <v>257</v>
      </c>
      <c r="D8" s="616" t="s">
        <v>258</v>
      </c>
      <c r="E8" s="617"/>
      <c r="F8" s="617"/>
      <c r="G8" s="617"/>
      <c r="H8" s="618"/>
      <c r="I8" s="619" t="s">
        <v>259</v>
      </c>
    </row>
    <row r="9" spans="1:9" ht="33.75" thickBot="1" x14ac:dyDescent="0.35">
      <c r="A9" s="613"/>
      <c r="B9" s="613"/>
      <c r="C9" s="615"/>
      <c r="D9" s="263" t="s">
        <v>260</v>
      </c>
      <c r="E9" s="264" t="s">
        <v>276</v>
      </c>
      <c r="F9" s="264" t="s">
        <v>642</v>
      </c>
      <c r="G9" s="264" t="s">
        <v>262</v>
      </c>
      <c r="H9" s="265" t="s">
        <v>263</v>
      </c>
      <c r="I9" s="615"/>
    </row>
    <row r="10" spans="1:9" ht="16.5" x14ac:dyDescent="0.3">
      <c r="A10" s="280">
        <v>615</v>
      </c>
      <c r="B10" s="281"/>
      <c r="C10" s="282" t="s">
        <v>150</v>
      </c>
      <c r="D10" s="283">
        <f>SUM(D11:D13)</f>
        <v>7000</v>
      </c>
      <c r="E10" s="283">
        <f>SUM(E11:E13)</f>
        <v>0</v>
      </c>
      <c r="F10" s="283">
        <f>SUM(F11:F13)</f>
        <v>0</v>
      </c>
      <c r="G10" s="283">
        <f>SUM(G11:G13)</f>
        <v>15977.81</v>
      </c>
      <c r="H10" s="283">
        <f>SUM(H11:H13)</f>
        <v>0</v>
      </c>
      <c r="I10" s="284">
        <f>SUM(D10:H10)</f>
        <v>22977.809999999998</v>
      </c>
    </row>
    <row r="11" spans="1:9" ht="16.5" x14ac:dyDescent="0.3">
      <c r="A11" s="269">
        <v>61501</v>
      </c>
      <c r="B11" s="251"/>
      <c r="C11" s="255" t="s">
        <v>264</v>
      </c>
      <c r="D11" s="270">
        <v>0</v>
      </c>
      <c r="E11" s="270">
        <v>0</v>
      </c>
      <c r="F11" s="270">
        <v>0</v>
      </c>
      <c r="G11" s="270">
        <v>0</v>
      </c>
      <c r="H11" s="270">
        <v>0</v>
      </c>
      <c r="I11" s="271">
        <f>SUM(D11:H11)</f>
        <v>0</v>
      </c>
    </row>
    <row r="12" spans="1:9" ht="16.5" x14ac:dyDescent="0.3">
      <c r="A12" s="269">
        <v>61502</v>
      </c>
      <c r="B12" s="251"/>
      <c r="C12" s="255" t="s">
        <v>265</v>
      </c>
      <c r="D12" s="270">
        <v>0</v>
      </c>
      <c r="E12" s="270">
        <v>0</v>
      </c>
      <c r="F12" s="270">
        <v>0</v>
      </c>
      <c r="G12" s="270">
        <v>0</v>
      </c>
      <c r="H12" s="270">
        <v>0</v>
      </c>
      <c r="I12" s="271">
        <f>SUM(D12:H12)</f>
        <v>0</v>
      </c>
    </row>
    <row r="13" spans="1:9" ht="16.5" x14ac:dyDescent="0.3">
      <c r="A13" s="269">
        <v>61599</v>
      </c>
      <c r="B13" s="251"/>
      <c r="C13" s="255" t="s">
        <v>266</v>
      </c>
      <c r="D13" s="270">
        <v>7000</v>
      </c>
      <c r="E13" s="270">
        <v>0</v>
      </c>
      <c r="F13" s="270">
        <v>0</v>
      </c>
      <c r="G13" s="270">
        <v>15977.81</v>
      </c>
      <c r="H13" s="270">
        <v>0</v>
      </c>
      <c r="I13" s="271">
        <f>SUM(D13:H13)</f>
        <v>22977.809999999998</v>
      </c>
    </row>
    <row r="14" spans="1:9" ht="16.5" x14ac:dyDescent="0.3">
      <c r="A14" s="135"/>
      <c r="B14" s="131"/>
      <c r="C14" s="247"/>
      <c r="D14" s="270"/>
      <c r="E14" s="270"/>
      <c r="F14" s="270"/>
      <c r="G14" s="270"/>
      <c r="H14" s="270"/>
      <c r="I14" s="271"/>
    </row>
    <row r="15" spans="1:9" ht="16.5" x14ac:dyDescent="0.3">
      <c r="A15" s="266">
        <v>616</v>
      </c>
      <c r="B15" s="243"/>
      <c r="C15" s="255" t="s">
        <v>152</v>
      </c>
      <c r="D15" s="267">
        <f>+D16+D45+D48+D53+D57+D60+D70</f>
        <v>469629.74</v>
      </c>
      <c r="E15" s="267">
        <f>+E16+E57+E60+E72</f>
        <v>0</v>
      </c>
      <c r="F15" s="267">
        <f>+F16+F53+F60+F70</f>
        <v>748342.51</v>
      </c>
      <c r="G15" s="267">
        <f>+G16+G45+G48+G53+G57+G60+G70</f>
        <v>815663.19</v>
      </c>
      <c r="H15" s="267">
        <f>+H16+H45+H48+H57+H60+H70</f>
        <v>11408.98</v>
      </c>
      <c r="I15" s="267">
        <f>+I16+I45+I48+I53+I57+I60+I70</f>
        <v>1686674.63</v>
      </c>
    </row>
    <row r="16" spans="1:9" ht="16.5" x14ac:dyDescent="0.3">
      <c r="A16" s="266">
        <v>61601</v>
      </c>
      <c r="B16" s="131"/>
      <c r="C16" s="255" t="s">
        <v>153</v>
      </c>
      <c r="D16" s="267">
        <f>SUM(D17:D39)</f>
        <v>71043.100000000049</v>
      </c>
      <c r="E16" s="267">
        <f>SUM(E17:E54)</f>
        <v>0</v>
      </c>
      <c r="F16" s="267">
        <f>SUM(F17:F44)</f>
        <v>664023.03</v>
      </c>
      <c r="G16" s="267">
        <f>SUM(G17:G44)</f>
        <v>560960.82999999996</v>
      </c>
      <c r="H16" s="267">
        <f>SUM(H17:H39)</f>
        <v>0</v>
      </c>
      <c r="I16" s="268">
        <f>SUM(I17:I39)</f>
        <v>1008745.07</v>
      </c>
    </row>
    <row r="17" spans="1:9" ht="16.5" x14ac:dyDescent="0.3">
      <c r="A17" s="266"/>
      <c r="B17" s="131" t="s">
        <v>267</v>
      </c>
      <c r="C17" s="247" t="s">
        <v>645</v>
      </c>
      <c r="D17" s="29">
        <v>182.92</v>
      </c>
      <c r="E17" s="270">
        <v>0</v>
      </c>
      <c r="F17" s="270">
        <v>0</v>
      </c>
      <c r="G17" s="270">
        <v>0</v>
      </c>
      <c r="H17" s="270">
        <v>0</v>
      </c>
      <c r="I17" s="271">
        <f t="shared" ref="I17:I56" si="0">SUM(D17:H17)</f>
        <v>182.92</v>
      </c>
    </row>
    <row r="18" spans="1:9" ht="16.5" x14ac:dyDescent="0.3">
      <c r="A18" s="266"/>
      <c r="B18" s="131" t="s">
        <v>268</v>
      </c>
      <c r="C18" s="247" t="s">
        <v>696</v>
      </c>
      <c r="D18" s="29">
        <v>70000</v>
      </c>
      <c r="E18" s="270">
        <v>0</v>
      </c>
      <c r="F18" s="270">
        <v>0</v>
      </c>
      <c r="G18" s="270">
        <v>0</v>
      </c>
      <c r="H18" s="270">
        <v>0</v>
      </c>
      <c r="I18" s="271">
        <f t="shared" si="0"/>
        <v>70000</v>
      </c>
    </row>
    <row r="19" spans="1:9" ht="16.5" x14ac:dyDescent="0.3">
      <c r="A19" s="266"/>
      <c r="B19" s="131" t="s">
        <v>269</v>
      </c>
      <c r="C19" s="7" t="s">
        <v>713</v>
      </c>
      <c r="D19" s="109"/>
      <c r="E19" s="270">
        <v>0</v>
      </c>
      <c r="F19" s="270">
        <v>77023.03</v>
      </c>
      <c r="G19" s="270"/>
      <c r="H19" s="270"/>
      <c r="I19" s="271">
        <f t="shared" si="0"/>
        <v>77023.03</v>
      </c>
    </row>
    <row r="20" spans="1:9" ht="16.5" x14ac:dyDescent="0.3">
      <c r="A20" s="266"/>
      <c r="B20" s="251" t="s">
        <v>270</v>
      </c>
      <c r="C20" s="252" t="s">
        <v>798</v>
      </c>
      <c r="D20" s="29"/>
      <c r="E20" s="270">
        <v>0</v>
      </c>
      <c r="F20" s="270">
        <v>48000</v>
      </c>
      <c r="G20" s="270"/>
      <c r="H20" s="270"/>
      <c r="I20" s="271">
        <f t="shared" si="0"/>
        <v>48000</v>
      </c>
    </row>
    <row r="21" spans="1:9" ht="16.5" x14ac:dyDescent="0.3">
      <c r="A21" s="266"/>
      <c r="B21" s="251" t="s">
        <v>283</v>
      </c>
      <c r="C21" s="252" t="s">
        <v>723</v>
      </c>
      <c r="D21" s="29"/>
      <c r="E21" s="270">
        <v>0</v>
      </c>
      <c r="F21" s="270">
        <v>54000</v>
      </c>
      <c r="G21" s="270"/>
      <c r="H21" s="270"/>
      <c r="I21" s="271">
        <f t="shared" si="0"/>
        <v>54000</v>
      </c>
    </row>
    <row r="22" spans="1:9" ht="16.5" x14ac:dyDescent="0.3">
      <c r="A22" s="266"/>
      <c r="B22" s="251" t="s">
        <v>284</v>
      </c>
      <c r="C22" s="252" t="s">
        <v>724</v>
      </c>
      <c r="D22" s="29"/>
      <c r="E22" s="270"/>
      <c r="F22" s="270">
        <v>48000</v>
      </c>
      <c r="G22" s="270"/>
      <c r="H22" s="270"/>
      <c r="I22" s="271">
        <f t="shared" si="0"/>
        <v>48000</v>
      </c>
    </row>
    <row r="23" spans="1:9" ht="16.5" x14ac:dyDescent="0.3">
      <c r="A23" s="266"/>
      <c r="B23" s="251" t="s">
        <v>598</v>
      </c>
      <c r="C23" s="252" t="s">
        <v>725</v>
      </c>
      <c r="D23" s="29"/>
      <c r="E23" s="270"/>
      <c r="F23" s="270">
        <v>35000</v>
      </c>
      <c r="G23" s="270"/>
      <c r="H23" s="270"/>
      <c r="I23" s="271">
        <f t="shared" si="0"/>
        <v>35000</v>
      </c>
    </row>
    <row r="24" spans="1:9" ht="16.5" x14ac:dyDescent="0.3">
      <c r="A24" s="266"/>
      <c r="B24" s="251" t="s">
        <v>599</v>
      </c>
      <c r="C24" s="252" t="s">
        <v>726</v>
      </c>
      <c r="D24" s="29"/>
      <c r="E24" s="270"/>
      <c r="F24" s="270">
        <v>35000</v>
      </c>
      <c r="G24" s="270"/>
      <c r="H24" s="270"/>
      <c r="I24" s="271">
        <f t="shared" si="0"/>
        <v>35000</v>
      </c>
    </row>
    <row r="25" spans="1:9" ht="16.5" x14ac:dyDescent="0.3">
      <c r="A25" s="266"/>
      <c r="B25" s="251" t="s">
        <v>601</v>
      </c>
      <c r="C25" s="252" t="s">
        <v>799</v>
      </c>
      <c r="D25" s="29"/>
      <c r="E25" s="270"/>
      <c r="F25" s="270">
        <v>35000</v>
      </c>
      <c r="G25" s="270"/>
      <c r="H25" s="270"/>
      <c r="I25" s="271">
        <f t="shared" si="0"/>
        <v>35000</v>
      </c>
    </row>
    <row r="26" spans="1:9" ht="16.5" x14ac:dyDescent="0.3">
      <c r="A26" s="266"/>
      <c r="B26" s="251"/>
      <c r="C26" s="252" t="s">
        <v>727</v>
      </c>
      <c r="D26" s="29"/>
      <c r="E26" s="270"/>
      <c r="F26" s="270">
        <v>35000</v>
      </c>
      <c r="G26" s="270"/>
      <c r="H26" s="270"/>
      <c r="I26" s="271">
        <f t="shared" si="0"/>
        <v>35000</v>
      </c>
    </row>
    <row r="27" spans="1:9" ht="16.5" x14ac:dyDescent="0.3">
      <c r="A27" s="266"/>
      <c r="B27" s="251"/>
      <c r="C27" s="252" t="s">
        <v>728</v>
      </c>
      <c r="D27" s="29"/>
      <c r="E27" s="270"/>
      <c r="F27" s="270">
        <v>48000</v>
      </c>
      <c r="G27" s="270"/>
      <c r="H27" s="270"/>
      <c r="I27" s="271">
        <f t="shared" si="0"/>
        <v>48000</v>
      </c>
    </row>
    <row r="28" spans="1:9" ht="16.5" x14ac:dyDescent="0.3">
      <c r="A28" s="266"/>
      <c r="B28" s="251"/>
      <c r="C28" s="252" t="s">
        <v>729</v>
      </c>
      <c r="D28" s="29"/>
      <c r="E28" s="270"/>
      <c r="F28" s="270">
        <v>45000</v>
      </c>
      <c r="G28" s="270"/>
      <c r="H28" s="270"/>
      <c r="I28" s="271">
        <f t="shared" si="0"/>
        <v>45000</v>
      </c>
    </row>
    <row r="29" spans="1:9" ht="16.5" x14ac:dyDescent="0.3">
      <c r="A29" s="266"/>
      <c r="B29" s="251" t="s">
        <v>663</v>
      </c>
      <c r="C29" s="252" t="s">
        <v>714</v>
      </c>
      <c r="D29" s="29">
        <v>87</v>
      </c>
      <c r="E29" s="270"/>
      <c r="F29" s="270"/>
      <c r="G29" s="270">
        <v>15101.51</v>
      </c>
      <c r="H29" s="270"/>
      <c r="I29" s="271">
        <f t="shared" si="0"/>
        <v>15188.51</v>
      </c>
    </row>
    <row r="30" spans="1:9" ht="16.5" x14ac:dyDescent="0.3">
      <c r="A30" s="266"/>
      <c r="B30" s="251" t="s">
        <v>664</v>
      </c>
      <c r="C30" s="252" t="s">
        <v>668</v>
      </c>
      <c r="D30" s="29">
        <v>97.46</v>
      </c>
      <c r="E30" s="270"/>
      <c r="F30" s="270"/>
      <c r="G30" s="270">
        <v>5209.26</v>
      </c>
      <c r="H30" s="270"/>
      <c r="I30" s="271">
        <f t="shared" si="0"/>
        <v>5306.72</v>
      </c>
    </row>
    <row r="31" spans="1:9" ht="16.5" x14ac:dyDescent="0.3">
      <c r="A31" s="266"/>
      <c r="B31" s="251" t="s">
        <v>665</v>
      </c>
      <c r="C31" s="252" t="s">
        <v>669</v>
      </c>
      <c r="D31" s="29">
        <v>90.96</v>
      </c>
      <c r="E31" s="270"/>
      <c r="F31" s="270"/>
      <c r="G31" s="270">
        <v>16931.43</v>
      </c>
      <c r="H31" s="270"/>
      <c r="I31" s="271">
        <f t="shared" si="0"/>
        <v>17022.39</v>
      </c>
    </row>
    <row r="32" spans="1:9" ht="16.5" x14ac:dyDescent="0.3">
      <c r="A32" s="266"/>
      <c r="B32" s="251" t="s">
        <v>666</v>
      </c>
      <c r="C32" s="252" t="s">
        <v>670</v>
      </c>
      <c r="D32" s="29"/>
      <c r="E32" s="270"/>
      <c r="F32" s="270"/>
      <c r="G32" s="270">
        <v>94.33</v>
      </c>
      <c r="H32" s="270"/>
      <c r="I32" s="271">
        <f t="shared" si="0"/>
        <v>94.33</v>
      </c>
    </row>
    <row r="33" spans="1:9" ht="16.5" x14ac:dyDescent="0.3">
      <c r="A33" s="266"/>
      <c r="B33" s="251" t="s">
        <v>667</v>
      </c>
      <c r="C33" s="252" t="s">
        <v>673</v>
      </c>
      <c r="D33" s="29">
        <v>97.46</v>
      </c>
      <c r="E33" s="270"/>
      <c r="F33" s="270"/>
      <c r="G33" s="270">
        <v>50734.3</v>
      </c>
      <c r="H33" s="270"/>
      <c r="I33" s="271">
        <f t="shared" si="0"/>
        <v>50831.76</v>
      </c>
    </row>
    <row r="34" spans="1:9" ht="16.5" x14ac:dyDescent="0.3">
      <c r="A34" s="266"/>
      <c r="B34" s="251" t="s">
        <v>671</v>
      </c>
      <c r="C34" s="252" t="s">
        <v>674</v>
      </c>
      <c r="D34" s="29">
        <v>97.46</v>
      </c>
      <c r="E34" s="270"/>
      <c r="F34" s="270"/>
      <c r="G34" s="270">
        <v>10824.67</v>
      </c>
      <c r="H34" s="270"/>
      <c r="I34" s="271">
        <f t="shared" si="0"/>
        <v>10922.13</v>
      </c>
    </row>
    <row r="35" spans="1:9" ht="16.5" x14ac:dyDescent="0.3">
      <c r="A35" s="266"/>
      <c r="B35" s="251" t="s">
        <v>672</v>
      </c>
      <c r="C35" s="252" t="s">
        <v>675</v>
      </c>
      <c r="D35" s="29">
        <v>97.46</v>
      </c>
      <c r="E35" s="270"/>
      <c r="F35" s="270"/>
      <c r="G35" s="579">
        <v>120221.28</v>
      </c>
      <c r="H35" s="270"/>
      <c r="I35" s="271">
        <f t="shared" si="0"/>
        <v>120318.74</v>
      </c>
    </row>
    <row r="36" spans="1:9" ht="16.5" x14ac:dyDescent="0.3">
      <c r="A36" s="266"/>
      <c r="B36" s="251" t="s">
        <v>676</v>
      </c>
      <c r="C36" s="252" t="s">
        <v>678</v>
      </c>
      <c r="D36" s="29">
        <v>97.46</v>
      </c>
      <c r="E36" s="270"/>
      <c r="F36" s="270"/>
      <c r="G36" s="270">
        <v>14008.45</v>
      </c>
      <c r="H36" s="270"/>
      <c r="I36" s="271">
        <f t="shared" si="0"/>
        <v>14105.91</v>
      </c>
    </row>
    <row r="37" spans="1:9" ht="16.5" x14ac:dyDescent="0.3">
      <c r="A37" s="266"/>
      <c r="B37" s="251" t="s">
        <v>677</v>
      </c>
      <c r="C37" s="252" t="s">
        <v>679</v>
      </c>
      <c r="D37" s="29"/>
      <c r="E37" s="270"/>
      <c r="F37" s="270"/>
      <c r="G37" s="579">
        <v>45549.74</v>
      </c>
      <c r="H37" s="270"/>
      <c r="I37" s="271">
        <f t="shared" si="0"/>
        <v>45549.74</v>
      </c>
    </row>
    <row r="38" spans="1:9" ht="16.5" x14ac:dyDescent="0.3">
      <c r="A38" s="266"/>
      <c r="B38" s="251" t="s">
        <v>680</v>
      </c>
      <c r="C38" s="252" t="s">
        <v>682</v>
      </c>
      <c r="D38" s="29">
        <v>97.46</v>
      </c>
      <c r="E38" s="270"/>
      <c r="F38" s="270"/>
      <c r="G38" s="270">
        <v>92050.66</v>
      </c>
      <c r="H38" s="270"/>
      <c r="I38" s="271">
        <f t="shared" si="0"/>
        <v>92148.12000000001</v>
      </c>
    </row>
    <row r="39" spans="1:9" ht="16.5" x14ac:dyDescent="0.3">
      <c r="A39" s="266"/>
      <c r="B39" s="251" t="s">
        <v>681</v>
      </c>
      <c r="C39" s="252" t="s">
        <v>790</v>
      </c>
      <c r="D39" s="270">
        <v>97.46</v>
      </c>
      <c r="E39" s="270"/>
      <c r="F39" s="270"/>
      <c r="G39" s="579">
        <v>106953.31</v>
      </c>
      <c r="H39" s="270"/>
      <c r="I39" s="271">
        <f t="shared" si="0"/>
        <v>107050.77</v>
      </c>
    </row>
    <row r="40" spans="1:9" ht="16.5" x14ac:dyDescent="0.3">
      <c r="A40" s="266"/>
      <c r="B40" s="251"/>
      <c r="C40" s="252" t="s">
        <v>797</v>
      </c>
      <c r="D40" s="270">
        <v>2097.46</v>
      </c>
      <c r="E40" s="270"/>
      <c r="F40" s="270">
        <v>48000</v>
      </c>
      <c r="G40" s="270"/>
      <c r="H40" s="270"/>
      <c r="I40" s="271">
        <f t="shared" si="0"/>
        <v>50097.46</v>
      </c>
    </row>
    <row r="41" spans="1:9" ht="16.5" x14ac:dyDescent="0.3">
      <c r="A41" s="266"/>
      <c r="B41" s="251"/>
      <c r="C41" s="252" t="s">
        <v>800</v>
      </c>
      <c r="D41" s="270"/>
      <c r="E41" s="270"/>
      <c r="F41" s="270">
        <v>73000</v>
      </c>
      <c r="G41" s="270"/>
      <c r="H41" s="270"/>
      <c r="I41" s="271">
        <f t="shared" si="0"/>
        <v>73000</v>
      </c>
    </row>
    <row r="42" spans="1:9" ht="16.5" x14ac:dyDescent="0.3">
      <c r="A42" s="266"/>
      <c r="B42" s="251"/>
      <c r="C42" s="252" t="s">
        <v>802</v>
      </c>
      <c r="D42" s="270"/>
      <c r="E42" s="270"/>
      <c r="F42" s="270">
        <v>35000</v>
      </c>
      <c r="G42" s="270"/>
      <c r="H42" s="270"/>
      <c r="I42" s="271">
        <f t="shared" si="0"/>
        <v>35000</v>
      </c>
    </row>
    <row r="43" spans="1:9" ht="16.5" x14ac:dyDescent="0.3">
      <c r="A43" s="266"/>
      <c r="B43" s="251"/>
      <c r="C43" s="252" t="s">
        <v>801</v>
      </c>
      <c r="D43" s="270"/>
      <c r="E43" s="270"/>
      <c r="F43" s="270">
        <v>48000</v>
      </c>
      <c r="G43" s="270"/>
      <c r="H43" s="270"/>
      <c r="I43" s="271">
        <f t="shared" si="0"/>
        <v>48000</v>
      </c>
    </row>
    <row r="44" spans="1:9" ht="16.5" x14ac:dyDescent="0.3">
      <c r="A44" s="266"/>
      <c r="B44" s="251" t="s">
        <v>688</v>
      </c>
      <c r="C44" s="7" t="s">
        <v>791</v>
      </c>
      <c r="D44" s="270"/>
      <c r="E44" s="270"/>
      <c r="F44" s="270"/>
      <c r="G44" s="579">
        <v>83281.89</v>
      </c>
      <c r="H44" s="270"/>
      <c r="I44" s="271">
        <f t="shared" si="0"/>
        <v>83281.89</v>
      </c>
    </row>
    <row r="45" spans="1:9" ht="16.5" x14ac:dyDescent="0.3">
      <c r="A45" s="266">
        <v>61602</v>
      </c>
      <c r="B45" s="251"/>
      <c r="C45" s="5" t="s">
        <v>619</v>
      </c>
      <c r="D45" s="267">
        <f>D46+D47</f>
        <v>7151.59</v>
      </c>
      <c r="E45" s="267">
        <f t="shared" ref="E45:H45" si="1">E46</f>
        <v>0</v>
      </c>
      <c r="F45" s="267">
        <f t="shared" si="1"/>
        <v>0</v>
      </c>
      <c r="G45" s="267">
        <f t="shared" si="1"/>
        <v>0</v>
      </c>
      <c r="H45" s="267">
        <f t="shared" si="1"/>
        <v>0</v>
      </c>
      <c r="I45" s="268">
        <f t="shared" ref="I45:I53" si="2">SUM(D45:H45)</f>
        <v>7151.59</v>
      </c>
    </row>
    <row r="46" spans="1:9" ht="16.5" x14ac:dyDescent="0.3">
      <c r="A46" s="266"/>
      <c r="B46" s="251" t="s">
        <v>618</v>
      </c>
      <c r="C46" s="7" t="s">
        <v>715</v>
      </c>
      <c r="D46" s="270">
        <v>151.59</v>
      </c>
      <c r="E46" s="270"/>
      <c r="F46" s="270"/>
      <c r="G46" s="270"/>
      <c r="H46" s="270"/>
      <c r="I46" s="271">
        <f t="shared" si="2"/>
        <v>151.59</v>
      </c>
    </row>
    <row r="47" spans="1:9" ht="16.5" x14ac:dyDescent="0.3">
      <c r="A47" s="266"/>
      <c r="B47" s="251"/>
      <c r="C47" s="7" t="s">
        <v>722</v>
      </c>
      <c r="D47" s="270">
        <v>7000</v>
      </c>
      <c r="E47" s="270"/>
      <c r="F47" s="270"/>
      <c r="G47" s="270"/>
      <c r="H47" s="270"/>
      <c r="I47" s="271">
        <f t="shared" si="2"/>
        <v>7000</v>
      </c>
    </row>
    <row r="48" spans="1:9" ht="16.5" x14ac:dyDescent="0.3">
      <c r="A48" s="266">
        <v>61603</v>
      </c>
      <c r="B48" s="251"/>
      <c r="C48" s="5" t="s">
        <v>631</v>
      </c>
      <c r="D48" s="267">
        <f>D49+D50+D51</f>
        <v>15351.33</v>
      </c>
      <c r="E48" s="267">
        <f t="shared" ref="E48:F48" si="3">E50</f>
        <v>0</v>
      </c>
      <c r="F48" s="267">
        <f t="shared" si="3"/>
        <v>0</v>
      </c>
      <c r="G48" s="267">
        <f>G50+G52</f>
        <v>13614.46</v>
      </c>
      <c r="H48" s="267">
        <f>H50+H54</f>
        <v>11408.98</v>
      </c>
      <c r="I48" s="268">
        <f>SUM(D48:H48)</f>
        <v>40374.770000000004</v>
      </c>
    </row>
    <row r="49" spans="1:9" ht="16.5" x14ac:dyDescent="0.3">
      <c r="A49" s="266"/>
      <c r="B49" s="251"/>
      <c r="C49" s="7" t="s">
        <v>796</v>
      </c>
      <c r="D49" s="270">
        <v>251.33</v>
      </c>
      <c r="E49" s="267"/>
      <c r="F49" s="267"/>
      <c r="G49" s="267"/>
      <c r="H49" s="267"/>
      <c r="I49" s="271">
        <f t="shared" si="2"/>
        <v>251.33</v>
      </c>
    </row>
    <row r="50" spans="1:9" ht="16.5" x14ac:dyDescent="0.3">
      <c r="A50" s="266"/>
      <c r="B50" s="251" t="s">
        <v>618</v>
      </c>
      <c r="C50" s="7" t="s">
        <v>792</v>
      </c>
      <c r="D50" s="270">
        <v>9000</v>
      </c>
      <c r="E50" s="270"/>
      <c r="F50" s="270"/>
      <c r="G50" s="267"/>
      <c r="H50" s="270">
        <v>11408.98</v>
      </c>
      <c r="I50" s="271">
        <f t="shared" si="2"/>
        <v>20408.98</v>
      </c>
    </row>
    <row r="51" spans="1:9" ht="16.5" x14ac:dyDescent="0.3">
      <c r="A51" s="266"/>
      <c r="B51" s="251"/>
      <c r="C51" s="7" t="s">
        <v>808</v>
      </c>
      <c r="D51" s="270">
        <v>6100</v>
      </c>
      <c r="E51" s="270"/>
      <c r="F51" s="270"/>
      <c r="G51" s="267"/>
      <c r="H51" s="270"/>
      <c r="I51" s="271">
        <f t="shared" si="2"/>
        <v>6100</v>
      </c>
    </row>
    <row r="52" spans="1:9" ht="16.5" x14ac:dyDescent="0.3">
      <c r="A52" s="266"/>
      <c r="B52" s="251"/>
      <c r="C52" s="7" t="s">
        <v>716</v>
      </c>
      <c r="D52" s="270"/>
      <c r="E52" s="270"/>
      <c r="F52" s="270"/>
      <c r="G52" s="270">
        <v>13614.46</v>
      </c>
      <c r="H52" s="270"/>
      <c r="I52" s="271">
        <f t="shared" si="2"/>
        <v>13614.46</v>
      </c>
    </row>
    <row r="53" spans="1:9" ht="16.5" x14ac:dyDescent="0.3">
      <c r="A53" s="266">
        <v>61604</v>
      </c>
      <c r="B53" s="251"/>
      <c r="C53" s="5" t="s">
        <v>155</v>
      </c>
      <c r="D53" s="267">
        <f>D54+D56</f>
        <v>11564.18</v>
      </c>
      <c r="E53" s="267">
        <f t="shared" ref="E53:H53" si="4">E54+E56</f>
        <v>0</v>
      </c>
      <c r="F53" s="267">
        <f>F54+F55+F56</f>
        <v>84319.48</v>
      </c>
      <c r="G53" s="267">
        <f t="shared" si="4"/>
        <v>0</v>
      </c>
      <c r="H53" s="267">
        <f t="shared" si="4"/>
        <v>0</v>
      </c>
      <c r="I53" s="268">
        <f t="shared" si="2"/>
        <v>95883.66</v>
      </c>
    </row>
    <row r="54" spans="1:9" ht="16.5" x14ac:dyDescent="0.3">
      <c r="A54" s="266"/>
      <c r="B54" s="251" t="s">
        <v>632</v>
      </c>
      <c r="C54" s="7" t="s">
        <v>717</v>
      </c>
      <c r="D54" s="270">
        <v>11564.18</v>
      </c>
      <c r="E54" s="270"/>
      <c r="F54" s="270"/>
      <c r="G54" s="270"/>
      <c r="H54" s="267"/>
      <c r="I54" s="271">
        <f t="shared" si="0"/>
        <v>11564.18</v>
      </c>
    </row>
    <row r="55" spans="1:9" ht="16.5" x14ac:dyDescent="0.3">
      <c r="A55" s="266"/>
      <c r="B55" s="251"/>
      <c r="C55" s="7" t="s">
        <v>731</v>
      </c>
      <c r="D55" s="270"/>
      <c r="E55" s="270"/>
      <c r="F55" s="270">
        <v>24319.48</v>
      </c>
      <c r="G55" s="270"/>
      <c r="H55" s="267"/>
      <c r="I55" s="271"/>
    </row>
    <row r="56" spans="1:9" ht="16.5" x14ac:dyDescent="0.3">
      <c r="A56" s="266"/>
      <c r="B56" s="251"/>
      <c r="C56" s="7" t="s">
        <v>730</v>
      </c>
      <c r="D56" s="270"/>
      <c r="E56" s="270"/>
      <c r="F56" s="270">
        <v>60000</v>
      </c>
      <c r="G56" s="270"/>
      <c r="H56" s="267"/>
      <c r="I56" s="271">
        <f t="shared" si="0"/>
        <v>60000</v>
      </c>
    </row>
    <row r="57" spans="1:9" ht="16.5" x14ac:dyDescent="0.3">
      <c r="A57" s="266">
        <v>61606</v>
      </c>
      <c r="B57" s="131"/>
      <c r="C57" s="255" t="s">
        <v>159</v>
      </c>
      <c r="D57" s="267">
        <f t="shared" ref="D57:I57" si="5">SUM(D58:D59)</f>
        <v>20969</v>
      </c>
      <c r="E57" s="267">
        <f t="shared" si="5"/>
        <v>0</v>
      </c>
      <c r="F57" s="267">
        <f t="shared" si="5"/>
        <v>0</v>
      </c>
      <c r="G57" s="267">
        <f t="shared" si="5"/>
        <v>0</v>
      </c>
      <c r="H57" s="267">
        <f t="shared" si="5"/>
        <v>0</v>
      </c>
      <c r="I57" s="268">
        <f t="shared" si="5"/>
        <v>20969</v>
      </c>
    </row>
    <row r="58" spans="1:9" ht="16.5" x14ac:dyDescent="0.3">
      <c r="A58" s="266"/>
      <c r="B58" s="131" t="s">
        <v>618</v>
      </c>
      <c r="C58" s="7" t="s">
        <v>720</v>
      </c>
      <c r="D58" s="29">
        <v>20000</v>
      </c>
      <c r="E58" s="270">
        <v>0</v>
      </c>
      <c r="F58" s="270">
        <v>0</v>
      </c>
      <c r="G58" s="270"/>
      <c r="H58" s="270">
        <v>0</v>
      </c>
      <c r="I58" s="271">
        <f>SUM(D58:H58)</f>
        <v>20000</v>
      </c>
    </row>
    <row r="59" spans="1:9" ht="16.5" x14ac:dyDescent="0.3">
      <c r="A59" s="266"/>
      <c r="B59" s="131"/>
      <c r="C59" s="7" t="s">
        <v>795</v>
      </c>
      <c r="D59" s="29">
        <v>969</v>
      </c>
      <c r="E59" s="270">
        <v>0</v>
      </c>
      <c r="F59" s="270">
        <v>0</v>
      </c>
      <c r="G59" s="270">
        <v>0</v>
      </c>
      <c r="H59" s="270">
        <v>0</v>
      </c>
      <c r="I59" s="271">
        <f>SUM(D59:H59)</f>
        <v>969</v>
      </c>
    </row>
    <row r="60" spans="1:9" ht="16.5" x14ac:dyDescent="0.3">
      <c r="A60" s="266">
        <v>61607</v>
      </c>
      <c r="B60" s="131"/>
      <c r="C60" s="258" t="s">
        <v>156</v>
      </c>
      <c r="D60" s="267">
        <f>SUM(D61:D69)</f>
        <v>74351.679999999993</v>
      </c>
      <c r="E60" s="267">
        <f t="shared" ref="E60:H60" si="6">SUM(E61:E71)</f>
        <v>0</v>
      </c>
      <c r="F60" s="267">
        <f>SUM(F61:F69)</f>
        <v>0</v>
      </c>
      <c r="G60" s="267">
        <f>SUM(G61:G69)</f>
        <v>230000</v>
      </c>
      <c r="H60" s="267">
        <f t="shared" si="6"/>
        <v>0</v>
      </c>
      <c r="I60" s="268">
        <f>SUM(I61:I69)</f>
        <v>304351.68</v>
      </c>
    </row>
    <row r="61" spans="1:9" ht="16.5" x14ac:dyDescent="0.3">
      <c r="A61" s="266"/>
      <c r="B61" s="131" t="s">
        <v>274</v>
      </c>
      <c r="C61" s="7" t="s">
        <v>638</v>
      </c>
      <c r="D61" s="29"/>
      <c r="E61" s="270">
        <v>0</v>
      </c>
      <c r="F61" s="270"/>
      <c r="G61" s="270"/>
      <c r="H61" s="270">
        <v>0</v>
      </c>
      <c r="I61" s="271">
        <f>SUM(D61:H61)</f>
        <v>0</v>
      </c>
    </row>
    <row r="62" spans="1:9" ht="16.5" x14ac:dyDescent="0.3">
      <c r="A62" s="266"/>
      <c r="B62" s="131" t="s">
        <v>618</v>
      </c>
      <c r="C62" s="7" t="s">
        <v>698</v>
      </c>
      <c r="D62" s="29">
        <v>70000</v>
      </c>
      <c r="E62" s="270"/>
      <c r="F62" s="270"/>
      <c r="G62" s="270"/>
      <c r="H62" s="270"/>
      <c r="I62" s="271">
        <f t="shared" ref="I62:I68" si="7">SUM(D62:H62)</f>
        <v>70000</v>
      </c>
    </row>
    <row r="63" spans="1:9" ht="16.5" x14ac:dyDescent="0.3">
      <c r="A63" s="266"/>
      <c r="B63" s="131"/>
      <c r="C63" s="7" t="s">
        <v>697</v>
      </c>
      <c r="D63" s="29">
        <v>91.73</v>
      </c>
      <c r="E63" s="270"/>
      <c r="F63" s="270"/>
      <c r="G63" s="270"/>
      <c r="H63" s="270"/>
      <c r="I63" s="271">
        <f t="shared" si="7"/>
        <v>91.73</v>
      </c>
    </row>
    <row r="64" spans="1:9" ht="16.5" x14ac:dyDescent="0.3">
      <c r="A64" s="266"/>
      <c r="B64" s="131"/>
      <c r="C64" s="7" t="s">
        <v>685</v>
      </c>
      <c r="D64" s="29">
        <v>4259.95</v>
      </c>
      <c r="E64" s="270"/>
      <c r="F64" s="270"/>
      <c r="G64" s="270"/>
      <c r="H64" s="270"/>
      <c r="I64" s="271">
        <f t="shared" si="7"/>
        <v>4259.95</v>
      </c>
    </row>
    <row r="65" spans="1:9" ht="16.5" x14ac:dyDescent="0.3">
      <c r="A65" s="266"/>
      <c r="B65" s="131"/>
      <c r="C65" s="7" t="s">
        <v>733</v>
      </c>
      <c r="D65" s="29"/>
      <c r="E65" s="270"/>
      <c r="F65" s="270"/>
      <c r="G65" s="270">
        <v>60500</v>
      </c>
      <c r="H65" s="270"/>
      <c r="I65" s="271">
        <f t="shared" si="7"/>
        <v>60500</v>
      </c>
    </row>
    <row r="66" spans="1:9" ht="16.5" x14ac:dyDescent="0.3">
      <c r="A66" s="266"/>
      <c r="B66" s="131"/>
      <c r="C66" s="7" t="s">
        <v>734</v>
      </c>
      <c r="D66" s="29"/>
      <c r="E66" s="270"/>
      <c r="F66" s="270"/>
      <c r="G66" s="270">
        <v>70000</v>
      </c>
      <c r="H66" s="270"/>
      <c r="I66" s="271">
        <f t="shared" si="7"/>
        <v>70000</v>
      </c>
    </row>
    <row r="67" spans="1:9" ht="16.5" x14ac:dyDescent="0.3">
      <c r="A67" s="266"/>
      <c r="B67" s="131"/>
      <c r="C67" s="7" t="s">
        <v>735</v>
      </c>
      <c r="D67" s="29"/>
      <c r="E67" s="270"/>
      <c r="F67" s="270"/>
      <c r="G67" s="270">
        <v>12000</v>
      </c>
      <c r="H67" s="270"/>
      <c r="I67" s="271">
        <f t="shared" si="7"/>
        <v>12000</v>
      </c>
    </row>
    <row r="68" spans="1:9" ht="16.5" x14ac:dyDescent="0.3">
      <c r="A68" s="266"/>
      <c r="B68" s="131"/>
      <c r="C68" s="7" t="s">
        <v>736</v>
      </c>
      <c r="D68" s="29"/>
      <c r="E68" s="270"/>
      <c r="F68" s="270"/>
      <c r="G68" s="270">
        <v>21000</v>
      </c>
      <c r="H68" s="270"/>
      <c r="I68" s="271">
        <f t="shared" si="7"/>
        <v>21000</v>
      </c>
    </row>
    <row r="69" spans="1:9" ht="16.5" x14ac:dyDescent="0.3">
      <c r="A69" s="266"/>
      <c r="B69" s="131"/>
      <c r="C69" s="7" t="s">
        <v>737</v>
      </c>
      <c r="D69" s="29"/>
      <c r="E69" s="270">
        <v>0</v>
      </c>
      <c r="F69" s="270"/>
      <c r="G69" s="270">
        <v>66500</v>
      </c>
      <c r="H69" s="270">
        <v>0</v>
      </c>
      <c r="I69" s="271">
        <f>SUM(D69:H69)</f>
        <v>66500</v>
      </c>
    </row>
    <row r="70" spans="1:9" ht="16.5" x14ac:dyDescent="0.3">
      <c r="A70" s="266">
        <v>61699</v>
      </c>
      <c r="B70" s="131"/>
      <c r="C70" s="258" t="s">
        <v>160</v>
      </c>
      <c r="D70" s="267">
        <f>SUM(D71:D76)</f>
        <v>269198.86</v>
      </c>
      <c r="E70" s="267">
        <f t="shared" ref="E70:H70" si="8">SUM(E71:E77)</f>
        <v>0</v>
      </c>
      <c r="F70" s="267">
        <f t="shared" si="8"/>
        <v>0</v>
      </c>
      <c r="G70" s="267">
        <f t="shared" si="8"/>
        <v>11087.9</v>
      </c>
      <c r="H70" s="267">
        <f t="shared" si="8"/>
        <v>0</v>
      </c>
      <c r="I70" s="267">
        <f>SUM(I71:I73)</f>
        <v>209198.86</v>
      </c>
    </row>
    <row r="71" spans="1:9" ht="16.5" x14ac:dyDescent="0.3">
      <c r="A71" s="135"/>
      <c r="B71" s="131" t="s">
        <v>275</v>
      </c>
      <c r="C71" s="7" t="s">
        <v>699</v>
      </c>
      <c r="D71" s="29">
        <v>185000</v>
      </c>
      <c r="E71" s="270">
        <v>0</v>
      </c>
      <c r="F71" s="270">
        <v>0</v>
      </c>
      <c r="G71" s="270">
        <v>0</v>
      </c>
      <c r="H71" s="270">
        <v>0</v>
      </c>
      <c r="I71" s="271">
        <f>SUM(D71:H71)</f>
        <v>185000</v>
      </c>
    </row>
    <row r="72" spans="1:9" ht="16.5" x14ac:dyDescent="0.3">
      <c r="A72" s="275"/>
      <c r="B72" s="131" t="s">
        <v>427</v>
      </c>
      <c r="C72" s="7" t="s">
        <v>700</v>
      </c>
      <c r="D72" s="270">
        <v>18001.400000000001</v>
      </c>
      <c r="E72" s="270">
        <f>SUM(E73:E80)</f>
        <v>0</v>
      </c>
      <c r="F72" s="270"/>
      <c r="G72" s="270"/>
      <c r="H72" s="270">
        <f>SUM(H73:H80)</f>
        <v>0</v>
      </c>
      <c r="I72" s="271">
        <f>SUM(D72:H72)</f>
        <v>18001.400000000001</v>
      </c>
    </row>
    <row r="73" spans="1:9" ht="16.5" x14ac:dyDescent="0.3">
      <c r="A73" s="135"/>
      <c r="B73" s="131" t="s">
        <v>428</v>
      </c>
      <c r="C73" s="7" t="s">
        <v>778</v>
      </c>
      <c r="D73" s="270">
        <v>6197.46</v>
      </c>
      <c r="E73" s="270">
        <v>0</v>
      </c>
      <c r="F73" s="270">
        <v>0</v>
      </c>
      <c r="G73" s="270"/>
      <c r="H73" s="270">
        <v>0</v>
      </c>
      <c r="I73" s="271">
        <f>SUM(D73:H73)</f>
        <v>6197.46</v>
      </c>
    </row>
    <row r="74" spans="1:9" ht="16.5" x14ac:dyDescent="0.3">
      <c r="A74" s="275"/>
      <c r="B74" s="131" t="s">
        <v>701</v>
      </c>
      <c r="C74" s="7" t="s">
        <v>702</v>
      </c>
      <c r="D74" s="270">
        <v>25000</v>
      </c>
      <c r="E74" s="270"/>
      <c r="F74" s="270"/>
      <c r="G74" s="270"/>
      <c r="H74" s="270"/>
      <c r="I74" s="271">
        <f>SUM(D74:H74)</f>
        <v>25000</v>
      </c>
    </row>
    <row r="75" spans="1:9" ht="16.5" x14ac:dyDescent="0.3">
      <c r="A75" s="275"/>
      <c r="B75" s="131"/>
      <c r="C75" s="7" t="s">
        <v>732</v>
      </c>
      <c r="D75" s="270">
        <v>5000</v>
      </c>
      <c r="E75" s="270"/>
      <c r="F75" s="270"/>
      <c r="G75" s="270"/>
      <c r="H75" s="270"/>
      <c r="I75" s="271">
        <f>SUM(D75:H75)</f>
        <v>5000</v>
      </c>
    </row>
    <row r="76" spans="1:9" ht="16.5" x14ac:dyDescent="0.3">
      <c r="A76" s="275"/>
      <c r="B76" s="131"/>
      <c r="C76" s="7" t="s">
        <v>793</v>
      </c>
      <c r="D76" s="270">
        <v>30000</v>
      </c>
      <c r="E76" s="270">
        <v>0</v>
      </c>
      <c r="F76" s="270"/>
      <c r="G76" s="270">
        <v>11087.9</v>
      </c>
      <c r="H76" s="270">
        <v>0</v>
      </c>
      <c r="I76" s="271">
        <f t="shared" ref="I76:I80" si="9">SUM(D76:H76)</f>
        <v>41087.9</v>
      </c>
    </row>
    <row r="77" spans="1:9" ht="16.5" x14ac:dyDescent="0.3">
      <c r="A77" s="275">
        <v>54302</v>
      </c>
      <c r="B77" s="131"/>
      <c r="C77" s="7" t="s">
        <v>704</v>
      </c>
      <c r="D77" s="29">
        <v>85000</v>
      </c>
      <c r="E77" s="29" t="s">
        <v>718</v>
      </c>
      <c r="F77" s="270">
        <v>0</v>
      </c>
      <c r="G77" s="270">
        <v>0</v>
      </c>
      <c r="H77" s="270">
        <v>0</v>
      </c>
      <c r="I77" s="271">
        <f t="shared" si="9"/>
        <v>85000</v>
      </c>
    </row>
    <row r="78" spans="1:9" ht="17.25" thickBot="1" x14ac:dyDescent="0.35">
      <c r="A78" s="276"/>
      <c r="B78" s="456"/>
      <c r="C78" s="7" t="s">
        <v>703</v>
      </c>
      <c r="D78" s="457">
        <v>170.93</v>
      </c>
      <c r="E78" s="29"/>
      <c r="F78" s="270">
        <v>0</v>
      </c>
      <c r="G78" s="270">
        <v>0</v>
      </c>
      <c r="H78" s="270">
        <v>0</v>
      </c>
      <c r="I78" s="271">
        <f t="shared" si="9"/>
        <v>170.93</v>
      </c>
    </row>
    <row r="79" spans="1:9" ht="16.5" x14ac:dyDescent="0.3">
      <c r="A79" s="275"/>
      <c r="B79" s="131"/>
      <c r="C79" s="7"/>
      <c r="D79" s="29"/>
      <c r="E79" s="270">
        <v>0</v>
      </c>
      <c r="F79" s="455"/>
      <c r="G79" s="455"/>
      <c r="H79" s="455"/>
      <c r="I79" s="271">
        <f t="shared" si="9"/>
        <v>0</v>
      </c>
    </row>
    <row r="80" spans="1:9" ht="17.25" thickBot="1" x14ac:dyDescent="0.35">
      <c r="A80" s="276"/>
      <c r="B80" s="456"/>
      <c r="C80" s="11"/>
      <c r="D80" s="457"/>
      <c r="E80" s="457">
        <v>0</v>
      </c>
      <c r="F80" s="285">
        <v>0</v>
      </c>
      <c r="G80" s="285"/>
      <c r="H80" s="285">
        <v>0</v>
      </c>
      <c r="I80" s="286">
        <f t="shared" si="9"/>
        <v>0</v>
      </c>
    </row>
    <row r="81" spans="1:9" ht="17.25" thickBot="1" x14ac:dyDescent="0.35">
      <c r="A81" s="272"/>
      <c r="B81" s="273"/>
      <c r="C81" s="255" t="s">
        <v>67</v>
      </c>
      <c r="D81" s="274">
        <f>D10+D16+D45+D48+D53+D57+D60+D70+D77+D78</f>
        <v>561800.67000000004</v>
      </c>
      <c r="E81" s="274">
        <f t="shared" ref="E81:H81" si="10">E10+E15</f>
        <v>0</v>
      </c>
      <c r="F81" s="274">
        <f t="shared" si="10"/>
        <v>748342.51</v>
      </c>
      <c r="G81" s="274">
        <f>G10+G15</f>
        <v>831641</v>
      </c>
      <c r="H81" s="274">
        <f t="shared" si="10"/>
        <v>11408.98</v>
      </c>
      <c r="I81" s="274">
        <f>I10+I16+I45+I48+I53+I57+I60+I70+I76</f>
        <v>1750740.3399999994</v>
      </c>
    </row>
    <row r="82" spans="1:9" ht="16.5" x14ac:dyDescent="0.3">
      <c r="A82" s="1"/>
      <c r="B82" s="1"/>
      <c r="C82" s="1"/>
      <c r="D82" s="1"/>
      <c r="E82" s="1"/>
      <c r="F82" s="1"/>
      <c r="G82" s="1"/>
      <c r="H82" s="1"/>
      <c r="I82" s="1"/>
    </row>
    <row r="83" spans="1:9" ht="16.5" x14ac:dyDescent="0.3">
      <c r="A83" s="1"/>
      <c r="B83" s="1"/>
      <c r="C83" s="1"/>
      <c r="D83" s="1"/>
      <c r="E83" s="1"/>
      <c r="F83" s="1"/>
      <c r="G83" s="1"/>
      <c r="H83" s="1"/>
      <c r="I83" s="1"/>
    </row>
    <row r="84" spans="1:9" ht="16.5" x14ac:dyDescent="0.3">
      <c r="A84" s="1"/>
      <c r="B84" s="1"/>
      <c r="C84" s="1"/>
      <c r="D84" s="1"/>
      <c r="E84" s="1"/>
      <c r="F84" s="1"/>
      <c r="G84" s="1"/>
      <c r="H84" s="1"/>
      <c r="I84" s="1"/>
    </row>
    <row r="85" spans="1:9" ht="16.5" x14ac:dyDescent="0.3">
      <c r="A85" s="1"/>
      <c r="B85" s="1"/>
      <c r="C85" s="1"/>
      <c r="D85" s="1"/>
      <c r="E85" s="1"/>
      <c r="F85" s="1"/>
      <c r="G85" s="1"/>
      <c r="H85" s="1"/>
      <c r="I85" s="1"/>
    </row>
    <row r="86" spans="1:9" ht="16.5" x14ac:dyDescent="0.3">
      <c r="A86" s="1"/>
      <c r="B86" s="1"/>
      <c r="C86" s="1"/>
      <c r="D86" s="1"/>
      <c r="E86" s="1"/>
      <c r="F86" s="1"/>
      <c r="G86" s="1"/>
      <c r="H86" s="1"/>
      <c r="I86" s="1"/>
    </row>
    <row r="87" spans="1:9" ht="16.5" x14ac:dyDescent="0.3">
      <c r="A87" s="1"/>
      <c r="B87" s="1"/>
      <c r="C87" s="1"/>
      <c r="D87" s="1"/>
      <c r="E87" s="1"/>
      <c r="F87" s="1"/>
      <c r="G87" s="1"/>
      <c r="H87" s="1"/>
      <c r="I87" s="1"/>
    </row>
    <row r="88" spans="1:9" ht="16.5" x14ac:dyDescent="0.3">
      <c r="A88" s="1"/>
      <c r="B88" s="1"/>
      <c r="C88" s="1"/>
      <c r="D88" s="1"/>
      <c r="E88" s="1"/>
      <c r="F88" s="1"/>
      <c r="G88" s="1"/>
      <c r="H88" s="1"/>
      <c r="I88" s="1"/>
    </row>
    <row r="89" spans="1:9" ht="16.5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ht="16.5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ht="16.5" x14ac:dyDescent="0.3">
      <c r="A91" s="1"/>
      <c r="B91" s="1"/>
      <c r="C91" s="1"/>
      <c r="D91" s="1"/>
      <c r="E91" s="1"/>
      <c r="F91" s="1"/>
      <c r="G91" s="1"/>
      <c r="H91" s="1"/>
      <c r="I91" s="1"/>
    </row>
  </sheetData>
  <mergeCells count="7">
    <mergeCell ref="A1:I1"/>
    <mergeCell ref="A2:I2"/>
    <mergeCell ref="A8:A9"/>
    <mergeCell ref="B8:B9"/>
    <mergeCell ref="C8:C9"/>
    <mergeCell ref="D8:H8"/>
    <mergeCell ref="I8:I9"/>
  </mergeCells>
  <phoneticPr fontId="35" type="noConversion"/>
  <pageMargins left="0.70866141732283472" right="0.70866141732283472" top="0.4" bottom="0.74803149606299213" header="0.2" footer="0.31496062992125984"/>
  <pageSetup scale="64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="120" zoomScaleNormal="120" workbookViewId="0">
      <pane ySplit="9" topLeftCell="A28" activePane="bottomLeft" state="frozen"/>
      <selection pane="bottomLeft" activeCell="I18" sqref="I18"/>
    </sheetView>
  </sheetViews>
  <sheetFormatPr baseColWidth="10" defaultRowHeight="15" x14ac:dyDescent="0.25"/>
  <cols>
    <col min="1" max="1" width="6.5703125" customWidth="1"/>
    <col min="2" max="2" width="7.7109375" customWidth="1"/>
    <col min="3" max="3" width="48.28515625" bestFit="1" customWidth="1"/>
    <col min="4" max="4" width="12" bestFit="1" customWidth="1"/>
    <col min="5" max="5" width="11.7109375" customWidth="1"/>
    <col min="6" max="6" width="10.42578125" customWidth="1"/>
    <col min="7" max="7" width="12" customWidth="1"/>
    <col min="8" max="8" width="11.5703125" customWidth="1"/>
    <col min="9" max="9" width="17.42578125" bestFit="1" customWidth="1"/>
  </cols>
  <sheetData>
    <row r="1" spans="1:9" ht="16.5" x14ac:dyDescent="0.3">
      <c r="A1" s="589" t="s">
        <v>479</v>
      </c>
      <c r="B1" s="589"/>
      <c r="C1" s="589"/>
      <c r="D1" s="589"/>
      <c r="E1" s="589"/>
      <c r="F1" s="589"/>
      <c r="G1" s="589"/>
      <c r="H1" s="589"/>
      <c r="I1" s="589"/>
    </row>
    <row r="2" spans="1:9" ht="16.5" x14ac:dyDescent="0.3">
      <c r="A2" s="611" t="s">
        <v>254</v>
      </c>
      <c r="B2" s="611"/>
      <c r="C2" s="611"/>
      <c r="D2" s="611"/>
      <c r="E2" s="611"/>
      <c r="F2" s="611"/>
      <c r="G2" s="611"/>
      <c r="H2" s="611"/>
      <c r="I2" s="611"/>
    </row>
    <row r="3" spans="1:9" ht="16.5" x14ac:dyDescent="0.3">
      <c r="A3" s="90" t="s">
        <v>480</v>
      </c>
      <c r="B3" s="90"/>
      <c r="C3" s="90"/>
      <c r="D3" s="90"/>
      <c r="E3" s="90"/>
      <c r="F3" s="90"/>
      <c r="G3" s="90"/>
      <c r="H3" s="90"/>
      <c r="I3" s="90"/>
    </row>
    <row r="4" spans="1:9" ht="16.5" x14ac:dyDescent="0.3">
      <c r="A4" s="90" t="s">
        <v>706</v>
      </c>
      <c r="B4" s="90"/>
      <c r="C4" s="262"/>
      <c r="D4" s="261" t="s">
        <v>8</v>
      </c>
      <c r="E4" s="262"/>
      <c r="F4" s="262"/>
      <c r="G4" s="262"/>
      <c r="H4" s="262"/>
      <c r="I4" s="262"/>
    </row>
    <row r="5" spans="1:9" ht="16.5" x14ac:dyDescent="0.3">
      <c r="A5" s="90" t="s">
        <v>481</v>
      </c>
      <c r="B5" s="90"/>
      <c r="C5" s="262"/>
      <c r="D5" s="262"/>
      <c r="E5" s="262"/>
      <c r="F5" s="262"/>
      <c r="G5" s="262"/>
      <c r="H5" s="262"/>
      <c r="I5" s="262"/>
    </row>
    <row r="6" spans="1:9" ht="16.5" x14ac:dyDescent="0.3">
      <c r="A6" s="90" t="s">
        <v>482</v>
      </c>
      <c r="B6" s="90"/>
      <c r="C6" s="262"/>
      <c r="D6" s="262"/>
      <c r="E6" s="262"/>
      <c r="F6" s="262"/>
      <c r="G6" s="262"/>
      <c r="H6" s="262"/>
      <c r="I6" s="262"/>
    </row>
    <row r="7" spans="1:9" ht="17.25" thickBot="1" x14ac:dyDescent="0.35">
      <c r="A7" s="90" t="s">
        <v>483</v>
      </c>
      <c r="B7" s="90"/>
      <c r="C7" s="262"/>
      <c r="D7" s="262"/>
      <c r="E7" s="262"/>
      <c r="F7" s="262"/>
      <c r="G7" s="262"/>
      <c r="H7" s="262"/>
      <c r="I7" s="262"/>
    </row>
    <row r="8" spans="1:9" ht="17.25" thickBot="1" x14ac:dyDescent="0.3">
      <c r="A8" s="612" t="s">
        <v>255</v>
      </c>
      <c r="B8" s="612" t="s">
        <v>256</v>
      </c>
      <c r="C8" s="614" t="s">
        <v>257</v>
      </c>
      <c r="D8" s="616" t="s">
        <v>258</v>
      </c>
      <c r="E8" s="617"/>
      <c r="F8" s="617"/>
      <c r="G8" s="617"/>
      <c r="H8" s="618"/>
      <c r="I8" s="619" t="s">
        <v>259</v>
      </c>
    </row>
    <row r="9" spans="1:9" ht="30.75" customHeight="1" thickBot="1" x14ac:dyDescent="0.35">
      <c r="A9" s="613"/>
      <c r="B9" s="613"/>
      <c r="C9" s="615"/>
      <c r="D9" s="263" t="s">
        <v>260</v>
      </c>
      <c r="E9" s="264" t="s">
        <v>785</v>
      </c>
      <c r="F9" s="572" t="s">
        <v>642</v>
      </c>
      <c r="G9" s="264" t="s">
        <v>262</v>
      </c>
      <c r="H9" s="265" t="s">
        <v>263</v>
      </c>
      <c r="I9" s="615"/>
    </row>
    <row r="10" spans="1:9" ht="16.5" x14ac:dyDescent="0.3">
      <c r="A10" s="280">
        <v>615</v>
      </c>
      <c r="B10" s="281"/>
      <c r="C10" s="282" t="s">
        <v>150</v>
      </c>
      <c r="D10" s="283">
        <f>SUM(D11:D12)</f>
        <v>0</v>
      </c>
      <c r="E10" s="283">
        <f>SUM(E11:E12)</f>
        <v>0</v>
      </c>
      <c r="F10" s="283">
        <f>SUM(F11:F12)</f>
        <v>0</v>
      </c>
      <c r="G10" s="283">
        <f>SUM(G11:G12)</f>
        <v>0</v>
      </c>
      <c r="H10" s="283">
        <f>SUM(H11:H12)</f>
        <v>0</v>
      </c>
      <c r="I10" s="284">
        <f>SUM(D10:H10)</f>
        <v>0</v>
      </c>
    </row>
    <row r="11" spans="1:9" ht="16.5" x14ac:dyDescent="0.3">
      <c r="A11" s="269">
        <v>61501</v>
      </c>
      <c r="B11" s="251"/>
      <c r="C11" s="255" t="s">
        <v>264</v>
      </c>
      <c r="D11" s="270">
        <v>0</v>
      </c>
      <c r="E11" s="270">
        <v>0</v>
      </c>
      <c r="F11" s="270">
        <v>0</v>
      </c>
      <c r="G11" s="270">
        <v>0</v>
      </c>
      <c r="H11" s="270">
        <v>0</v>
      </c>
      <c r="I11" s="271">
        <f>SUM(D11:H11)</f>
        <v>0</v>
      </c>
    </row>
    <row r="12" spans="1:9" ht="16.5" x14ac:dyDescent="0.3">
      <c r="A12" s="269">
        <v>61599</v>
      </c>
      <c r="B12" s="251"/>
      <c r="C12" s="247" t="s">
        <v>266</v>
      </c>
      <c r="D12" s="270">
        <v>0</v>
      </c>
      <c r="E12" s="270">
        <v>0</v>
      </c>
      <c r="F12" s="270">
        <v>0</v>
      </c>
      <c r="G12" s="270">
        <v>0</v>
      </c>
      <c r="H12" s="270">
        <v>0</v>
      </c>
      <c r="I12" s="271">
        <f>SUM(D12:H12)</f>
        <v>0</v>
      </c>
    </row>
    <row r="13" spans="1:9" ht="12.75" customHeight="1" x14ac:dyDescent="0.3">
      <c r="A13" s="135"/>
      <c r="B13" s="131"/>
      <c r="C13" s="247"/>
      <c r="D13" s="270"/>
      <c r="E13" s="270"/>
      <c r="F13" s="270"/>
      <c r="G13" s="270"/>
      <c r="H13" s="270"/>
      <c r="I13" s="271"/>
    </row>
    <row r="14" spans="1:9" ht="16.5" x14ac:dyDescent="0.3">
      <c r="A14" s="266">
        <v>616</v>
      </c>
      <c r="B14" s="243"/>
      <c r="C14" s="255" t="s">
        <v>152</v>
      </c>
      <c r="D14" s="267">
        <f>SUM(D15+D16+D17+D32+D36)</f>
        <v>234223.4</v>
      </c>
      <c r="E14" s="267">
        <f>SUM(E15+E16+E17+E32)</f>
        <v>239789.56</v>
      </c>
      <c r="F14" s="267">
        <f>SUM(F15+F16+F17++F30+F32+F33+F36)</f>
        <v>0</v>
      </c>
      <c r="G14" s="267">
        <f>SUM(G15+G16+G17++G30+G32+G33+G36)</f>
        <v>0</v>
      </c>
      <c r="H14" s="267">
        <f>SUM(H15+H16+H17++H30+H32+H33+H36)</f>
        <v>0</v>
      </c>
      <c r="I14" s="268">
        <f>SUM(I15+I16+I17+I32+I36)</f>
        <v>633392.07999999996</v>
      </c>
    </row>
    <row r="15" spans="1:9" ht="16.5" x14ac:dyDescent="0.3">
      <c r="A15" s="266">
        <v>61601</v>
      </c>
      <c r="B15" s="131"/>
      <c r="C15" s="255" t="s">
        <v>153</v>
      </c>
      <c r="D15" s="270">
        <v>0</v>
      </c>
      <c r="E15" s="270">
        <v>0</v>
      </c>
      <c r="F15" s="270">
        <v>0</v>
      </c>
      <c r="G15" s="270">
        <v>0</v>
      </c>
      <c r="H15" s="270">
        <v>0</v>
      </c>
      <c r="I15" s="268"/>
    </row>
    <row r="16" spans="1:9" ht="16.5" x14ac:dyDescent="0.3">
      <c r="A16" s="266">
        <v>61602</v>
      </c>
      <c r="B16" s="131"/>
      <c r="C16" s="255" t="s">
        <v>484</v>
      </c>
      <c r="D16" s="270">
        <v>0</v>
      </c>
      <c r="E16" s="270">
        <v>0</v>
      </c>
      <c r="F16" s="270">
        <v>0</v>
      </c>
      <c r="G16" s="270">
        <v>0</v>
      </c>
      <c r="H16" s="270">
        <v>0</v>
      </c>
      <c r="I16" s="268">
        <v>0</v>
      </c>
    </row>
    <row r="17" spans="1:9" ht="16.5" x14ac:dyDescent="0.3">
      <c r="A17" s="266">
        <v>61603</v>
      </c>
      <c r="B17" s="131"/>
      <c r="C17" s="255" t="s">
        <v>154</v>
      </c>
      <c r="D17" s="267">
        <f>SUM(D18:D31)</f>
        <v>234223.4</v>
      </c>
      <c r="E17" s="267">
        <f>SUM(E18:E29)</f>
        <v>0</v>
      </c>
      <c r="F17" s="267">
        <f>SUM(F18:F29)</f>
        <v>0</v>
      </c>
      <c r="G17" s="267">
        <f>SUM(G18:G29)</f>
        <v>0</v>
      </c>
      <c r="H17" s="267">
        <f>SUM(H18:H29)</f>
        <v>0</v>
      </c>
      <c r="I17" s="268">
        <f>SUM(I18:I31)</f>
        <v>234223.4</v>
      </c>
    </row>
    <row r="18" spans="1:9" ht="16.5" x14ac:dyDescent="0.3">
      <c r="A18" s="266" t="s">
        <v>620</v>
      </c>
      <c r="B18" s="131" t="s">
        <v>271</v>
      </c>
      <c r="C18" s="7" t="s">
        <v>705</v>
      </c>
      <c r="D18" s="29">
        <v>45000</v>
      </c>
      <c r="E18" s="270">
        <v>0</v>
      </c>
      <c r="F18" s="270">
        <v>0</v>
      </c>
      <c r="G18" s="270">
        <v>0</v>
      </c>
      <c r="H18" s="270">
        <v>0</v>
      </c>
      <c r="I18" s="271">
        <f>SUM(D18:H18)</f>
        <v>45000</v>
      </c>
    </row>
    <row r="19" spans="1:9" ht="16.5" x14ac:dyDescent="0.3">
      <c r="A19" s="266"/>
      <c r="B19" s="131" t="s">
        <v>272</v>
      </c>
      <c r="C19" s="7" t="s">
        <v>719</v>
      </c>
      <c r="D19" s="29">
        <v>25000</v>
      </c>
      <c r="E19" s="270">
        <v>0</v>
      </c>
      <c r="F19" s="270">
        <v>0</v>
      </c>
      <c r="G19" s="270">
        <v>0</v>
      </c>
      <c r="H19" s="270"/>
      <c r="I19" s="271">
        <f>SUM(D19:H19)</f>
        <v>25000</v>
      </c>
    </row>
    <row r="20" spans="1:9" ht="16.5" x14ac:dyDescent="0.3">
      <c r="A20" s="266"/>
      <c r="B20" s="131" t="s">
        <v>273</v>
      </c>
      <c r="C20" s="7" t="s">
        <v>707</v>
      </c>
      <c r="D20" s="29">
        <v>20000</v>
      </c>
      <c r="E20" s="270">
        <v>0</v>
      </c>
      <c r="F20" s="270">
        <v>0</v>
      </c>
      <c r="G20" s="270">
        <v>0</v>
      </c>
      <c r="H20" s="270">
        <v>0</v>
      </c>
      <c r="I20" s="271">
        <f t="shared" ref="I20:I21" si="0">SUM(D20:H20)</f>
        <v>20000</v>
      </c>
    </row>
    <row r="21" spans="1:9" ht="16.5" x14ac:dyDescent="0.3">
      <c r="A21" s="266"/>
      <c r="B21" s="131" t="s">
        <v>425</v>
      </c>
      <c r="C21" s="7" t="s">
        <v>794</v>
      </c>
      <c r="D21" s="29">
        <v>825.06</v>
      </c>
      <c r="E21" s="270">
        <v>0</v>
      </c>
      <c r="F21" s="270">
        <v>0</v>
      </c>
      <c r="G21" s="270">
        <v>0</v>
      </c>
      <c r="H21" s="270">
        <v>0</v>
      </c>
      <c r="I21" s="271">
        <f t="shared" si="0"/>
        <v>825.06</v>
      </c>
    </row>
    <row r="22" spans="1:9" ht="16.5" x14ac:dyDescent="0.3">
      <c r="A22" s="266"/>
      <c r="B22" s="131" t="s">
        <v>426</v>
      </c>
      <c r="C22" s="7" t="s">
        <v>643</v>
      </c>
      <c r="D22" s="29">
        <v>85000</v>
      </c>
      <c r="E22" s="270">
        <v>0</v>
      </c>
      <c r="F22" s="270">
        <v>0</v>
      </c>
      <c r="G22" s="270"/>
      <c r="H22" s="270">
        <v>0</v>
      </c>
      <c r="I22" s="271">
        <f t="shared" ref="I22:I36" si="1">SUM(D22:H22)</f>
        <v>85000</v>
      </c>
    </row>
    <row r="23" spans="1:9" ht="16.5" x14ac:dyDescent="0.3">
      <c r="A23" s="266"/>
      <c r="B23" s="131" t="s">
        <v>429</v>
      </c>
      <c r="C23" s="7" t="s">
        <v>708</v>
      </c>
      <c r="D23" s="29">
        <v>187.01</v>
      </c>
      <c r="E23" s="270">
        <v>0</v>
      </c>
      <c r="F23" s="270">
        <v>0</v>
      </c>
      <c r="G23" s="270"/>
      <c r="H23" s="270">
        <v>0</v>
      </c>
      <c r="I23" s="271">
        <f t="shared" si="1"/>
        <v>187.01</v>
      </c>
    </row>
    <row r="24" spans="1:9" ht="16.5" x14ac:dyDescent="0.3">
      <c r="A24" s="266"/>
      <c r="B24" s="131" t="s">
        <v>430</v>
      </c>
      <c r="C24" s="7" t="s">
        <v>709</v>
      </c>
      <c r="D24" s="29">
        <v>251.68</v>
      </c>
      <c r="E24" s="270"/>
      <c r="F24" s="270"/>
      <c r="G24" s="270"/>
      <c r="H24" s="270"/>
      <c r="I24" s="271">
        <f t="shared" si="1"/>
        <v>251.68</v>
      </c>
    </row>
    <row r="25" spans="1:9" ht="16.5" x14ac:dyDescent="0.3">
      <c r="A25" s="266" t="s">
        <v>620</v>
      </c>
      <c r="B25" s="131" t="s">
        <v>430</v>
      </c>
      <c r="C25" s="7" t="s">
        <v>711</v>
      </c>
      <c r="D25" s="29">
        <v>9000</v>
      </c>
      <c r="E25" s="270"/>
      <c r="F25" s="270"/>
      <c r="G25" s="270"/>
      <c r="H25" s="270"/>
      <c r="I25" s="271">
        <f t="shared" si="1"/>
        <v>9000</v>
      </c>
    </row>
    <row r="26" spans="1:9" ht="16.5" x14ac:dyDescent="0.3">
      <c r="A26" s="266"/>
      <c r="B26" s="131" t="s">
        <v>431</v>
      </c>
      <c r="C26" s="7" t="s">
        <v>721</v>
      </c>
      <c r="D26" s="29">
        <v>7000</v>
      </c>
      <c r="E26" s="270">
        <v>0</v>
      </c>
      <c r="F26" s="270">
        <v>0</v>
      </c>
      <c r="G26" s="270">
        <v>0</v>
      </c>
      <c r="H26" s="270">
        <v>0</v>
      </c>
      <c r="I26" s="271">
        <f t="shared" si="1"/>
        <v>7000</v>
      </c>
    </row>
    <row r="27" spans="1:9" ht="16.5" x14ac:dyDescent="0.3">
      <c r="A27" s="266"/>
      <c r="B27" s="131" t="s">
        <v>610</v>
      </c>
      <c r="C27" s="7" t="s">
        <v>710</v>
      </c>
      <c r="D27" s="29">
        <v>44.35</v>
      </c>
      <c r="E27" s="270"/>
      <c r="F27" s="270"/>
      <c r="G27" s="270"/>
      <c r="H27" s="270"/>
      <c r="I27" s="271">
        <f t="shared" si="1"/>
        <v>44.35</v>
      </c>
    </row>
    <row r="28" spans="1:9" ht="16.5" x14ac:dyDescent="0.3">
      <c r="A28" s="266"/>
      <c r="B28" s="131" t="s">
        <v>611</v>
      </c>
      <c r="C28" s="7" t="s">
        <v>644</v>
      </c>
      <c r="D28" s="29">
        <v>200.69</v>
      </c>
      <c r="E28" s="270"/>
      <c r="F28" s="270"/>
      <c r="G28" s="270"/>
      <c r="H28" s="270"/>
      <c r="I28" s="271">
        <f t="shared" si="1"/>
        <v>200.69</v>
      </c>
    </row>
    <row r="29" spans="1:9" ht="16.5" x14ac:dyDescent="0.3">
      <c r="A29" s="266"/>
      <c r="B29" s="131" t="s">
        <v>628</v>
      </c>
      <c r="C29" s="7" t="s">
        <v>637</v>
      </c>
      <c r="D29" s="270"/>
      <c r="E29" s="267"/>
      <c r="F29" s="267"/>
      <c r="G29" s="270"/>
      <c r="H29" s="267"/>
      <c r="I29" s="271">
        <f t="shared" si="1"/>
        <v>0</v>
      </c>
    </row>
    <row r="30" spans="1:9" ht="16.5" x14ac:dyDescent="0.3">
      <c r="A30" s="266"/>
      <c r="B30" s="131" t="s">
        <v>629</v>
      </c>
      <c r="C30" s="247" t="s">
        <v>712</v>
      </c>
      <c r="D30" s="270">
        <v>40000</v>
      </c>
      <c r="E30" s="267"/>
      <c r="F30" s="267"/>
      <c r="G30" s="267"/>
      <c r="H30" s="267"/>
      <c r="I30" s="271">
        <f t="shared" si="1"/>
        <v>40000</v>
      </c>
    </row>
    <row r="31" spans="1:9" ht="16.5" x14ac:dyDescent="0.3">
      <c r="A31" s="266"/>
      <c r="B31" s="131" t="s">
        <v>683</v>
      </c>
      <c r="C31" s="247" t="s">
        <v>684</v>
      </c>
      <c r="D31" s="270">
        <v>1714.61</v>
      </c>
      <c r="E31" s="267"/>
      <c r="F31" s="267"/>
      <c r="G31" s="267"/>
      <c r="H31" s="267"/>
      <c r="I31" s="271">
        <f t="shared" si="1"/>
        <v>1714.61</v>
      </c>
    </row>
    <row r="32" spans="1:9" ht="16.5" x14ac:dyDescent="0.3">
      <c r="A32" s="266">
        <v>61699</v>
      </c>
      <c r="B32" s="131"/>
      <c r="C32" s="255" t="s">
        <v>661</v>
      </c>
      <c r="D32" s="267">
        <f>D33</f>
        <v>0</v>
      </c>
      <c r="E32" s="267">
        <f>SUM(E33:E36)</f>
        <v>239789.56</v>
      </c>
      <c r="F32" s="267">
        <v>0</v>
      </c>
      <c r="G32" s="267">
        <v>0</v>
      </c>
      <c r="H32" s="267"/>
      <c r="I32" s="268">
        <f t="shared" si="1"/>
        <v>239789.56</v>
      </c>
    </row>
    <row r="33" spans="1:9" ht="16.5" x14ac:dyDescent="0.3">
      <c r="A33" s="266"/>
      <c r="B33" s="131" t="s">
        <v>662</v>
      </c>
      <c r="C33" s="247" t="s">
        <v>786</v>
      </c>
      <c r="D33" s="270"/>
      <c r="E33" s="270">
        <v>3869.81</v>
      </c>
      <c r="F33" s="270">
        <v>0</v>
      </c>
      <c r="G33" s="270">
        <v>0</v>
      </c>
      <c r="H33" s="270"/>
      <c r="I33" s="271">
        <f t="shared" si="1"/>
        <v>3869.81</v>
      </c>
    </row>
    <row r="34" spans="1:9" ht="16.5" x14ac:dyDescent="0.3">
      <c r="A34" s="266"/>
      <c r="B34" s="131"/>
      <c r="C34" s="247" t="s">
        <v>787</v>
      </c>
      <c r="D34" s="270"/>
      <c r="E34" s="270">
        <v>22658.81</v>
      </c>
      <c r="F34" s="270"/>
      <c r="G34" s="270"/>
      <c r="H34" s="270"/>
      <c r="I34" s="271">
        <f t="shared" si="1"/>
        <v>22658.81</v>
      </c>
    </row>
    <row r="35" spans="1:9" ht="16.5" x14ac:dyDescent="0.3">
      <c r="A35" s="266"/>
      <c r="B35" s="131"/>
      <c r="C35" s="247" t="s">
        <v>788</v>
      </c>
      <c r="D35" s="270"/>
      <c r="E35" s="270">
        <v>53881.82</v>
      </c>
      <c r="F35" s="270"/>
      <c r="G35" s="270"/>
      <c r="H35" s="270"/>
      <c r="I35" s="271">
        <f t="shared" si="1"/>
        <v>53881.82</v>
      </c>
    </row>
    <row r="36" spans="1:9" ht="16.5" x14ac:dyDescent="0.3">
      <c r="A36" s="266"/>
      <c r="B36" s="131"/>
      <c r="C36" s="252" t="s">
        <v>789</v>
      </c>
      <c r="D36" s="270">
        <v>0</v>
      </c>
      <c r="E36" s="270">
        <v>159379.12</v>
      </c>
      <c r="F36" s="270">
        <v>0</v>
      </c>
      <c r="G36" s="270">
        <v>0</v>
      </c>
      <c r="H36" s="270">
        <v>0</v>
      </c>
      <c r="I36" s="271">
        <f t="shared" si="1"/>
        <v>159379.12</v>
      </c>
    </row>
    <row r="37" spans="1:9" ht="17.25" thickBot="1" x14ac:dyDescent="0.35">
      <c r="A37" s="277"/>
      <c r="B37" s="278"/>
      <c r="C37" s="279" t="s">
        <v>67</v>
      </c>
      <c r="D37" s="365">
        <f>+D10+D14+D32</f>
        <v>234223.4</v>
      </c>
      <c r="E37" s="365">
        <f>+E10+E14</f>
        <v>239789.56</v>
      </c>
      <c r="F37" s="365">
        <f>+F10+F14</f>
        <v>0</v>
      </c>
      <c r="G37" s="365">
        <f>+G10+G14</f>
        <v>0</v>
      </c>
      <c r="H37" s="365">
        <f>+H10+H14</f>
        <v>0</v>
      </c>
      <c r="I37" s="366">
        <f>+I10+I14</f>
        <v>633392.07999999996</v>
      </c>
    </row>
    <row r="38" spans="1:9" ht="16.5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ht="16.5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ht="16.5" x14ac:dyDescent="0.3">
      <c r="A40" s="1"/>
      <c r="B40" s="1"/>
      <c r="C40" s="1"/>
      <c r="D40" s="1"/>
      <c r="E40" s="1"/>
      <c r="F40" s="1"/>
      <c r="G40" s="1"/>
      <c r="H40" s="1"/>
      <c r="I40" s="1"/>
    </row>
  </sheetData>
  <mergeCells count="7">
    <mergeCell ref="A1:I1"/>
    <mergeCell ref="A2:I2"/>
    <mergeCell ref="A8:A9"/>
    <mergeCell ref="B8:B9"/>
    <mergeCell ref="C8:C9"/>
    <mergeCell ref="D8:H8"/>
    <mergeCell ref="I8:I9"/>
  </mergeCells>
  <phoneticPr fontId="35" type="noConversion"/>
  <pageMargins left="1.3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opLeftCell="A7" zoomScale="130" zoomScaleNormal="130" workbookViewId="0">
      <pane xSplit="1" ySplit="2" topLeftCell="B9" activePane="bottomRight" state="frozen"/>
      <selection activeCell="A7" sqref="A7"/>
      <selection pane="topRight" activeCell="B7" sqref="B7"/>
      <selection pane="bottomLeft" activeCell="A9" sqref="A9"/>
      <selection pane="bottomRight" activeCell="H95" sqref="H95"/>
    </sheetView>
  </sheetViews>
  <sheetFormatPr baseColWidth="10" defaultRowHeight="15" x14ac:dyDescent="0.25"/>
  <cols>
    <col min="1" max="1" width="5.42578125" bestFit="1" customWidth="1"/>
    <col min="2" max="2" width="47.5703125" bestFit="1" customWidth="1"/>
    <col min="4" max="4" width="12.85546875" customWidth="1"/>
    <col min="7" max="7" width="12" bestFit="1" customWidth="1"/>
    <col min="9" max="9" width="12" bestFit="1" customWidth="1"/>
  </cols>
  <sheetData>
    <row r="1" spans="1:9" ht="15.75" x14ac:dyDescent="0.25">
      <c r="A1" s="628" t="s">
        <v>189</v>
      </c>
      <c r="B1" s="628"/>
      <c r="C1" s="628"/>
      <c r="D1" s="628"/>
      <c r="E1" s="628"/>
      <c r="F1" s="628"/>
      <c r="G1" s="628"/>
      <c r="H1" s="628"/>
      <c r="I1" s="628"/>
    </row>
    <row r="2" spans="1:9" ht="15.75" x14ac:dyDescent="0.25">
      <c r="A2" s="628" t="s">
        <v>190</v>
      </c>
      <c r="B2" s="628"/>
      <c r="C2" s="628"/>
      <c r="D2" s="628"/>
      <c r="E2" s="628"/>
      <c r="F2" s="628"/>
      <c r="G2" s="628"/>
      <c r="H2" s="628"/>
      <c r="I2" s="628"/>
    </row>
    <row r="3" spans="1:9" ht="15.75" x14ac:dyDescent="0.25">
      <c r="A3" s="628" t="s">
        <v>191</v>
      </c>
      <c r="B3" s="628"/>
      <c r="C3" s="628"/>
      <c r="D3" s="628"/>
      <c r="E3" s="628"/>
      <c r="F3" s="628"/>
      <c r="G3" s="628"/>
      <c r="H3" s="628"/>
      <c r="I3" s="628"/>
    </row>
    <row r="4" spans="1:9" ht="16.5" thickBot="1" x14ac:dyDescent="0.3">
      <c r="A4" s="629" t="s">
        <v>192</v>
      </c>
      <c r="B4" s="629"/>
      <c r="C4" s="629"/>
      <c r="D4" s="629"/>
      <c r="E4" s="629"/>
      <c r="F4" s="629"/>
      <c r="G4" s="629"/>
      <c r="H4" s="629"/>
      <c r="I4" s="629"/>
    </row>
    <row r="5" spans="1:9" ht="15" customHeight="1" x14ac:dyDescent="0.25">
      <c r="A5" s="630" t="s">
        <v>193</v>
      </c>
      <c r="B5" s="631"/>
      <c r="C5" s="622" t="s">
        <v>376</v>
      </c>
      <c r="D5" s="623"/>
      <c r="E5" s="622" t="s">
        <v>377</v>
      </c>
      <c r="F5" s="623"/>
      <c r="G5" s="62"/>
      <c r="H5" s="63"/>
      <c r="I5" s="64"/>
    </row>
    <row r="6" spans="1:9" ht="36.75" customHeight="1" thickBot="1" x14ac:dyDescent="0.3">
      <c r="A6" s="632"/>
      <c r="B6" s="633"/>
      <c r="C6" s="624"/>
      <c r="D6" s="625"/>
      <c r="E6" s="624"/>
      <c r="F6" s="625"/>
      <c r="G6" s="68"/>
      <c r="H6" s="65"/>
      <c r="I6" s="66"/>
    </row>
    <row r="7" spans="1:9" ht="20.25" customHeight="1" x14ac:dyDescent="0.25">
      <c r="A7" s="69"/>
      <c r="B7" s="239" t="s">
        <v>378</v>
      </c>
      <c r="C7" s="70" t="s">
        <v>194</v>
      </c>
      <c r="D7" s="71" t="s">
        <v>195</v>
      </c>
      <c r="E7" s="187" t="s">
        <v>196</v>
      </c>
      <c r="F7" s="187" t="s">
        <v>349</v>
      </c>
      <c r="G7" s="626" t="s">
        <v>1</v>
      </c>
      <c r="H7" s="620" t="s">
        <v>197</v>
      </c>
      <c r="I7" s="621"/>
    </row>
    <row r="8" spans="1:9" ht="54" customHeight="1" thickBot="1" x14ac:dyDescent="0.3">
      <c r="A8" s="72" t="s">
        <v>198</v>
      </c>
      <c r="B8" s="73" t="s">
        <v>173</v>
      </c>
      <c r="C8" s="74" t="s">
        <v>199</v>
      </c>
      <c r="D8" s="75" t="s">
        <v>200</v>
      </c>
      <c r="E8" s="76" t="s">
        <v>357</v>
      </c>
      <c r="F8" s="75" t="s">
        <v>358</v>
      </c>
      <c r="G8" s="627"/>
      <c r="H8" s="77" t="s">
        <v>359</v>
      </c>
      <c r="I8" s="78" t="s">
        <v>360</v>
      </c>
    </row>
    <row r="9" spans="1:9" x14ac:dyDescent="0.25">
      <c r="A9" s="190">
        <v>54</v>
      </c>
      <c r="B9" s="191" t="s">
        <v>88</v>
      </c>
      <c r="C9" s="188">
        <f>+C10+C30+C36+C52+C57+C65</f>
        <v>56214.9</v>
      </c>
      <c r="D9" s="188">
        <f t="shared" ref="D9:G9" si="0">+D10+D30+D36+D52+D57+D65</f>
        <v>408014.97</v>
      </c>
      <c r="E9" s="188">
        <f t="shared" si="0"/>
        <v>4691.04</v>
      </c>
      <c r="F9" s="188">
        <f t="shared" si="0"/>
        <v>160780.764</v>
      </c>
      <c r="G9" s="188">
        <f t="shared" si="0"/>
        <v>629701.674</v>
      </c>
      <c r="H9" s="188">
        <f t="shared" ref="H9:I9" si="1">+H10+H30+H36+H52+H57+H65</f>
        <v>221587.24</v>
      </c>
      <c r="I9" s="198">
        <f t="shared" si="1"/>
        <v>408114.43400000001</v>
      </c>
    </row>
    <row r="10" spans="1:9" x14ac:dyDescent="0.25">
      <c r="A10" s="192">
        <v>541</v>
      </c>
      <c r="B10" s="193" t="s">
        <v>89</v>
      </c>
      <c r="C10" s="189">
        <f>SUM(C11:C29)</f>
        <v>18114.900000000001</v>
      </c>
      <c r="D10" s="189">
        <f t="shared" ref="D10:G10" si="2">SUM(D11:D29)</f>
        <v>41601.26</v>
      </c>
      <c r="E10" s="189">
        <f t="shared" si="2"/>
        <v>3381.04</v>
      </c>
      <c r="F10" s="189">
        <f t="shared" si="2"/>
        <v>119651.88399999999</v>
      </c>
      <c r="G10" s="189">
        <f t="shared" si="2"/>
        <v>182749.084</v>
      </c>
      <c r="H10" s="189">
        <f t="shared" ref="H10:I10" si="3">SUM(H11:H29)</f>
        <v>0</v>
      </c>
      <c r="I10" s="199">
        <f t="shared" si="3"/>
        <v>182749.084</v>
      </c>
    </row>
    <row r="11" spans="1:9" x14ac:dyDescent="0.25">
      <c r="A11" s="79">
        <v>54101</v>
      </c>
      <c r="B11" s="80" t="s">
        <v>202</v>
      </c>
      <c r="C11" s="395">
        <f>+'[3]grupo por linea'!$O$12</f>
        <v>4668</v>
      </c>
      <c r="D11" s="395">
        <f>+'[3]grupo por linea'!$W$12</f>
        <v>471.6</v>
      </c>
      <c r="E11" s="395">
        <f>+'[3]grupo por linea'!$AB$12</f>
        <v>589.20000000000005</v>
      </c>
      <c r="F11" s="395">
        <f>+'[3]grupo por linea'!$AW$12</f>
        <v>10071.6</v>
      </c>
      <c r="G11" s="81">
        <f t="shared" ref="G11:G12" si="4">SUM(C11:F11)</f>
        <v>15800.400000000001</v>
      </c>
      <c r="H11" s="81"/>
      <c r="I11" s="82">
        <f>G11+H11</f>
        <v>15800.400000000001</v>
      </c>
    </row>
    <row r="12" spans="1:9" x14ac:dyDescent="0.25">
      <c r="A12" s="79">
        <v>54103</v>
      </c>
      <c r="B12" s="80" t="s">
        <v>203</v>
      </c>
      <c r="C12" s="395"/>
      <c r="D12" s="395"/>
      <c r="E12" s="395"/>
      <c r="F12" s="395">
        <f>+'[3]grupo por linea'!$AW$13</f>
        <v>192</v>
      </c>
      <c r="G12" s="81">
        <f t="shared" si="4"/>
        <v>192</v>
      </c>
      <c r="H12" s="81"/>
      <c r="I12" s="82">
        <f t="shared" ref="I12:I29" si="5">G12+H12</f>
        <v>192</v>
      </c>
    </row>
    <row r="13" spans="1:9" x14ac:dyDescent="0.25">
      <c r="A13" s="79">
        <v>54104</v>
      </c>
      <c r="B13" s="80" t="s">
        <v>91</v>
      </c>
      <c r="C13" s="395">
        <f>+'[3]grupo por linea'!$O$22</f>
        <v>1621.12</v>
      </c>
      <c r="D13" s="395">
        <f>+'[3]grupo por linea'!$W$22</f>
        <v>2766.34</v>
      </c>
      <c r="E13" s="395">
        <f>+'[3]grupo por linea'!$AB$22</f>
        <v>103.08</v>
      </c>
      <c r="F13" s="395">
        <f>+'[3]grupo por linea'!$AW$22</f>
        <v>15986.41</v>
      </c>
      <c r="G13" s="81">
        <f>SUM(C13:F13)</f>
        <v>20476.95</v>
      </c>
      <c r="H13" s="81"/>
      <c r="I13" s="82">
        <f t="shared" si="5"/>
        <v>20476.95</v>
      </c>
    </row>
    <row r="14" spans="1:9" x14ac:dyDescent="0.25">
      <c r="A14" s="79">
        <v>54105</v>
      </c>
      <c r="B14" s="80" t="s">
        <v>204</v>
      </c>
      <c r="C14" s="395">
        <f>+'[3]grupo por linea'!$O$56</f>
        <v>2613.7199999999998</v>
      </c>
      <c r="D14" s="395">
        <f>+'[3]grupo por linea'!$W$56</f>
        <v>2995.65</v>
      </c>
      <c r="E14" s="395">
        <f>+'[3]grupo por linea'!$AB$56</f>
        <v>503.05999999999995</v>
      </c>
      <c r="F14" s="395">
        <f>+'[3]grupo por linea'!$AW$56</f>
        <v>5581.3540000000012</v>
      </c>
      <c r="G14" s="81">
        <f t="shared" ref="G14:G29" si="6">SUM(C14:F14)</f>
        <v>11693.784000000001</v>
      </c>
      <c r="H14" s="81"/>
      <c r="I14" s="82">
        <f t="shared" si="5"/>
        <v>11693.784000000001</v>
      </c>
    </row>
    <row r="15" spans="1:9" x14ac:dyDescent="0.25">
      <c r="A15" s="79">
        <v>54106</v>
      </c>
      <c r="B15" s="80" t="s">
        <v>93</v>
      </c>
      <c r="C15" s="395">
        <f>+'[3]grupo por linea'!$O$58</f>
        <v>350</v>
      </c>
      <c r="D15" s="395">
        <f>+'[3]grupo por linea'!$W$58</f>
        <v>2.5499999999999998</v>
      </c>
      <c r="E15" s="395">
        <f>+'[3]grupo por linea'!$AB$58</f>
        <v>0</v>
      </c>
      <c r="F15" s="395">
        <f>+'[3]grupo por linea'!$AW$58</f>
        <v>520</v>
      </c>
      <c r="G15" s="81">
        <f t="shared" si="6"/>
        <v>872.55</v>
      </c>
      <c r="H15" s="81"/>
      <c r="I15" s="82">
        <f t="shared" si="5"/>
        <v>872.55</v>
      </c>
    </row>
    <row r="16" spans="1:9" x14ac:dyDescent="0.25">
      <c r="A16" s="79">
        <v>54107</v>
      </c>
      <c r="B16" s="80" t="s">
        <v>94</v>
      </c>
      <c r="C16" s="395">
        <f>+'[3]grupo por linea'!$O$100</f>
        <v>1575.45</v>
      </c>
      <c r="D16" s="395">
        <f>+'[3]grupo por linea'!$W$100</f>
        <v>304.65999999999997</v>
      </c>
      <c r="E16" s="395">
        <f>+'[3]grupo por linea'!$AB$100</f>
        <v>83</v>
      </c>
      <c r="F16" s="395">
        <f>+'[3]grupo por linea'!$AW$100</f>
        <v>12582.61</v>
      </c>
      <c r="G16" s="81">
        <f t="shared" si="6"/>
        <v>14545.720000000001</v>
      </c>
      <c r="H16" s="81"/>
      <c r="I16" s="82">
        <f t="shared" si="5"/>
        <v>14545.720000000001</v>
      </c>
    </row>
    <row r="17" spans="1:9" x14ac:dyDescent="0.25">
      <c r="A17" s="79">
        <v>54108</v>
      </c>
      <c r="B17" s="80" t="s">
        <v>95</v>
      </c>
      <c r="C17" s="395"/>
      <c r="D17" s="395"/>
      <c r="E17" s="395"/>
      <c r="F17" s="395">
        <v>1000</v>
      </c>
      <c r="G17" s="81">
        <f t="shared" si="6"/>
        <v>1000</v>
      </c>
      <c r="H17" s="81"/>
      <c r="I17" s="82">
        <f t="shared" si="5"/>
        <v>1000</v>
      </c>
    </row>
    <row r="18" spans="1:9" x14ac:dyDescent="0.25">
      <c r="A18" s="79">
        <v>54109</v>
      </c>
      <c r="B18" s="80" t="s">
        <v>96</v>
      </c>
      <c r="C18" s="395">
        <v>750</v>
      </c>
      <c r="D18" s="395"/>
      <c r="E18" s="395"/>
      <c r="F18" s="395">
        <v>2250</v>
      </c>
      <c r="G18" s="81">
        <f t="shared" si="6"/>
        <v>3000</v>
      </c>
      <c r="H18" s="81"/>
      <c r="I18" s="82">
        <f t="shared" si="5"/>
        <v>3000</v>
      </c>
    </row>
    <row r="19" spans="1:9" x14ac:dyDescent="0.25">
      <c r="A19" s="79">
        <v>54110</v>
      </c>
      <c r="B19" s="80" t="s">
        <v>97</v>
      </c>
      <c r="C19" s="395"/>
      <c r="D19" s="395"/>
      <c r="E19" s="395"/>
      <c r="F19" s="395">
        <v>45000</v>
      </c>
      <c r="G19" s="81">
        <f t="shared" si="6"/>
        <v>45000</v>
      </c>
      <c r="H19" s="81"/>
      <c r="I19" s="82">
        <f t="shared" si="5"/>
        <v>45000</v>
      </c>
    </row>
    <row r="20" spans="1:9" x14ac:dyDescent="0.25">
      <c r="A20" s="79">
        <v>54111</v>
      </c>
      <c r="B20" s="80" t="s">
        <v>205</v>
      </c>
      <c r="C20" s="395">
        <v>4000</v>
      </c>
      <c r="D20" s="395"/>
      <c r="E20" s="395">
        <v>443</v>
      </c>
      <c r="F20" s="395">
        <f>+'[3]grupo por linea'!$AW$107</f>
        <v>50.400000000000006</v>
      </c>
      <c r="G20" s="81">
        <f t="shared" si="6"/>
        <v>4493.3999999999996</v>
      </c>
      <c r="H20" s="81"/>
      <c r="I20" s="82">
        <f t="shared" si="5"/>
        <v>4493.3999999999996</v>
      </c>
    </row>
    <row r="21" spans="1:9" x14ac:dyDescent="0.25">
      <c r="A21" s="79">
        <v>54112</v>
      </c>
      <c r="B21" s="80" t="s">
        <v>206</v>
      </c>
      <c r="C21" s="395"/>
      <c r="D21" s="395"/>
      <c r="E21" s="395">
        <v>500</v>
      </c>
      <c r="F21" s="395">
        <v>500</v>
      </c>
      <c r="G21" s="81">
        <f t="shared" si="6"/>
        <v>1000</v>
      </c>
      <c r="H21" s="81"/>
      <c r="I21" s="82">
        <f t="shared" si="5"/>
        <v>1000</v>
      </c>
    </row>
    <row r="22" spans="1:9" x14ac:dyDescent="0.25">
      <c r="A22" s="79">
        <v>54114</v>
      </c>
      <c r="B22" s="80" t="s">
        <v>100</v>
      </c>
      <c r="C22" s="395">
        <f>+'[3]grupo por linea'!$O$147</f>
        <v>528.14</v>
      </c>
      <c r="D22" s="395">
        <f>+'[3]grupo por linea'!$W$147</f>
        <v>1182.7200000000003</v>
      </c>
      <c r="E22" s="395">
        <f>+'[3]grupo por linea'!$AB$147</f>
        <v>107.45000000000002</v>
      </c>
      <c r="F22" s="395">
        <f>+'[3]grupo por linea'!$AW$147</f>
        <v>4461.6799999999985</v>
      </c>
      <c r="G22" s="81">
        <f t="shared" si="6"/>
        <v>6279.9899999999989</v>
      </c>
      <c r="H22" s="81"/>
      <c r="I22" s="82">
        <f t="shared" si="5"/>
        <v>6279.9899999999989</v>
      </c>
    </row>
    <row r="23" spans="1:9" x14ac:dyDescent="0.25">
      <c r="A23" s="79">
        <v>54115</v>
      </c>
      <c r="B23" s="80" t="s">
        <v>101</v>
      </c>
      <c r="C23" s="395">
        <f>+'[3]grupo por linea'!$O$166</f>
        <v>781.75</v>
      </c>
      <c r="D23" s="395">
        <f>+'[3]grupo por linea'!$W$166</f>
        <v>3827.1</v>
      </c>
      <c r="E23" s="395">
        <f>+'[3]grupo por linea'!$AB$166</f>
        <v>1052.25</v>
      </c>
      <c r="F23" s="395">
        <f>+'[3]grupo por linea'!$AW$166</f>
        <v>4619.75</v>
      </c>
      <c r="G23" s="81">
        <f t="shared" si="6"/>
        <v>10280.85</v>
      </c>
      <c r="H23" s="81"/>
      <c r="I23" s="82">
        <f t="shared" si="5"/>
        <v>10280.85</v>
      </c>
    </row>
    <row r="24" spans="1:9" x14ac:dyDescent="0.25">
      <c r="A24" s="79">
        <v>54116</v>
      </c>
      <c r="B24" s="80" t="s">
        <v>207</v>
      </c>
      <c r="C24" s="395"/>
      <c r="D24" s="395"/>
      <c r="E24" s="395"/>
      <c r="F24" s="395"/>
      <c r="G24" s="81">
        <f t="shared" si="6"/>
        <v>0</v>
      </c>
      <c r="H24" s="81"/>
      <c r="I24" s="82">
        <f t="shared" si="5"/>
        <v>0</v>
      </c>
    </row>
    <row r="25" spans="1:9" x14ac:dyDescent="0.25">
      <c r="A25" s="79">
        <v>54117</v>
      </c>
      <c r="B25" s="80" t="s">
        <v>102</v>
      </c>
      <c r="C25" s="395">
        <f>+'[3]grupo por linea'!$O$173</f>
        <v>1000</v>
      </c>
      <c r="D25" s="395">
        <f>+'[3]grupo por linea'!$W$173</f>
        <v>0</v>
      </c>
      <c r="E25" s="395">
        <f>+'[3]grupo por linea'!$AB$173</f>
        <v>0</v>
      </c>
      <c r="F25" s="395">
        <f>+'[3]grupo por linea'!$AW$173</f>
        <v>3357.5</v>
      </c>
      <c r="G25" s="81">
        <f t="shared" si="6"/>
        <v>4357.5</v>
      </c>
      <c r="H25" s="81"/>
      <c r="I25" s="82">
        <f t="shared" si="5"/>
        <v>4357.5</v>
      </c>
    </row>
    <row r="26" spans="1:9" x14ac:dyDescent="0.25">
      <c r="A26" s="79">
        <v>54118</v>
      </c>
      <c r="B26" s="80" t="s">
        <v>208</v>
      </c>
      <c r="C26" s="395">
        <f>+'[3]grupo por linea'!$O$201</f>
        <v>190</v>
      </c>
      <c r="D26" s="395">
        <f>+'[3]grupo por linea'!$W$201</f>
        <v>0</v>
      </c>
      <c r="E26" s="395">
        <f>+'[3]grupo por linea'!$AB$201</f>
        <v>0</v>
      </c>
      <c r="F26" s="395">
        <f>+'[3]grupo por linea'!$AW$201</f>
        <v>6414.2000000000007</v>
      </c>
      <c r="G26" s="81">
        <f t="shared" si="6"/>
        <v>6604.2000000000007</v>
      </c>
      <c r="H26" s="81"/>
      <c r="I26" s="82">
        <f t="shared" si="5"/>
        <v>6604.2000000000007</v>
      </c>
    </row>
    <row r="27" spans="1:9" x14ac:dyDescent="0.25">
      <c r="A27" s="79">
        <v>54119</v>
      </c>
      <c r="B27" s="80" t="s">
        <v>104</v>
      </c>
      <c r="C27" s="395">
        <f>+'[3]grupo por linea'!$O$211</f>
        <v>0</v>
      </c>
      <c r="D27" s="395">
        <f>+'[3]grupo por linea'!$W$211</f>
        <v>0</v>
      </c>
      <c r="E27" s="395">
        <f>+'[3]grupo por linea'!$AB$211</f>
        <v>0</v>
      </c>
      <c r="F27" s="395">
        <f>+'[3]grupo por linea'!$AW$211</f>
        <v>1473.5</v>
      </c>
      <c r="G27" s="81">
        <f t="shared" si="6"/>
        <v>1473.5</v>
      </c>
      <c r="H27" s="81"/>
      <c r="I27" s="82">
        <f t="shared" si="5"/>
        <v>1473.5</v>
      </c>
    </row>
    <row r="28" spans="1:9" x14ac:dyDescent="0.25">
      <c r="A28" s="79">
        <v>54121</v>
      </c>
      <c r="B28" s="80" t="s">
        <v>105</v>
      </c>
      <c r="C28" s="395"/>
      <c r="D28" s="395">
        <v>30000</v>
      </c>
      <c r="E28" s="395"/>
      <c r="F28" s="395"/>
      <c r="G28" s="81">
        <f t="shared" si="6"/>
        <v>30000</v>
      </c>
      <c r="H28" s="81"/>
      <c r="I28" s="82">
        <f t="shared" si="5"/>
        <v>30000</v>
      </c>
    </row>
    <row r="29" spans="1:9" x14ac:dyDescent="0.25">
      <c r="A29" s="79">
        <v>54199</v>
      </c>
      <c r="B29" s="80" t="s">
        <v>209</v>
      </c>
      <c r="C29" s="395">
        <f>+'[3]grupo por linea'!$O$230</f>
        <v>36.72</v>
      </c>
      <c r="D29" s="395">
        <f>+'[3]grupo por linea'!$W$230</f>
        <v>50.64</v>
      </c>
      <c r="E29" s="395">
        <f>+'[3]grupo por linea'!$AB$230</f>
        <v>0</v>
      </c>
      <c r="F29" s="395">
        <f>+'[3]grupo por linea'!$AW$230</f>
        <v>5590.88</v>
      </c>
      <c r="G29" s="81">
        <f t="shared" si="6"/>
        <v>5678.24</v>
      </c>
      <c r="H29" s="81">
        <v>0</v>
      </c>
      <c r="I29" s="82">
        <f t="shared" si="5"/>
        <v>5678.24</v>
      </c>
    </row>
    <row r="30" spans="1:9" x14ac:dyDescent="0.25">
      <c r="A30" s="192">
        <v>542</v>
      </c>
      <c r="B30" s="193" t="s">
        <v>47</v>
      </c>
      <c r="C30" s="389">
        <f>SUM(C31:C35)</f>
        <v>0</v>
      </c>
      <c r="D30" s="549">
        <f>SUM(D31:D35)</f>
        <v>355708.70999999996</v>
      </c>
      <c r="E30" s="549">
        <f>SUM(E31:E35)</f>
        <v>0</v>
      </c>
      <c r="F30" s="549">
        <f>SUM(F31:F35)</f>
        <v>0</v>
      </c>
      <c r="G30" s="189">
        <f t="shared" ref="G30:I30" si="7">SUM(G31:G35)</f>
        <v>355708.70999999996</v>
      </c>
      <c r="H30" s="189">
        <f t="shared" si="7"/>
        <v>221587.24</v>
      </c>
      <c r="I30" s="199">
        <f t="shared" si="7"/>
        <v>134121.47</v>
      </c>
    </row>
    <row r="31" spans="1:9" x14ac:dyDescent="0.25">
      <c r="A31" s="79">
        <v>54201</v>
      </c>
      <c r="B31" s="80" t="s">
        <v>107</v>
      </c>
      <c r="C31" s="390"/>
      <c r="D31" s="213">
        <v>209708.71</v>
      </c>
      <c r="E31" s="213"/>
      <c r="F31" s="213">
        <v>0</v>
      </c>
      <c r="G31" s="81">
        <f>SUM(C31:F31)</f>
        <v>209708.71</v>
      </c>
      <c r="H31" s="81">
        <v>165587.24</v>
      </c>
      <c r="I31" s="82">
        <v>44121.47</v>
      </c>
    </row>
    <row r="32" spans="1:9" x14ac:dyDescent="0.25">
      <c r="A32" s="79">
        <v>54202</v>
      </c>
      <c r="B32" s="80" t="s">
        <v>108</v>
      </c>
      <c r="C32" s="390"/>
      <c r="D32" s="213">
        <v>5000</v>
      </c>
      <c r="E32" s="213"/>
      <c r="F32" s="81"/>
      <c r="G32" s="81">
        <f t="shared" ref="G32:G35" si="8">SUM(C32:F32)</f>
        <v>5000</v>
      </c>
      <c r="H32" s="81">
        <v>0</v>
      </c>
      <c r="I32" s="81">
        <v>5000</v>
      </c>
    </row>
    <row r="33" spans="1:9" x14ac:dyDescent="0.25">
      <c r="A33" s="79">
        <v>54203</v>
      </c>
      <c r="B33" s="80" t="s">
        <v>109</v>
      </c>
      <c r="C33" s="390"/>
      <c r="D33" s="213">
        <v>55000</v>
      </c>
      <c r="E33" s="213"/>
      <c r="F33" s="81"/>
      <c r="G33" s="81">
        <f t="shared" si="8"/>
        <v>55000</v>
      </c>
      <c r="H33" s="81">
        <v>20000</v>
      </c>
      <c r="I33" s="81">
        <v>35000</v>
      </c>
    </row>
    <row r="34" spans="1:9" x14ac:dyDescent="0.25">
      <c r="A34" s="79">
        <v>54204</v>
      </c>
      <c r="B34" s="80" t="s">
        <v>210</v>
      </c>
      <c r="C34" s="390"/>
      <c r="D34" s="213"/>
      <c r="E34" s="213"/>
      <c r="F34" s="213"/>
      <c r="G34" s="81">
        <f t="shared" si="8"/>
        <v>0</v>
      </c>
      <c r="H34" s="81"/>
      <c r="I34" s="81"/>
    </row>
    <row r="35" spans="1:9" x14ac:dyDescent="0.25">
      <c r="A35" s="79">
        <v>54205</v>
      </c>
      <c r="B35" s="80" t="s">
        <v>30</v>
      </c>
      <c r="C35" s="390"/>
      <c r="D35" s="213">
        <v>86000</v>
      </c>
      <c r="E35" s="213"/>
      <c r="F35" s="81"/>
      <c r="G35" s="81">
        <f t="shared" si="8"/>
        <v>86000</v>
      </c>
      <c r="H35" s="81">
        <v>36000</v>
      </c>
      <c r="I35" s="81">
        <v>50000</v>
      </c>
    </row>
    <row r="36" spans="1:9" x14ac:dyDescent="0.25">
      <c r="A36" s="192">
        <v>543</v>
      </c>
      <c r="B36" s="193" t="s">
        <v>211</v>
      </c>
      <c r="C36" s="189">
        <f>SUM(C37:C51)</f>
        <v>30600</v>
      </c>
      <c r="D36" s="189">
        <f t="shared" ref="D36:I36" si="9">SUM(D37:D51)</f>
        <v>10705</v>
      </c>
      <c r="E36" s="189">
        <f t="shared" si="9"/>
        <v>1310</v>
      </c>
      <c r="F36" s="189">
        <f t="shared" si="9"/>
        <v>40128.880000000005</v>
      </c>
      <c r="G36" s="189">
        <f t="shared" si="9"/>
        <v>82743.88</v>
      </c>
      <c r="H36" s="189">
        <f t="shared" si="9"/>
        <v>0</v>
      </c>
      <c r="I36" s="199">
        <f t="shared" si="9"/>
        <v>82743.88</v>
      </c>
    </row>
    <row r="37" spans="1:9" x14ac:dyDescent="0.25">
      <c r="A37" s="79">
        <v>54301</v>
      </c>
      <c r="B37" s="80" t="s">
        <v>212</v>
      </c>
      <c r="C37" s="395">
        <f>+'[3]grupo por linea'!$O$233</f>
        <v>600</v>
      </c>
      <c r="D37" s="395">
        <f>+'[3]grupo por linea'!$W$233</f>
        <v>2205</v>
      </c>
      <c r="E37" s="395">
        <f>+'[3]grupo por linea'!$AB$233</f>
        <v>1310</v>
      </c>
      <c r="F37" s="395">
        <f>+'[3]grupo por linea'!$AW$233</f>
        <v>2550</v>
      </c>
      <c r="G37" s="81">
        <f>SUM(C37:F37)</f>
        <v>6665</v>
      </c>
      <c r="H37" s="81"/>
      <c r="I37" s="82">
        <v>6665</v>
      </c>
    </row>
    <row r="38" spans="1:9" x14ac:dyDescent="0.25">
      <c r="A38" s="79">
        <v>54302</v>
      </c>
      <c r="B38" s="80" t="s">
        <v>213</v>
      </c>
      <c r="C38" s="395">
        <v>1000</v>
      </c>
      <c r="D38" s="395"/>
      <c r="E38" s="395"/>
      <c r="F38" s="395">
        <v>12000</v>
      </c>
      <c r="G38" s="81">
        <f t="shared" ref="G38:G51" si="10">SUM(C38:F38)</f>
        <v>13000</v>
      </c>
      <c r="H38" s="81"/>
      <c r="I38" s="82">
        <v>13000</v>
      </c>
    </row>
    <row r="39" spans="1:9" x14ac:dyDescent="0.25">
      <c r="A39" s="79">
        <v>54303</v>
      </c>
      <c r="B39" s="80" t="s">
        <v>214</v>
      </c>
      <c r="C39" s="395">
        <v>1000</v>
      </c>
      <c r="D39" s="395"/>
      <c r="E39" s="395"/>
      <c r="F39" s="395">
        <v>3362.88</v>
      </c>
      <c r="G39" s="81">
        <f t="shared" si="10"/>
        <v>4362.88</v>
      </c>
      <c r="H39" s="81"/>
      <c r="I39" s="82">
        <v>4362.88</v>
      </c>
    </row>
    <row r="40" spans="1:9" x14ac:dyDescent="0.25">
      <c r="A40" s="79">
        <v>54304</v>
      </c>
      <c r="B40" s="80" t="s">
        <v>115</v>
      </c>
      <c r="C40" s="395">
        <v>2000</v>
      </c>
      <c r="D40" s="395"/>
      <c r="E40" s="395"/>
      <c r="F40" s="395">
        <v>3000</v>
      </c>
      <c r="G40" s="81">
        <f t="shared" si="10"/>
        <v>5000</v>
      </c>
      <c r="H40" s="81">
        <v>0</v>
      </c>
      <c r="I40" s="82">
        <v>5000</v>
      </c>
    </row>
    <row r="41" spans="1:9" x14ac:dyDescent="0.25">
      <c r="A41" s="79">
        <v>54305</v>
      </c>
      <c r="B41" s="80" t="s">
        <v>116</v>
      </c>
      <c r="C41" s="395">
        <v>5000</v>
      </c>
      <c r="D41" s="395"/>
      <c r="E41" s="395"/>
      <c r="F41" s="395">
        <v>3000</v>
      </c>
      <c r="G41" s="81">
        <f t="shared" si="10"/>
        <v>8000</v>
      </c>
      <c r="H41" s="81"/>
      <c r="I41" s="82">
        <v>8000</v>
      </c>
    </row>
    <row r="42" spans="1:9" x14ac:dyDescent="0.25">
      <c r="A42" s="79">
        <v>54306</v>
      </c>
      <c r="B42" s="80" t="s">
        <v>215</v>
      </c>
      <c r="C42" s="395"/>
      <c r="D42" s="395"/>
      <c r="E42" s="395"/>
      <c r="F42" s="395"/>
      <c r="G42" s="81">
        <f t="shared" si="10"/>
        <v>0</v>
      </c>
      <c r="H42" s="81"/>
      <c r="I42" s="82"/>
    </row>
    <row r="43" spans="1:9" x14ac:dyDescent="0.25">
      <c r="A43" s="79">
        <v>54307</v>
      </c>
      <c r="B43" s="80" t="s">
        <v>216</v>
      </c>
      <c r="C43" s="395"/>
      <c r="D43" s="395"/>
      <c r="E43" s="395"/>
      <c r="F43" s="395"/>
      <c r="G43" s="81">
        <f t="shared" si="10"/>
        <v>0</v>
      </c>
      <c r="H43" s="81"/>
      <c r="I43" s="82"/>
    </row>
    <row r="44" spans="1:9" x14ac:dyDescent="0.25">
      <c r="A44" s="79">
        <v>54309</v>
      </c>
      <c r="B44" s="80" t="s">
        <v>217</v>
      </c>
      <c r="C44" s="395"/>
      <c r="D44" s="395"/>
      <c r="E44" s="395"/>
      <c r="F44" s="395"/>
      <c r="G44" s="81">
        <f t="shared" si="10"/>
        <v>0</v>
      </c>
      <c r="H44" s="81"/>
      <c r="I44" s="82"/>
    </row>
    <row r="45" spans="1:9" x14ac:dyDescent="0.25">
      <c r="A45" s="79">
        <v>54310</v>
      </c>
      <c r="B45" s="80" t="s">
        <v>117</v>
      </c>
      <c r="C45" s="395">
        <v>3000</v>
      </c>
      <c r="D45" s="395"/>
      <c r="E45" s="395"/>
      <c r="F45" s="395">
        <v>5000</v>
      </c>
      <c r="G45" s="81">
        <f t="shared" si="10"/>
        <v>8000</v>
      </c>
      <c r="H45" s="81"/>
      <c r="I45" s="82">
        <v>8000</v>
      </c>
    </row>
    <row r="46" spans="1:9" x14ac:dyDescent="0.25">
      <c r="A46" s="79">
        <v>54311</v>
      </c>
      <c r="B46" s="80" t="s">
        <v>118</v>
      </c>
      <c r="C46" s="395">
        <v>2000</v>
      </c>
      <c r="D46" s="395"/>
      <c r="E46" s="395"/>
      <c r="F46" s="395"/>
      <c r="G46" s="81">
        <f t="shared" si="10"/>
        <v>2000</v>
      </c>
      <c r="H46" s="81"/>
      <c r="I46" s="82">
        <v>2000</v>
      </c>
    </row>
    <row r="47" spans="1:9" x14ac:dyDescent="0.25">
      <c r="A47" s="79">
        <v>54313</v>
      </c>
      <c r="B47" s="80" t="s">
        <v>218</v>
      </c>
      <c r="C47" s="395">
        <v>1000</v>
      </c>
      <c r="D47" s="395"/>
      <c r="E47" s="395"/>
      <c r="F47" s="395">
        <f>+'[3]grupo por linea'!$AW$241</f>
        <v>216</v>
      </c>
      <c r="G47" s="81">
        <f t="shared" si="10"/>
        <v>1216</v>
      </c>
      <c r="H47" s="81"/>
      <c r="I47" s="82">
        <v>1216</v>
      </c>
    </row>
    <row r="48" spans="1:9" x14ac:dyDescent="0.25">
      <c r="A48" s="79">
        <v>54314</v>
      </c>
      <c r="B48" s="80" t="s">
        <v>120</v>
      </c>
      <c r="C48" s="395">
        <v>5000</v>
      </c>
      <c r="D48" s="395"/>
      <c r="E48" s="395"/>
      <c r="F48" s="395"/>
      <c r="G48" s="81">
        <f t="shared" si="10"/>
        <v>5000</v>
      </c>
      <c r="H48" s="81"/>
      <c r="I48" s="82">
        <v>5000</v>
      </c>
    </row>
    <row r="49" spans="1:9" x14ac:dyDescent="0.25">
      <c r="A49" s="79">
        <v>54316</v>
      </c>
      <c r="B49" s="80" t="s">
        <v>121</v>
      </c>
      <c r="C49" s="395">
        <v>1500</v>
      </c>
      <c r="D49" s="395"/>
      <c r="E49" s="395"/>
      <c r="F49" s="395">
        <v>4500</v>
      </c>
      <c r="G49" s="81">
        <f t="shared" si="10"/>
        <v>6000</v>
      </c>
      <c r="H49" s="81"/>
      <c r="I49" s="82">
        <v>6000</v>
      </c>
    </row>
    <row r="50" spans="1:9" x14ac:dyDescent="0.25">
      <c r="A50" s="79">
        <v>54317</v>
      </c>
      <c r="B50" s="80" t="s">
        <v>122</v>
      </c>
      <c r="C50" s="395">
        <v>3500</v>
      </c>
      <c r="D50" s="395">
        <v>3500</v>
      </c>
      <c r="E50" s="395"/>
      <c r="F50" s="395">
        <v>1500</v>
      </c>
      <c r="G50" s="81">
        <f t="shared" si="10"/>
        <v>8500</v>
      </c>
      <c r="H50" s="81"/>
      <c r="I50" s="82">
        <v>8500</v>
      </c>
    </row>
    <row r="51" spans="1:9" x14ac:dyDescent="0.25">
      <c r="A51" s="79">
        <v>54399</v>
      </c>
      <c r="B51" s="80" t="s">
        <v>219</v>
      </c>
      <c r="C51" s="395">
        <v>5000</v>
      </c>
      <c r="D51" s="395">
        <v>5000</v>
      </c>
      <c r="E51" s="395"/>
      <c r="F51" s="395">
        <v>5000</v>
      </c>
      <c r="G51" s="81">
        <f t="shared" si="10"/>
        <v>15000</v>
      </c>
      <c r="H51" s="81"/>
      <c r="I51" s="82">
        <v>15000</v>
      </c>
    </row>
    <row r="52" spans="1:9" x14ac:dyDescent="0.25">
      <c r="A52" s="192">
        <v>544</v>
      </c>
      <c r="B52" s="193" t="s">
        <v>124</v>
      </c>
      <c r="C52" s="549">
        <f>SUM(C53:C56)</f>
        <v>0</v>
      </c>
      <c r="D52" s="549">
        <f>SUM(D53:D56)</f>
        <v>0</v>
      </c>
      <c r="E52" s="549">
        <f>SUM(E53:E56)</f>
        <v>0</v>
      </c>
      <c r="F52" s="549">
        <f>SUM(F53:F56)</f>
        <v>1000</v>
      </c>
      <c r="G52" s="189">
        <f t="shared" ref="G52:I52" si="11">SUM(G53:G56)</f>
        <v>1000</v>
      </c>
      <c r="H52" s="189">
        <f t="shared" si="11"/>
        <v>0</v>
      </c>
      <c r="I52" s="199">
        <f t="shared" si="11"/>
        <v>1000</v>
      </c>
    </row>
    <row r="53" spans="1:9" x14ac:dyDescent="0.25">
      <c r="A53" s="79">
        <v>54401</v>
      </c>
      <c r="B53" s="80" t="s">
        <v>220</v>
      </c>
      <c r="C53" s="213"/>
      <c r="D53" s="213"/>
      <c r="E53" s="213"/>
      <c r="F53" s="213"/>
      <c r="G53" s="197">
        <f>SUM(C53:F53)</f>
        <v>0</v>
      </c>
      <c r="H53" s="81"/>
      <c r="I53" s="82"/>
    </row>
    <row r="54" spans="1:9" x14ac:dyDescent="0.25">
      <c r="A54" s="79">
        <v>54402</v>
      </c>
      <c r="B54" s="80" t="s">
        <v>221</v>
      </c>
      <c r="C54" s="213"/>
      <c r="D54" s="213"/>
      <c r="E54" s="213"/>
      <c r="F54" s="213"/>
      <c r="G54" s="197">
        <f t="shared" ref="G54:G56" si="12">SUM(C54:F54)</f>
        <v>0</v>
      </c>
      <c r="H54" s="81"/>
      <c r="I54" s="82"/>
    </row>
    <row r="55" spans="1:9" x14ac:dyDescent="0.25">
      <c r="A55" s="79">
        <v>54403</v>
      </c>
      <c r="B55" s="80" t="s">
        <v>125</v>
      </c>
      <c r="C55" s="213"/>
      <c r="D55" s="213">
        <v>0</v>
      </c>
      <c r="E55" s="213"/>
      <c r="F55" s="213">
        <v>1000</v>
      </c>
      <c r="G55" s="197">
        <f t="shared" si="12"/>
        <v>1000</v>
      </c>
      <c r="H55" s="81"/>
      <c r="I55" s="82">
        <v>1000</v>
      </c>
    </row>
    <row r="56" spans="1:9" x14ac:dyDescent="0.25">
      <c r="A56" s="79">
        <v>54404</v>
      </c>
      <c r="B56" s="80" t="s">
        <v>222</v>
      </c>
      <c r="C56" s="213"/>
      <c r="D56" s="213"/>
      <c r="E56" s="213"/>
      <c r="F56" s="213"/>
      <c r="G56" s="197">
        <f t="shared" si="12"/>
        <v>0</v>
      </c>
      <c r="H56" s="81"/>
      <c r="I56" s="82"/>
    </row>
    <row r="57" spans="1:9" x14ac:dyDescent="0.25">
      <c r="A57" s="192">
        <v>545</v>
      </c>
      <c r="B57" s="193" t="s">
        <v>223</v>
      </c>
      <c r="C57" s="549">
        <f t="shared" ref="C57:E57" si="13">SUM(C58:C64)</f>
        <v>7500</v>
      </c>
      <c r="D57" s="549">
        <f t="shared" si="13"/>
        <v>0</v>
      </c>
      <c r="E57" s="549">
        <f t="shared" si="13"/>
        <v>0</v>
      </c>
      <c r="F57" s="549"/>
      <c r="G57" s="189">
        <f t="shared" ref="G57:I57" si="14">SUM(G58:G64)</f>
        <v>7500</v>
      </c>
      <c r="H57" s="189">
        <f t="shared" si="14"/>
        <v>0</v>
      </c>
      <c r="I57" s="199">
        <f t="shared" si="14"/>
        <v>7500</v>
      </c>
    </row>
    <row r="58" spans="1:9" x14ac:dyDescent="0.25">
      <c r="A58" s="79">
        <v>54501</v>
      </c>
      <c r="B58" s="80" t="s">
        <v>224</v>
      </c>
      <c r="C58" s="81"/>
      <c r="D58" s="213"/>
      <c r="E58" s="213"/>
      <c r="F58" s="213"/>
      <c r="G58" s="81">
        <f>SUM(C58:F58)</f>
        <v>0</v>
      </c>
      <c r="H58" s="81"/>
      <c r="I58" s="82"/>
    </row>
    <row r="59" spans="1:9" x14ac:dyDescent="0.25">
      <c r="A59" s="79">
        <v>54503</v>
      </c>
      <c r="B59" s="80" t="s">
        <v>127</v>
      </c>
      <c r="C59" s="81">
        <v>500</v>
      </c>
      <c r="D59" s="213"/>
      <c r="E59" s="213"/>
      <c r="F59" s="213"/>
      <c r="G59" s="81">
        <f>SUM(C59:F59)</f>
        <v>500</v>
      </c>
      <c r="H59" s="81"/>
      <c r="I59" s="82">
        <v>500</v>
      </c>
    </row>
    <row r="60" spans="1:9" x14ac:dyDescent="0.25">
      <c r="A60" s="79">
        <v>54504</v>
      </c>
      <c r="B60" s="80" t="s">
        <v>128</v>
      </c>
      <c r="C60" s="81">
        <v>5000</v>
      </c>
      <c r="D60" s="213"/>
      <c r="E60" s="213"/>
      <c r="F60" s="213"/>
      <c r="G60" s="81">
        <f t="shared" ref="G60:G67" si="15">SUM(C60:F60)</f>
        <v>5000</v>
      </c>
      <c r="H60" s="81"/>
      <c r="I60" s="82">
        <v>5000</v>
      </c>
    </row>
    <row r="61" spans="1:9" x14ac:dyDescent="0.25">
      <c r="A61" s="79">
        <v>54505</v>
      </c>
      <c r="B61" s="80" t="s">
        <v>225</v>
      </c>
      <c r="C61" s="81">
        <v>0</v>
      </c>
      <c r="D61" s="213"/>
      <c r="E61" s="213"/>
      <c r="F61" s="213"/>
      <c r="G61" s="81">
        <f t="shared" si="15"/>
        <v>0</v>
      </c>
      <c r="H61" s="81"/>
      <c r="I61" s="82"/>
    </row>
    <row r="62" spans="1:9" x14ac:dyDescent="0.25">
      <c r="A62" s="79">
        <v>54507</v>
      </c>
      <c r="B62" s="80" t="s">
        <v>226</v>
      </c>
      <c r="C62" s="81"/>
      <c r="D62" s="213"/>
      <c r="E62" s="213"/>
      <c r="F62" s="213"/>
      <c r="G62" s="81">
        <f t="shared" si="15"/>
        <v>0</v>
      </c>
      <c r="H62" s="81"/>
      <c r="I62" s="82"/>
    </row>
    <row r="63" spans="1:9" x14ac:dyDescent="0.25">
      <c r="A63" s="79">
        <v>54508</v>
      </c>
      <c r="B63" s="80" t="s">
        <v>227</v>
      </c>
      <c r="C63" s="81"/>
      <c r="D63" s="213"/>
      <c r="E63" s="213"/>
      <c r="F63" s="213"/>
      <c r="G63" s="81">
        <f t="shared" si="15"/>
        <v>0</v>
      </c>
      <c r="H63" s="81"/>
      <c r="I63" s="82"/>
    </row>
    <row r="64" spans="1:9" x14ac:dyDescent="0.25">
      <c r="A64" s="79">
        <v>54599</v>
      </c>
      <c r="B64" s="80" t="s">
        <v>228</v>
      </c>
      <c r="C64" s="81">
        <v>2000</v>
      </c>
      <c r="D64" s="213"/>
      <c r="E64" s="213"/>
      <c r="F64" s="213"/>
      <c r="G64" s="81">
        <f t="shared" si="15"/>
        <v>2000</v>
      </c>
      <c r="H64" s="81"/>
      <c r="I64" s="82">
        <v>2000</v>
      </c>
    </row>
    <row r="65" spans="1:9" x14ac:dyDescent="0.25">
      <c r="A65" s="192">
        <v>546</v>
      </c>
      <c r="B65" s="193" t="s">
        <v>229</v>
      </c>
      <c r="C65" s="189">
        <f>SUM(C66)</f>
        <v>0</v>
      </c>
      <c r="D65" s="189">
        <f t="shared" ref="D65:H65" si="16">SUM(D66)</f>
        <v>0</v>
      </c>
      <c r="E65" s="189">
        <f t="shared" si="16"/>
        <v>0</v>
      </c>
      <c r="F65" s="189">
        <f>SUM(F66+F67)</f>
        <v>0</v>
      </c>
      <c r="G65" s="189">
        <f>SUM(G66+G67)</f>
        <v>0</v>
      </c>
      <c r="H65" s="189">
        <f t="shared" si="16"/>
        <v>0</v>
      </c>
      <c r="I65" s="199">
        <f>+I66+I67</f>
        <v>0</v>
      </c>
    </row>
    <row r="66" spans="1:9" x14ac:dyDescent="0.25">
      <c r="A66" s="79">
        <v>54602</v>
      </c>
      <c r="B66" s="80" t="s">
        <v>600</v>
      </c>
      <c r="C66" s="81">
        <v>0</v>
      </c>
      <c r="D66" s="81">
        <v>0</v>
      </c>
      <c r="E66" s="81">
        <v>0</v>
      </c>
      <c r="F66" s="81"/>
      <c r="G66" s="81">
        <f t="shared" si="15"/>
        <v>0</v>
      </c>
      <c r="H66" s="81"/>
      <c r="I66" s="82"/>
    </row>
    <row r="67" spans="1:9" x14ac:dyDescent="0.25">
      <c r="A67" s="79">
        <v>54603</v>
      </c>
      <c r="B67" s="80" t="s">
        <v>230</v>
      </c>
      <c r="C67" s="81"/>
      <c r="D67" s="81"/>
      <c r="E67" s="81"/>
      <c r="F67" s="81"/>
      <c r="G67" s="81">
        <f t="shared" si="15"/>
        <v>0</v>
      </c>
      <c r="H67" s="81"/>
      <c r="I67" s="82"/>
    </row>
    <row r="68" spans="1:9" x14ac:dyDescent="0.25">
      <c r="A68" s="192">
        <v>55</v>
      </c>
      <c r="B68" s="193" t="s">
        <v>129</v>
      </c>
      <c r="C68" s="189">
        <f>+C69+C74+C78</f>
        <v>0</v>
      </c>
      <c r="D68" s="189">
        <f t="shared" ref="D68:F68" si="17">+D69+D74+D78</f>
        <v>19145.48</v>
      </c>
      <c r="E68" s="189">
        <f t="shared" si="17"/>
        <v>0</v>
      </c>
      <c r="F68" s="189">
        <f t="shared" si="17"/>
        <v>0</v>
      </c>
      <c r="G68" s="189">
        <f t="shared" ref="G68" si="18">+G69+G74+G78</f>
        <v>19145.48</v>
      </c>
      <c r="H68" s="189">
        <f t="shared" ref="H68:I68" si="19">+H69+H74+H78</f>
        <v>200</v>
      </c>
      <c r="I68" s="199">
        <f t="shared" si="19"/>
        <v>18945.48</v>
      </c>
    </row>
    <row r="69" spans="1:9" x14ac:dyDescent="0.25">
      <c r="A69" s="192">
        <v>553</v>
      </c>
      <c r="B69" s="193" t="s">
        <v>231</v>
      </c>
      <c r="C69" s="189">
        <f>SUM(C70:C73)</f>
        <v>0</v>
      </c>
      <c r="D69" s="189">
        <f t="shared" ref="D69:G69" si="20">SUM(D70:D73)</f>
        <v>0</v>
      </c>
      <c r="E69" s="189">
        <f t="shared" si="20"/>
        <v>0</v>
      </c>
      <c r="F69" s="189">
        <f t="shared" si="20"/>
        <v>0</v>
      </c>
      <c r="G69" s="189">
        <f t="shared" si="20"/>
        <v>0</v>
      </c>
      <c r="H69" s="189">
        <f t="shared" ref="H69:I69" si="21">SUM(H70:H73)</f>
        <v>0</v>
      </c>
      <c r="I69" s="199">
        <f t="shared" si="21"/>
        <v>0</v>
      </c>
    </row>
    <row r="70" spans="1:9" x14ac:dyDescent="0.25">
      <c r="A70" s="79">
        <v>55302</v>
      </c>
      <c r="B70" s="80" t="s">
        <v>232</v>
      </c>
      <c r="C70" s="81"/>
      <c r="D70" s="81"/>
      <c r="E70" s="81"/>
      <c r="F70" s="81"/>
      <c r="G70" s="81">
        <f>SUM(C70:F70)</f>
        <v>0</v>
      </c>
      <c r="H70" s="81">
        <f>+G70</f>
        <v>0</v>
      </c>
      <c r="I70" s="82"/>
    </row>
    <row r="71" spans="1:9" x14ac:dyDescent="0.25">
      <c r="A71" s="79">
        <v>55303</v>
      </c>
      <c r="B71" s="80" t="s">
        <v>233</v>
      </c>
      <c r="C71" s="81"/>
      <c r="D71" s="81"/>
      <c r="E71" s="81"/>
      <c r="F71" s="81"/>
      <c r="G71" s="81">
        <f>SUM(C71:F71)</f>
        <v>0</v>
      </c>
      <c r="H71" s="81">
        <f>+G71</f>
        <v>0</v>
      </c>
      <c r="I71" s="82"/>
    </row>
    <row r="72" spans="1:9" x14ac:dyDescent="0.25">
      <c r="A72" s="79">
        <v>55304</v>
      </c>
      <c r="B72" s="80" t="s">
        <v>63</v>
      </c>
      <c r="C72" s="81"/>
      <c r="D72" s="81"/>
      <c r="E72" s="81"/>
      <c r="F72" s="81"/>
      <c r="G72" s="81">
        <f>SUM(C72:F72)</f>
        <v>0</v>
      </c>
      <c r="H72" s="81">
        <f>+G72</f>
        <v>0</v>
      </c>
      <c r="I72" s="82"/>
    </row>
    <row r="73" spans="1:9" x14ac:dyDescent="0.25">
      <c r="A73" s="79">
        <v>55308</v>
      </c>
      <c r="B73" s="80" t="s">
        <v>234</v>
      </c>
      <c r="C73" s="81"/>
      <c r="D73" s="81"/>
      <c r="E73" s="81"/>
      <c r="F73" s="81"/>
      <c r="G73" s="81"/>
      <c r="H73" s="81"/>
      <c r="I73" s="82"/>
    </row>
    <row r="74" spans="1:9" x14ac:dyDescent="0.25">
      <c r="A74" s="192">
        <v>556</v>
      </c>
      <c r="B74" s="193" t="s">
        <v>235</v>
      </c>
      <c r="C74" s="189">
        <f>SUM(C75:C77)</f>
        <v>0</v>
      </c>
      <c r="D74" s="189">
        <f t="shared" ref="D74:I74" si="22">SUM(D75:D77)</f>
        <v>18645.48</v>
      </c>
      <c r="E74" s="189">
        <f t="shared" si="22"/>
        <v>0</v>
      </c>
      <c r="F74" s="189">
        <f t="shared" si="22"/>
        <v>0</v>
      </c>
      <c r="G74" s="189">
        <f t="shared" si="22"/>
        <v>18645.48</v>
      </c>
      <c r="H74" s="189">
        <f t="shared" si="22"/>
        <v>200</v>
      </c>
      <c r="I74" s="199">
        <f t="shared" si="22"/>
        <v>18445.48</v>
      </c>
    </row>
    <row r="75" spans="1:9" x14ac:dyDescent="0.25">
      <c r="A75" s="79">
        <v>55601</v>
      </c>
      <c r="B75" s="80" t="s">
        <v>236</v>
      </c>
      <c r="C75" s="81"/>
      <c r="D75" s="81">
        <v>12000</v>
      </c>
      <c r="E75" s="81"/>
      <c r="F75" s="81"/>
      <c r="G75" s="81">
        <f>SUM(C75:F75)</f>
        <v>12000</v>
      </c>
      <c r="H75" s="81"/>
      <c r="I75" s="82">
        <v>12000</v>
      </c>
    </row>
    <row r="76" spans="1:9" x14ac:dyDescent="0.25">
      <c r="A76" s="79">
        <v>55602</v>
      </c>
      <c r="B76" s="80" t="s">
        <v>134</v>
      </c>
      <c r="C76" s="81"/>
      <c r="D76" s="81">
        <v>6000</v>
      </c>
      <c r="E76" s="81"/>
      <c r="F76" s="81"/>
      <c r="G76" s="81">
        <f>SUM(C76:F76)</f>
        <v>6000</v>
      </c>
      <c r="H76" s="81"/>
      <c r="I76" s="82">
        <v>6000</v>
      </c>
    </row>
    <row r="77" spans="1:9" x14ac:dyDescent="0.25">
      <c r="A77" s="79">
        <v>55603</v>
      </c>
      <c r="B77" s="80" t="s">
        <v>237</v>
      </c>
      <c r="C77" s="81"/>
      <c r="D77" s="81">
        <v>645.48</v>
      </c>
      <c r="E77" s="81"/>
      <c r="F77" s="81"/>
      <c r="G77" s="81">
        <v>645.48</v>
      </c>
      <c r="H77" s="81">
        <v>200</v>
      </c>
      <c r="I77" s="82">
        <v>445.48</v>
      </c>
    </row>
    <row r="78" spans="1:9" x14ac:dyDescent="0.25">
      <c r="A78" s="192">
        <v>557</v>
      </c>
      <c r="B78" s="193" t="s">
        <v>136</v>
      </c>
      <c r="C78" s="189">
        <f>SUM(C79:C81)</f>
        <v>0</v>
      </c>
      <c r="D78" s="189">
        <f t="shared" ref="D78:I78" si="23">SUM(D79:D81)</f>
        <v>500</v>
      </c>
      <c r="E78" s="189">
        <f t="shared" si="23"/>
        <v>0</v>
      </c>
      <c r="F78" s="189">
        <f t="shared" si="23"/>
        <v>0</v>
      </c>
      <c r="G78" s="189">
        <f t="shared" si="23"/>
        <v>500</v>
      </c>
      <c r="H78" s="189">
        <f t="shared" si="23"/>
        <v>0</v>
      </c>
      <c r="I78" s="199">
        <f t="shared" si="23"/>
        <v>500</v>
      </c>
    </row>
    <row r="79" spans="1:9" x14ac:dyDescent="0.25">
      <c r="A79" s="79">
        <v>55701</v>
      </c>
      <c r="B79" s="80" t="s">
        <v>238</v>
      </c>
      <c r="C79" s="81"/>
      <c r="D79" s="81"/>
      <c r="E79" s="81"/>
      <c r="F79" s="81"/>
      <c r="G79" s="81">
        <f t="shared" ref="G79:G81" si="24">SUM(C79:F79)</f>
        <v>0</v>
      </c>
      <c r="H79" s="81"/>
      <c r="I79" s="82"/>
    </row>
    <row r="80" spans="1:9" x14ac:dyDescent="0.25">
      <c r="A80" s="79">
        <v>55702</v>
      </c>
      <c r="B80" s="80" t="s">
        <v>239</v>
      </c>
      <c r="C80" s="81"/>
      <c r="D80" s="81"/>
      <c r="E80" s="81"/>
      <c r="F80" s="81"/>
      <c r="G80" s="81">
        <f t="shared" si="24"/>
        <v>0</v>
      </c>
      <c r="H80" s="81"/>
      <c r="I80" s="82"/>
    </row>
    <row r="81" spans="1:9" x14ac:dyDescent="0.25">
      <c r="A81" s="79">
        <v>55799</v>
      </c>
      <c r="B81" s="80" t="s">
        <v>137</v>
      </c>
      <c r="C81" s="81"/>
      <c r="D81" s="81">
        <v>500</v>
      </c>
      <c r="E81" s="81"/>
      <c r="F81" s="81"/>
      <c r="G81" s="81">
        <f t="shared" si="24"/>
        <v>500</v>
      </c>
      <c r="H81" s="81"/>
      <c r="I81" s="82">
        <v>500</v>
      </c>
    </row>
    <row r="82" spans="1:9" x14ac:dyDescent="0.25">
      <c r="A82" s="79"/>
      <c r="B82" s="80"/>
      <c r="C82" s="81"/>
      <c r="D82" s="81"/>
      <c r="E82" s="81"/>
      <c r="F82" s="81"/>
      <c r="G82" s="81" t="s">
        <v>8</v>
      </c>
      <c r="H82" s="81"/>
      <c r="I82" s="82"/>
    </row>
    <row r="83" spans="1:9" x14ac:dyDescent="0.25">
      <c r="A83" s="192">
        <v>56</v>
      </c>
      <c r="B83" s="193" t="s">
        <v>57</v>
      </c>
      <c r="C83" s="189">
        <f>+C84+C87</f>
        <v>7000</v>
      </c>
      <c r="D83" s="189">
        <f t="shared" ref="D83:G83" si="25">+D84+D87</f>
        <v>11314.16</v>
      </c>
      <c r="E83" s="189">
        <f t="shared" si="25"/>
        <v>0</v>
      </c>
      <c r="F83" s="189">
        <f t="shared" si="25"/>
        <v>0</v>
      </c>
      <c r="G83" s="189">
        <f t="shared" si="25"/>
        <v>18314.16</v>
      </c>
      <c r="H83" s="189">
        <f t="shared" ref="H83:I83" si="26">+H84+H87</f>
        <v>11314.16</v>
      </c>
      <c r="I83" s="199">
        <f t="shared" si="26"/>
        <v>7000</v>
      </c>
    </row>
    <row r="84" spans="1:9" x14ac:dyDescent="0.25">
      <c r="A84" s="192">
        <v>562</v>
      </c>
      <c r="B84" s="193" t="s">
        <v>138</v>
      </c>
      <c r="C84" s="189">
        <f>SUM(C85)</f>
        <v>0</v>
      </c>
      <c r="D84" s="189">
        <f t="shared" ref="D84:I84" si="27">SUM(D85)</f>
        <v>11314.16</v>
      </c>
      <c r="E84" s="189">
        <f t="shared" si="27"/>
        <v>0</v>
      </c>
      <c r="F84" s="189">
        <f t="shared" si="27"/>
        <v>0</v>
      </c>
      <c r="G84" s="189">
        <f t="shared" si="27"/>
        <v>11314.16</v>
      </c>
      <c r="H84" s="189">
        <f t="shared" si="27"/>
        <v>11314.16</v>
      </c>
      <c r="I84" s="199">
        <f t="shared" si="27"/>
        <v>0</v>
      </c>
    </row>
    <row r="85" spans="1:9" x14ac:dyDescent="0.25">
      <c r="A85" s="79">
        <v>56201</v>
      </c>
      <c r="B85" s="80" t="s">
        <v>240</v>
      </c>
      <c r="C85" s="81"/>
      <c r="D85" s="81">
        <v>11314.16</v>
      </c>
      <c r="E85" s="81"/>
      <c r="F85" s="81"/>
      <c r="G85" s="81">
        <f>SUM(C85:F85)</f>
        <v>11314.16</v>
      </c>
      <c r="H85" s="81">
        <v>11314.16</v>
      </c>
      <c r="I85" s="82"/>
    </row>
    <row r="86" spans="1:9" x14ac:dyDescent="0.25">
      <c r="A86" s="79"/>
      <c r="B86" s="80"/>
      <c r="C86" s="81"/>
      <c r="D86" s="81"/>
      <c r="E86" s="81"/>
      <c r="F86" s="81"/>
      <c r="G86" s="81"/>
      <c r="H86" s="81"/>
      <c r="I86" s="82"/>
    </row>
    <row r="87" spans="1:9" x14ac:dyDescent="0.25">
      <c r="A87" s="192">
        <v>563</v>
      </c>
      <c r="B87" s="193" t="s">
        <v>139</v>
      </c>
      <c r="C87" s="189">
        <f>SUM(C88:C90)</f>
        <v>7000</v>
      </c>
      <c r="D87" s="189">
        <f t="shared" ref="D87:I87" si="28">SUM(D88:D90)</f>
        <v>0</v>
      </c>
      <c r="E87" s="189">
        <f t="shared" si="28"/>
        <v>0</v>
      </c>
      <c r="F87" s="189">
        <f t="shared" si="28"/>
        <v>0</v>
      </c>
      <c r="G87" s="189">
        <f t="shared" si="28"/>
        <v>7000</v>
      </c>
      <c r="H87" s="189">
        <f t="shared" si="28"/>
        <v>0</v>
      </c>
      <c r="I87" s="199">
        <f t="shared" si="28"/>
        <v>7000</v>
      </c>
    </row>
    <row r="88" spans="1:9" x14ac:dyDescent="0.25">
      <c r="A88" s="79">
        <v>56303</v>
      </c>
      <c r="B88" s="80" t="s">
        <v>241</v>
      </c>
      <c r="C88" s="81">
        <v>4000</v>
      </c>
      <c r="D88" s="81"/>
      <c r="E88" s="81"/>
      <c r="F88" s="81"/>
      <c r="G88" s="81">
        <f>SUM(C88:F88)</f>
        <v>4000</v>
      </c>
      <c r="H88" s="81"/>
      <c r="I88" s="82">
        <v>4000</v>
      </c>
    </row>
    <row r="89" spans="1:9" x14ac:dyDescent="0.25">
      <c r="A89" s="79">
        <v>56304</v>
      </c>
      <c r="B89" s="80" t="s">
        <v>141</v>
      </c>
      <c r="C89" s="81">
        <v>3000</v>
      </c>
      <c r="D89" s="81"/>
      <c r="E89" s="81"/>
      <c r="F89" s="81"/>
      <c r="G89" s="81">
        <f>SUM(C89:F89)</f>
        <v>3000</v>
      </c>
      <c r="H89" s="81"/>
      <c r="I89" s="82">
        <v>3000</v>
      </c>
    </row>
    <row r="90" spans="1:9" ht="15.75" thickBot="1" x14ac:dyDescent="0.3">
      <c r="A90" s="83">
        <v>56305</v>
      </c>
      <c r="B90" s="84" t="s">
        <v>142</v>
      </c>
      <c r="C90" s="85"/>
      <c r="D90" s="85"/>
      <c r="E90" s="85"/>
      <c r="F90" s="85"/>
      <c r="G90" s="85"/>
      <c r="H90" s="85"/>
      <c r="I90" s="86"/>
    </row>
    <row r="91" spans="1:9" ht="15.75" thickBot="1" x14ac:dyDescent="0.3">
      <c r="A91" s="87"/>
      <c r="B91" s="194" t="s">
        <v>1</v>
      </c>
      <c r="C91" s="195">
        <f>+C9+C68+C83</f>
        <v>63214.9</v>
      </c>
      <c r="D91" s="195">
        <f t="shared" ref="D91:I91" si="29">+D9+D68+D83</f>
        <v>438474.60999999993</v>
      </c>
      <c r="E91" s="195">
        <f t="shared" si="29"/>
        <v>4691.04</v>
      </c>
      <c r="F91" s="195">
        <f t="shared" si="29"/>
        <v>160780.764</v>
      </c>
      <c r="G91" s="195">
        <f t="shared" si="29"/>
        <v>667161.31400000001</v>
      </c>
      <c r="H91" s="195">
        <f t="shared" si="29"/>
        <v>233101.4</v>
      </c>
      <c r="I91" s="196">
        <f t="shared" si="29"/>
        <v>434059.91399999999</v>
      </c>
    </row>
    <row r="92" spans="1:9" x14ac:dyDescent="0.25">
      <c r="A92" s="67"/>
      <c r="B92" s="67"/>
      <c r="C92" s="67"/>
      <c r="D92" s="67"/>
      <c r="E92" s="67"/>
      <c r="F92" s="67"/>
      <c r="G92" s="67"/>
      <c r="H92" s="67"/>
      <c r="I92" s="67"/>
    </row>
  </sheetData>
  <mergeCells count="9">
    <mergeCell ref="H7:I7"/>
    <mergeCell ref="E5:F6"/>
    <mergeCell ref="G7:G8"/>
    <mergeCell ref="A1:I1"/>
    <mergeCell ref="A2:I2"/>
    <mergeCell ref="A3:I3"/>
    <mergeCell ref="A4:I4"/>
    <mergeCell ref="A5:B6"/>
    <mergeCell ref="C5:D6"/>
  </mergeCells>
  <pageMargins left="0.70866141732283472" right="0.70866141732283472" top="0.74803149606299213" bottom="0.74803149606299213" header="0.31496062992125984" footer="0.31496062992125984"/>
  <pageSetup scale="90" fitToHeight="0" orientation="landscape" horizontalDpi="4294967293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0"/>
  <sheetViews>
    <sheetView tabSelected="1" topLeftCell="A3" zoomScale="115" zoomScaleNormal="115" workbookViewId="0">
      <pane xSplit="2" ySplit="5" topLeftCell="C8" activePane="bottomRight" state="frozen"/>
      <selection activeCell="A3" sqref="A3"/>
      <selection pane="topRight" activeCell="C3" sqref="C3"/>
      <selection pane="bottomLeft" activeCell="A8" sqref="A8"/>
      <selection pane="bottomRight" sqref="A1:AB1"/>
    </sheetView>
  </sheetViews>
  <sheetFormatPr baseColWidth="10" defaultRowHeight="15" x14ac:dyDescent="0.25"/>
  <cols>
    <col min="1" max="1" width="4.85546875" customWidth="1"/>
    <col min="2" max="2" width="29.42578125" customWidth="1"/>
    <col min="3" max="3" width="9.140625" bestFit="1" customWidth="1"/>
    <col min="4" max="4" width="9.28515625" bestFit="1" customWidth="1"/>
    <col min="5" max="5" width="9.140625" bestFit="1" customWidth="1"/>
    <col min="6" max="7" width="9.85546875" bestFit="1" customWidth="1"/>
    <col min="8" max="8" width="10.5703125" bestFit="1" customWidth="1"/>
    <col min="9" max="9" width="10.42578125" bestFit="1" customWidth="1"/>
    <col min="10" max="10" width="11.7109375" bestFit="1" customWidth="1"/>
    <col min="11" max="11" width="10" bestFit="1" customWidth="1"/>
    <col min="12" max="12" width="9.5703125" customWidth="1"/>
    <col min="13" max="13" width="10.5703125" bestFit="1" customWidth="1"/>
    <col min="14" max="14" width="9.140625" bestFit="1" customWidth="1"/>
    <col min="15" max="15" width="11.42578125" bestFit="1" customWidth="1"/>
    <col min="16" max="16" width="8.42578125" bestFit="1" customWidth="1"/>
    <col min="17" max="17" width="9.140625" bestFit="1" customWidth="1"/>
    <col min="18" max="18" width="9.85546875" bestFit="1" customWidth="1"/>
    <col min="19" max="19" width="0.140625" customWidth="1"/>
    <col min="20" max="20" width="7.5703125" hidden="1" customWidth="1"/>
    <col min="21" max="21" width="8.42578125" hidden="1" customWidth="1"/>
    <col min="22" max="22" width="9.7109375" hidden="1" customWidth="1"/>
    <col min="23" max="23" width="9" hidden="1" customWidth="1"/>
    <col min="24" max="24" width="6" hidden="1" customWidth="1"/>
    <col min="25" max="25" width="9.7109375" hidden="1" customWidth="1"/>
    <col min="26" max="26" width="9" hidden="1" customWidth="1"/>
    <col min="27" max="27" width="5.5703125" hidden="1" customWidth="1"/>
    <col min="28" max="28" width="9.85546875" bestFit="1" customWidth="1"/>
  </cols>
  <sheetData>
    <row r="1" spans="1:29" x14ac:dyDescent="0.25">
      <c r="A1" s="654" t="s">
        <v>816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  <c r="W1" s="654"/>
      <c r="X1" s="654"/>
      <c r="Y1" s="654"/>
      <c r="Z1" s="654"/>
      <c r="AA1" s="654"/>
      <c r="AB1" s="654"/>
    </row>
    <row r="2" spans="1:29" ht="17.25" thickBot="1" x14ac:dyDescent="0.35">
      <c r="A2" s="653" t="s">
        <v>510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1"/>
    </row>
    <row r="3" spans="1:29" ht="17.25" thickBot="1" x14ac:dyDescent="0.35">
      <c r="A3" s="634" t="s">
        <v>172</v>
      </c>
      <c r="B3" s="636" t="s">
        <v>173</v>
      </c>
      <c r="C3" s="639" t="s">
        <v>432</v>
      </c>
      <c r="D3" s="640"/>
      <c r="E3" s="640"/>
      <c r="F3" s="640"/>
      <c r="G3" s="640"/>
      <c r="H3" s="640"/>
      <c r="I3" s="640"/>
      <c r="J3" s="640"/>
      <c r="K3" s="640"/>
      <c r="L3" s="369" t="s">
        <v>433</v>
      </c>
      <c r="M3" s="370" t="s">
        <v>687</v>
      </c>
      <c r="N3" s="641" t="s">
        <v>434</v>
      </c>
      <c r="O3" s="641"/>
      <c r="P3" s="641"/>
      <c r="Q3" s="641"/>
      <c r="R3" s="642"/>
      <c r="S3" s="643" t="s">
        <v>435</v>
      </c>
      <c r="T3" s="641"/>
      <c r="U3" s="642"/>
      <c r="V3" s="643" t="s">
        <v>436</v>
      </c>
      <c r="W3" s="641"/>
      <c r="X3" s="642"/>
      <c r="Y3" s="643" t="s">
        <v>437</v>
      </c>
      <c r="Z3" s="641"/>
      <c r="AA3" s="642"/>
      <c r="AB3" s="371"/>
      <c r="AC3" s="1"/>
    </row>
    <row r="4" spans="1:29" ht="17.25" thickBot="1" x14ac:dyDescent="0.35">
      <c r="A4" s="635"/>
      <c r="B4" s="637"/>
      <c r="C4" s="644" t="s">
        <v>326</v>
      </c>
      <c r="D4" s="645"/>
      <c r="E4" s="645"/>
      <c r="F4" s="645"/>
      <c r="G4" s="646"/>
      <c r="H4" s="645" t="s">
        <v>686</v>
      </c>
      <c r="I4" s="645"/>
      <c r="J4" s="645"/>
      <c r="K4" s="645"/>
      <c r="L4" s="372" t="s">
        <v>438</v>
      </c>
      <c r="M4" s="369" t="s">
        <v>785</v>
      </c>
      <c r="N4" s="645"/>
      <c r="O4" s="645"/>
      <c r="P4" s="645"/>
      <c r="Q4" s="645"/>
      <c r="R4" s="646"/>
      <c r="S4" s="639" t="s">
        <v>439</v>
      </c>
      <c r="T4" s="640"/>
      <c r="U4" s="373"/>
      <c r="V4" s="639" t="s">
        <v>439</v>
      </c>
      <c r="W4" s="640"/>
      <c r="X4" s="373"/>
      <c r="Y4" s="656" t="s">
        <v>439</v>
      </c>
      <c r="Z4" s="657"/>
      <c r="AA4" s="374"/>
      <c r="AB4" s="375"/>
      <c r="AC4" s="1"/>
    </row>
    <row r="5" spans="1:29" ht="17.25" thickBot="1" x14ac:dyDescent="0.35">
      <c r="A5" s="635"/>
      <c r="B5" s="637"/>
      <c r="C5" s="644" t="s">
        <v>440</v>
      </c>
      <c r="D5" s="645"/>
      <c r="E5" s="645"/>
      <c r="F5" s="645"/>
      <c r="G5" s="646"/>
      <c r="H5" s="371" t="s">
        <v>441</v>
      </c>
      <c r="I5" s="371" t="s">
        <v>442</v>
      </c>
      <c r="J5" s="376" t="s">
        <v>443</v>
      </c>
      <c r="K5" s="644" t="s">
        <v>245</v>
      </c>
      <c r="L5" s="378" t="s">
        <v>444</v>
      </c>
      <c r="M5" s="378" t="s">
        <v>614</v>
      </c>
      <c r="N5" s="647" t="s">
        <v>440</v>
      </c>
      <c r="O5" s="648"/>
      <c r="P5" s="648"/>
      <c r="Q5" s="648"/>
      <c r="R5" s="649"/>
      <c r="S5" s="371" t="s">
        <v>441</v>
      </c>
      <c r="T5" s="371" t="s">
        <v>445</v>
      </c>
      <c r="U5" s="650" t="s">
        <v>245</v>
      </c>
      <c r="V5" s="371" t="s">
        <v>441</v>
      </c>
      <c r="W5" s="371" t="s">
        <v>445</v>
      </c>
      <c r="X5" s="650" t="s">
        <v>245</v>
      </c>
      <c r="Y5" s="371" t="s">
        <v>441</v>
      </c>
      <c r="Z5" s="371" t="s">
        <v>445</v>
      </c>
      <c r="AA5" s="650" t="s">
        <v>245</v>
      </c>
      <c r="AB5" s="379"/>
      <c r="AC5" s="1"/>
    </row>
    <row r="6" spans="1:29" ht="17.25" thickBot="1" x14ac:dyDescent="0.35">
      <c r="A6" s="635"/>
      <c r="B6" s="637"/>
      <c r="C6" s="647" t="s">
        <v>447</v>
      </c>
      <c r="D6" s="648"/>
      <c r="E6" s="648"/>
      <c r="F6" s="648"/>
      <c r="G6" s="655"/>
      <c r="H6" s="375" t="s">
        <v>448</v>
      </c>
      <c r="I6" s="375" t="s">
        <v>448</v>
      </c>
      <c r="J6" s="380" t="s">
        <v>449</v>
      </c>
      <c r="K6" s="647"/>
      <c r="L6" s="377"/>
      <c r="M6" s="381"/>
      <c r="N6" s="656" t="s">
        <v>485</v>
      </c>
      <c r="O6" s="657"/>
      <c r="P6" s="657"/>
      <c r="Q6" s="657"/>
      <c r="R6" s="655"/>
      <c r="S6" s="375" t="s">
        <v>448</v>
      </c>
      <c r="T6" s="375" t="s">
        <v>450</v>
      </c>
      <c r="U6" s="651"/>
      <c r="V6" s="375" t="s">
        <v>448</v>
      </c>
      <c r="W6" s="375" t="s">
        <v>450</v>
      </c>
      <c r="X6" s="651"/>
      <c r="Y6" s="375" t="s">
        <v>448</v>
      </c>
      <c r="Z6" s="375" t="s">
        <v>450</v>
      </c>
      <c r="AA6" s="651"/>
      <c r="AB6" s="382"/>
      <c r="AC6" s="1"/>
    </row>
    <row r="7" spans="1:29" ht="16.5" x14ac:dyDescent="0.3">
      <c r="A7" s="635"/>
      <c r="B7" s="637"/>
      <c r="C7" s="371" t="s">
        <v>451</v>
      </c>
      <c r="D7" s="371" t="s">
        <v>452</v>
      </c>
      <c r="E7" s="371" t="s">
        <v>453</v>
      </c>
      <c r="F7" s="371" t="s">
        <v>477</v>
      </c>
      <c r="G7" s="658" t="s">
        <v>245</v>
      </c>
      <c r="H7" s="383" t="s">
        <v>621</v>
      </c>
      <c r="I7" s="383" t="s">
        <v>455</v>
      </c>
      <c r="J7" s="383" t="s">
        <v>456</v>
      </c>
      <c r="K7" s="647"/>
      <c r="L7" s="374" t="s">
        <v>613</v>
      </c>
      <c r="M7" s="374" t="s">
        <v>615</v>
      </c>
      <c r="N7" s="371" t="s">
        <v>451</v>
      </c>
      <c r="O7" s="371" t="s">
        <v>452</v>
      </c>
      <c r="P7" s="371" t="s">
        <v>453</v>
      </c>
      <c r="Q7" s="371" t="s">
        <v>477</v>
      </c>
      <c r="R7" s="658" t="s">
        <v>245</v>
      </c>
      <c r="S7" s="383" t="s">
        <v>608</v>
      </c>
      <c r="T7" s="383" t="s">
        <v>456</v>
      </c>
      <c r="U7" s="651"/>
      <c r="V7" s="383" t="s">
        <v>454</v>
      </c>
      <c r="W7" s="383" t="s">
        <v>455</v>
      </c>
      <c r="X7" s="651"/>
      <c r="Y7" s="383" t="s">
        <v>454</v>
      </c>
      <c r="Z7" s="383" t="s">
        <v>456</v>
      </c>
      <c r="AA7" s="651"/>
      <c r="AB7" s="382" t="s">
        <v>446</v>
      </c>
      <c r="AC7" s="1"/>
    </row>
    <row r="8" spans="1:29" ht="17.25" thickBot="1" x14ac:dyDescent="0.35">
      <c r="A8" s="635"/>
      <c r="B8" s="638"/>
      <c r="C8" s="375" t="s">
        <v>457</v>
      </c>
      <c r="D8" s="375" t="s">
        <v>478</v>
      </c>
      <c r="E8" s="375" t="s">
        <v>459</v>
      </c>
      <c r="F8" s="375" t="s">
        <v>459</v>
      </c>
      <c r="G8" s="659"/>
      <c r="H8" s="375" t="s">
        <v>473</v>
      </c>
      <c r="I8" s="375" t="s">
        <v>474</v>
      </c>
      <c r="J8" s="375" t="s">
        <v>460</v>
      </c>
      <c r="K8" s="647"/>
      <c r="L8" s="375" t="s">
        <v>622</v>
      </c>
      <c r="M8" s="375" t="s">
        <v>623</v>
      </c>
      <c r="N8" s="375" t="s">
        <v>457</v>
      </c>
      <c r="O8" s="375" t="s">
        <v>458</v>
      </c>
      <c r="P8" s="375" t="s">
        <v>459</v>
      </c>
      <c r="Q8" s="375" t="s">
        <v>459</v>
      </c>
      <c r="R8" s="659"/>
      <c r="S8" s="375" t="s">
        <v>475</v>
      </c>
      <c r="T8" s="375" t="s">
        <v>476</v>
      </c>
      <c r="U8" s="652"/>
      <c r="V8" s="375" t="s">
        <v>475</v>
      </c>
      <c r="W8" s="375" t="s">
        <v>476</v>
      </c>
      <c r="X8" s="652"/>
      <c r="Y8" s="375" t="s">
        <v>475</v>
      </c>
      <c r="Z8" s="375" t="s">
        <v>476</v>
      </c>
      <c r="AA8" s="652"/>
      <c r="AB8" s="382" t="s">
        <v>1</v>
      </c>
      <c r="AC8" s="1"/>
    </row>
    <row r="9" spans="1:29" ht="17.25" thickBot="1" x14ac:dyDescent="0.35">
      <c r="A9" s="384">
        <v>51</v>
      </c>
      <c r="B9" s="538" t="s">
        <v>71</v>
      </c>
      <c r="C9" s="385">
        <f>+C10+C15+C17+C19+C21+C23+C26+C29</f>
        <v>127634.84</v>
      </c>
      <c r="D9" s="385">
        <f t="shared" ref="D9:F9" si="0">+D10+D15+D17+D19+D21+D23+D26+D29</f>
        <v>22898.400000000001</v>
      </c>
      <c r="E9" s="385">
        <f t="shared" si="0"/>
        <v>7002.4</v>
      </c>
      <c r="F9" s="385">
        <f t="shared" si="0"/>
        <v>75165.759999999995</v>
      </c>
      <c r="G9" s="385">
        <f>SUM(C9:F9)</f>
        <v>232701.39999999997</v>
      </c>
      <c r="H9" s="385"/>
      <c r="I9" s="385"/>
      <c r="J9" s="385"/>
      <c r="K9" s="385">
        <f>+H9+I9+J9</f>
        <v>0</v>
      </c>
      <c r="L9" s="385"/>
      <c r="M9" s="385"/>
      <c r="N9" s="385">
        <f t="shared" ref="N9:Q9" si="1">+N10+N15+N17+N19+N21+N23+N26+N29</f>
        <v>210141.92</v>
      </c>
      <c r="O9" s="385">
        <f t="shared" si="1"/>
        <v>178014.37</v>
      </c>
      <c r="P9" s="385">
        <f t="shared" si="1"/>
        <v>51259.299999999996</v>
      </c>
      <c r="Q9" s="385">
        <f t="shared" si="1"/>
        <v>1073681.67</v>
      </c>
      <c r="R9" s="385">
        <f>+N9+O9+P9+Q9</f>
        <v>1513097.26</v>
      </c>
      <c r="S9" s="385"/>
      <c r="T9" s="385"/>
      <c r="U9" s="385"/>
      <c r="V9" s="385"/>
      <c r="W9" s="385"/>
      <c r="X9" s="385"/>
      <c r="Y9" s="385"/>
      <c r="Z9" s="385"/>
      <c r="AA9" s="385"/>
      <c r="AB9" s="386">
        <f>+G9+K9+L9+M9+R9+U9+X9+AA9</f>
        <v>1745798.66</v>
      </c>
      <c r="AC9" s="1"/>
    </row>
    <row r="10" spans="1:29" ht="27" thickBot="1" x14ac:dyDescent="0.35">
      <c r="A10" s="387">
        <v>511</v>
      </c>
      <c r="B10" s="539" t="s">
        <v>72</v>
      </c>
      <c r="C10" s="388">
        <f>SUM(C11:C14)</f>
        <v>127634.84</v>
      </c>
      <c r="D10" s="388">
        <f>SUM(D11:D14)</f>
        <v>22898.400000000001</v>
      </c>
      <c r="E10" s="388">
        <f>SUM(E11:E14)</f>
        <v>7002.4</v>
      </c>
      <c r="F10" s="388">
        <f>SUM(F11:F14)</f>
        <v>75165.759999999995</v>
      </c>
      <c r="G10" s="389">
        <f>SUM(C10:F10)</f>
        <v>232701.39999999997</v>
      </c>
      <c r="H10" s="388">
        <f>SUM(H11:H14)</f>
        <v>0</v>
      </c>
      <c r="I10" s="388">
        <f>SUM(I11:I14)</f>
        <v>0</v>
      </c>
      <c r="J10" s="389"/>
      <c r="K10" s="389">
        <f t="shared" ref="K10:K62" si="2">+H10+I10+J10</f>
        <v>0</v>
      </c>
      <c r="L10" s="389"/>
      <c r="M10" s="389"/>
      <c r="N10" s="389">
        <f>SUM(N11:N14)</f>
        <v>145538.76</v>
      </c>
      <c r="O10" s="389">
        <f>SUM(O11:O14)</f>
        <v>135963.17000000001</v>
      </c>
      <c r="P10" s="389">
        <f>SUM(P11:P14)</f>
        <v>42383.7</v>
      </c>
      <c r="Q10" s="389">
        <f>SUM(Q11:Q14)</f>
        <v>897642.51</v>
      </c>
      <c r="R10" s="389">
        <f>+N10+O10+P10+Q10</f>
        <v>1221528.1400000001</v>
      </c>
      <c r="S10" s="389"/>
      <c r="T10" s="389"/>
      <c r="U10" s="390"/>
      <c r="V10" s="389"/>
      <c r="W10" s="389"/>
      <c r="X10" s="390"/>
      <c r="Y10" s="389"/>
      <c r="Z10" s="389"/>
      <c r="AA10" s="390"/>
      <c r="AB10" s="386">
        <f t="shared" ref="AB10:AB73" si="3">+G10+K10+L10+M10+R10+U10+X10+AA10</f>
        <v>1454229.54</v>
      </c>
      <c r="AC10" s="1"/>
    </row>
    <row r="11" spans="1:29" ht="17.25" thickBot="1" x14ac:dyDescent="0.35">
      <c r="A11" s="391" t="s">
        <v>386</v>
      </c>
      <c r="B11" s="540" t="s">
        <v>73</v>
      </c>
      <c r="C11" s="390">
        <v>21752</v>
      </c>
      <c r="D11" s="390">
        <v>22898.400000000001</v>
      </c>
      <c r="E11" s="390">
        <v>7002.4</v>
      </c>
      <c r="F11" s="390">
        <v>75165.759999999995</v>
      </c>
      <c r="G11" s="389">
        <f>SUM(C11:F11)</f>
        <v>126818.56</v>
      </c>
      <c r="H11" s="390"/>
      <c r="I11" s="390"/>
      <c r="J11" s="390"/>
      <c r="K11" s="389">
        <f t="shared" si="2"/>
        <v>0</v>
      </c>
      <c r="L11" s="389"/>
      <c r="M11" s="389"/>
      <c r="N11" s="390">
        <v>108760</v>
      </c>
      <c r="O11" s="390">
        <v>114492</v>
      </c>
      <c r="P11" s="390">
        <v>35012</v>
      </c>
      <c r="Q11" s="390">
        <v>748490.48</v>
      </c>
      <c r="R11" s="389">
        <f>+N11+O11+P11+Q11</f>
        <v>1006754.48</v>
      </c>
      <c r="S11" s="390"/>
      <c r="T11" s="390"/>
      <c r="U11" s="390"/>
      <c r="V11" s="390"/>
      <c r="W11" s="390"/>
      <c r="X11" s="390"/>
      <c r="Y11" s="390"/>
      <c r="Z11" s="390"/>
      <c r="AA11" s="390"/>
      <c r="AB11" s="386">
        <f t="shared" si="3"/>
        <v>1133573.04</v>
      </c>
      <c r="AC11" s="1"/>
    </row>
    <row r="12" spans="1:29" ht="17.25" thickBot="1" x14ac:dyDescent="0.35">
      <c r="A12" s="392">
        <v>51103</v>
      </c>
      <c r="B12" s="540" t="s">
        <v>74</v>
      </c>
      <c r="C12" s="390">
        <v>0</v>
      </c>
      <c r="D12" s="390">
        <v>0</v>
      </c>
      <c r="E12" s="390">
        <v>0</v>
      </c>
      <c r="F12" s="390">
        <v>0</v>
      </c>
      <c r="G12" s="389">
        <f t="shared" ref="G12:G25" si="4">SUM(C12:F12)</f>
        <v>0</v>
      </c>
      <c r="H12" s="390"/>
      <c r="I12" s="390"/>
      <c r="J12" s="390"/>
      <c r="K12" s="389">
        <f t="shared" si="2"/>
        <v>0</v>
      </c>
      <c r="L12" s="389"/>
      <c r="M12" s="389"/>
      <c r="N12" s="390">
        <v>5200</v>
      </c>
      <c r="O12" s="390">
        <v>8000</v>
      </c>
      <c r="P12" s="390">
        <v>2400</v>
      </c>
      <c r="Q12" s="390">
        <v>62800</v>
      </c>
      <c r="R12" s="389">
        <f t="shared" ref="R12:R18" si="5">+N12+O12+P12+Q12</f>
        <v>78400</v>
      </c>
      <c r="S12" s="390"/>
      <c r="T12" s="390"/>
      <c r="U12" s="390"/>
      <c r="V12" s="390"/>
      <c r="W12" s="390"/>
      <c r="X12" s="390"/>
      <c r="Y12" s="390"/>
      <c r="Z12" s="390"/>
      <c r="AA12" s="390"/>
      <c r="AB12" s="386">
        <f t="shared" si="3"/>
        <v>78400</v>
      </c>
      <c r="AC12" s="1"/>
    </row>
    <row r="13" spans="1:29" ht="17.25" thickBot="1" x14ac:dyDescent="0.35">
      <c r="A13" s="391" t="s">
        <v>387</v>
      </c>
      <c r="B13" s="540" t="s">
        <v>75</v>
      </c>
      <c r="C13" s="390">
        <v>105882.84</v>
      </c>
      <c r="D13" s="390">
        <v>0</v>
      </c>
      <c r="E13" s="390">
        <v>0</v>
      </c>
      <c r="F13" s="390">
        <v>0</v>
      </c>
      <c r="G13" s="389">
        <f t="shared" si="4"/>
        <v>105882.84</v>
      </c>
      <c r="H13" s="390"/>
      <c r="I13" s="390"/>
      <c r="J13" s="390"/>
      <c r="K13" s="389">
        <f t="shared" si="2"/>
        <v>0</v>
      </c>
      <c r="L13" s="389"/>
      <c r="M13" s="389"/>
      <c r="N13" s="390">
        <v>19685.16</v>
      </c>
      <c r="O13" s="390">
        <v>0</v>
      </c>
      <c r="P13" s="390">
        <v>0</v>
      </c>
      <c r="Q13" s="390">
        <v>0</v>
      </c>
      <c r="R13" s="389">
        <f t="shared" si="5"/>
        <v>19685.16</v>
      </c>
      <c r="S13" s="390"/>
      <c r="T13" s="390"/>
      <c r="U13" s="390"/>
      <c r="V13" s="390"/>
      <c r="W13" s="390"/>
      <c r="X13" s="390"/>
      <c r="Y13" s="390"/>
      <c r="Z13" s="390"/>
      <c r="AA13" s="390"/>
      <c r="AB13" s="386">
        <f t="shared" si="3"/>
        <v>125568</v>
      </c>
      <c r="AC13" s="1"/>
    </row>
    <row r="14" spans="1:29" ht="17.25" thickBot="1" x14ac:dyDescent="0.35">
      <c r="A14" s="391" t="s">
        <v>418</v>
      </c>
      <c r="B14" s="540" t="s">
        <v>76</v>
      </c>
      <c r="C14" s="390">
        <v>0</v>
      </c>
      <c r="D14" s="390">
        <v>0</v>
      </c>
      <c r="E14" s="390">
        <v>0</v>
      </c>
      <c r="F14" s="390">
        <v>0</v>
      </c>
      <c r="G14" s="389">
        <f t="shared" si="4"/>
        <v>0</v>
      </c>
      <c r="H14" s="389"/>
      <c r="I14" s="389"/>
      <c r="J14" s="389"/>
      <c r="K14" s="389">
        <f t="shared" si="2"/>
        <v>0</v>
      </c>
      <c r="L14" s="389"/>
      <c r="M14" s="389"/>
      <c r="N14" s="390">
        <v>11893.6</v>
      </c>
      <c r="O14" s="390">
        <v>13471.17</v>
      </c>
      <c r="P14" s="390">
        <v>4971.7</v>
      </c>
      <c r="Q14" s="390">
        <v>86352.03</v>
      </c>
      <c r="R14" s="389">
        <f t="shared" si="5"/>
        <v>116688.5</v>
      </c>
      <c r="S14" s="390"/>
      <c r="T14" s="390"/>
      <c r="U14" s="390"/>
      <c r="V14" s="390"/>
      <c r="W14" s="390"/>
      <c r="X14" s="390"/>
      <c r="Y14" s="390"/>
      <c r="Z14" s="390"/>
      <c r="AA14" s="390"/>
      <c r="AB14" s="386">
        <f t="shared" si="3"/>
        <v>116688.5</v>
      </c>
      <c r="AC14" s="1"/>
    </row>
    <row r="15" spans="1:29" ht="17.25" thickBot="1" x14ac:dyDescent="0.35">
      <c r="A15" s="393" t="s">
        <v>388</v>
      </c>
      <c r="B15" s="541" t="s">
        <v>77</v>
      </c>
      <c r="C15" s="390"/>
      <c r="D15" s="390"/>
      <c r="E15" s="390"/>
      <c r="F15" s="390">
        <f>+F16</f>
        <v>0</v>
      </c>
      <c r="G15" s="389">
        <f t="shared" si="4"/>
        <v>0</v>
      </c>
      <c r="H15" s="390"/>
      <c r="I15" s="390"/>
      <c r="J15" s="390"/>
      <c r="K15" s="389">
        <f t="shared" si="2"/>
        <v>0</v>
      </c>
      <c r="L15" s="389"/>
      <c r="M15" s="389"/>
      <c r="N15" s="389">
        <f>N16</f>
        <v>0</v>
      </c>
      <c r="O15" s="389">
        <f>O16</f>
        <v>5000</v>
      </c>
      <c r="P15" s="389">
        <f>P16</f>
        <v>0</v>
      </c>
      <c r="Q15" s="389">
        <f>Q16</f>
        <v>25000</v>
      </c>
      <c r="R15" s="389">
        <f>+N15+O15+P15+Q15</f>
        <v>30000</v>
      </c>
      <c r="S15" s="390"/>
      <c r="T15" s="390"/>
      <c r="U15" s="390"/>
      <c r="V15" s="390"/>
      <c r="W15" s="390"/>
      <c r="X15" s="390"/>
      <c r="Y15" s="390"/>
      <c r="Z15" s="390"/>
      <c r="AA15" s="390"/>
      <c r="AB15" s="386">
        <f t="shared" si="3"/>
        <v>30000</v>
      </c>
      <c r="AC15" s="1"/>
    </row>
    <row r="16" spans="1:29" ht="17.25" thickBot="1" x14ac:dyDescent="0.35">
      <c r="A16" s="391" t="s">
        <v>389</v>
      </c>
      <c r="B16" s="540" t="s">
        <v>73</v>
      </c>
      <c r="C16" s="390"/>
      <c r="D16" s="390"/>
      <c r="E16" s="390" t="s">
        <v>8</v>
      </c>
      <c r="F16" s="390">
        <v>0</v>
      </c>
      <c r="G16" s="389">
        <f t="shared" si="4"/>
        <v>0</v>
      </c>
      <c r="H16" s="390"/>
      <c r="I16" s="390"/>
      <c r="J16" s="390"/>
      <c r="K16" s="389">
        <f t="shared" si="2"/>
        <v>0</v>
      </c>
      <c r="L16" s="389"/>
      <c r="M16" s="389"/>
      <c r="N16" s="390"/>
      <c r="O16" s="390">
        <v>5000</v>
      </c>
      <c r="P16" s="390"/>
      <c r="Q16" s="390">
        <v>25000</v>
      </c>
      <c r="R16" s="389">
        <f t="shared" si="5"/>
        <v>30000</v>
      </c>
      <c r="S16" s="390"/>
      <c r="T16" s="390"/>
      <c r="U16" s="390"/>
      <c r="V16" s="390"/>
      <c r="W16" s="390"/>
      <c r="X16" s="390"/>
      <c r="Y16" s="390"/>
      <c r="Z16" s="390"/>
      <c r="AA16" s="390"/>
      <c r="AB16" s="386">
        <f t="shared" si="3"/>
        <v>30000</v>
      </c>
      <c r="AC16" s="1"/>
    </row>
    <row r="17" spans="1:29" ht="17.25" thickBot="1" x14ac:dyDescent="0.35">
      <c r="A17" s="393" t="s">
        <v>390</v>
      </c>
      <c r="B17" s="541" t="s">
        <v>78</v>
      </c>
      <c r="C17" s="389"/>
      <c r="D17" s="389"/>
      <c r="E17" s="389"/>
      <c r="F17" s="389">
        <f>+F18</f>
        <v>0</v>
      </c>
      <c r="G17" s="389">
        <f t="shared" si="4"/>
        <v>0</v>
      </c>
      <c r="H17" s="390"/>
      <c r="I17" s="390"/>
      <c r="J17" s="390"/>
      <c r="K17" s="389">
        <f t="shared" si="2"/>
        <v>0</v>
      </c>
      <c r="L17" s="389"/>
      <c r="M17" s="389"/>
      <c r="N17" s="389">
        <f>+N18</f>
        <v>0</v>
      </c>
      <c r="O17" s="389">
        <f t="shared" ref="O17:Q17" si="6">+O18</f>
        <v>0</v>
      </c>
      <c r="P17" s="389">
        <f t="shared" si="6"/>
        <v>0</v>
      </c>
      <c r="Q17" s="389">
        <f t="shared" si="6"/>
        <v>25000</v>
      </c>
      <c r="R17" s="389">
        <f>+N17+O17+P17+Q17</f>
        <v>25000</v>
      </c>
      <c r="S17" s="390"/>
      <c r="T17" s="390"/>
      <c r="U17" s="390"/>
      <c r="V17" s="390"/>
      <c r="W17" s="390"/>
      <c r="X17" s="390"/>
      <c r="Y17" s="390"/>
      <c r="Z17" s="390"/>
      <c r="AA17" s="390"/>
      <c r="AB17" s="386">
        <f t="shared" si="3"/>
        <v>25000</v>
      </c>
      <c r="AC17" s="1"/>
    </row>
    <row r="18" spans="1:29" ht="17.25" thickBot="1" x14ac:dyDescent="0.35">
      <c r="A18" s="392">
        <v>51301</v>
      </c>
      <c r="B18" s="542" t="s">
        <v>79</v>
      </c>
      <c r="C18" s="390"/>
      <c r="D18" s="390"/>
      <c r="E18" s="390"/>
      <c r="F18" s="436">
        <v>0</v>
      </c>
      <c r="G18" s="389">
        <f t="shared" si="4"/>
        <v>0</v>
      </c>
      <c r="H18" s="390"/>
      <c r="I18" s="390"/>
      <c r="J18" s="390"/>
      <c r="K18" s="389">
        <f t="shared" si="2"/>
        <v>0</v>
      </c>
      <c r="L18" s="389"/>
      <c r="M18" s="389"/>
      <c r="N18" s="390"/>
      <c r="O18" s="390"/>
      <c r="P18" s="390"/>
      <c r="Q18" s="390">
        <v>25000</v>
      </c>
      <c r="R18" s="389">
        <f t="shared" si="5"/>
        <v>25000</v>
      </c>
      <c r="S18" s="390"/>
      <c r="T18" s="390"/>
      <c r="U18" s="390"/>
      <c r="V18" s="390"/>
      <c r="W18" s="390"/>
      <c r="X18" s="390"/>
      <c r="Y18" s="390"/>
      <c r="Z18" s="390"/>
      <c r="AA18" s="390"/>
      <c r="AB18" s="386">
        <f t="shared" si="3"/>
        <v>25000</v>
      </c>
      <c r="AC18" s="1"/>
    </row>
    <row r="19" spans="1:29" ht="27" thickBot="1" x14ac:dyDescent="0.35">
      <c r="A19" s="387">
        <v>514</v>
      </c>
      <c r="B19" s="543" t="s">
        <v>461</v>
      </c>
      <c r="C19" s="389">
        <f>+C20</f>
        <v>0</v>
      </c>
      <c r="D19" s="389">
        <f>+D20</f>
        <v>0</v>
      </c>
      <c r="E19" s="389">
        <f>+E20</f>
        <v>0</v>
      </c>
      <c r="F19" s="389">
        <f>+F20</f>
        <v>0</v>
      </c>
      <c r="G19" s="389">
        <f>SUM(C19:F19)</f>
        <v>0</v>
      </c>
      <c r="H19" s="390"/>
      <c r="I19" s="390"/>
      <c r="J19" s="390"/>
      <c r="K19" s="389">
        <f t="shared" si="2"/>
        <v>0</v>
      </c>
      <c r="L19" s="389"/>
      <c r="M19" s="389"/>
      <c r="N19" s="389">
        <f>+N20</f>
        <v>18913.32</v>
      </c>
      <c r="O19" s="389">
        <f>+O20</f>
        <v>9486.9599999999991</v>
      </c>
      <c r="P19" s="389">
        <f>+P20</f>
        <v>3119.52</v>
      </c>
      <c r="Q19" s="389">
        <f>+Q20</f>
        <v>62904.12</v>
      </c>
      <c r="R19" s="389">
        <f>+N19+O19+P19+Q19</f>
        <v>94423.92</v>
      </c>
      <c r="S19" s="390"/>
      <c r="T19" s="390"/>
      <c r="U19" s="390"/>
      <c r="V19" s="390"/>
      <c r="W19" s="390"/>
      <c r="X19" s="390"/>
      <c r="Y19" s="390"/>
      <c r="Z19" s="390"/>
      <c r="AA19" s="390"/>
      <c r="AB19" s="386">
        <f t="shared" si="3"/>
        <v>94423.92</v>
      </c>
      <c r="AC19" s="1"/>
    </row>
    <row r="20" spans="1:29" ht="17.25" thickBot="1" x14ac:dyDescent="0.35">
      <c r="A20" s="391" t="s">
        <v>391</v>
      </c>
      <c r="B20" s="540" t="s">
        <v>80</v>
      </c>
      <c r="C20" s="390">
        <v>0</v>
      </c>
      <c r="D20" s="390">
        <v>0</v>
      </c>
      <c r="E20" s="390">
        <v>0</v>
      </c>
      <c r="F20" s="390">
        <v>0</v>
      </c>
      <c r="G20" s="389">
        <f t="shared" si="4"/>
        <v>0</v>
      </c>
      <c r="H20" s="390"/>
      <c r="I20" s="390"/>
      <c r="J20" s="390"/>
      <c r="K20" s="389">
        <f t="shared" si="2"/>
        <v>0</v>
      </c>
      <c r="L20" s="389"/>
      <c r="M20" s="389"/>
      <c r="N20" s="390">
        <v>18913.32</v>
      </c>
      <c r="O20" s="390">
        <v>9486.9599999999991</v>
      </c>
      <c r="P20" s="390">
        <v>3119.52</v>
      </c>
      <c r="Q20" s="390">
        <v>62904.12</v>
      </c>
      <c r="R20" s="389">
        <f>+N20+O20+P20+Q20</f>
        <v>94423.92</v>
      </c>
      <c r="S20" s="390"/>
      <c r="T20" s="390"/>
      <c r="U20" s="390"/>
      <c r="V20" s="390"/>
      <c r="W20" s="390"/>
      <c r="X20" s="390"/>
      <c r="Y20" s="390"/>
      <c r="Z20" s="390"/>
      <c r="AA20" s="390"/>
      <c r="AB20" s="386">
        <f t="shared" si="3"/>
        <v>94423.92</v>
      </c>
      <c r="AC20" s="1"/>
    </row>
    <row r="21" spans="1:29" ht="27" thickBot="1" x14ac:dyDescent="0.35">
      <c r="A21" s="387">
        <v>515</v>
      </c>
      <c r="B21" s="543" t="s">
        <v>462</v>
      </c>
      <c r="C21" s="389">
        <f>+C22</f>
        <v>0</v>
      </c>
      <c r="D21" s="389">
        <f t="shared" ref="D21:F21" si="7">+D22</f>
        <v>0</v>
      </c>
      <c r="E21" s="389">
        <f t="shared" si="7"/>
        <v>0</v>
      </c>
      <c r="F21" s="389">
        <f t="shared" si="7"/>
        <v>0</v>
      </c>
      <c r="G21" s="389">
        <f>SUM(C21:F21)</f>
        <v>0</v>
      </c>
      <c r="H21" s="389"/>
      <c r="I21" s="389"/>
      <c r="J21" s="389"/>
      <c r="K21" s="389">
        <f t="shared" si="2"/>
        <v>0</v>
      </c>
      <c r="L21" s="389"/>
      <c r="M21" s="389"/>
      <c r="N21" s="389">
        <f>+N22</f>
        <v>17289.84</v>
      </c>
      <c r="O21" s="389">
        <f>+O22</f>
        <v>10230.959999999999</v>
      </c>
      <c r="P21" s="389">
        <f>+P22</f>
        <v>3256.08</v>
      </c>
      <c r="Q21" s="389">
        <f>+Q22</f>
        <v>57635.040000000001</v>
      </c>
      <c r="R21" s="389">
        <f t="shared" ref="R21:R31" si="8">+N21+O21+P21+Q21</f>
        <v>88411.92</v>
      </c>
      <c r="S21" s="390"/>
      <c r="T21" s="390"/>
      <c r="U21" s="390"/>
      <c r="V21" s="390"/>
      <c r="W21" s="390"/>
      <c r="X21" s="390"/>
      <c r="Y21" s="390"/>
      <c r="Z21" s="390"/>
      <c r="AA21" s="390"/>
      <c r="AB21" s="386">
        <f t="shared" si="3"/>
        <v>88411.92</v>
      </c>
      <c r="AC21" s="1"/>
    </row>
    <row r="22" spans="1:29" ht="17.25" thickBot="1" x14ac:dyDescent="0.35">
      <c r="A22" s="391" t="s">
        <v>392</v>
      </c>
      <c r="B22" s="540" t="s">
        <v>80</v>
      </c>
      <c r="C22" s="390">
        <v>0</v>
      </c>
      <c r="D22" s="390">
        <v>0</v>
      </c>
      <c r="E22" s="390">
        <v>0</v>
      </c>
      <c r="F22" s="390">
        <v>0</v>
      </c>
      <c r="G22" s="389">
        <f t="shared" si="4"/>
        <v>0</v>
      </c>
      <c r="H22" s="390"/>
      <c r="I22" s="390"/>
      <c r="J22" s="390"/>
      <c r="K22" s="389">
        <f t="shared" si="2"/>
        <v>0</v>
      </c>
      <c r="L22" s="389"/>
      <c r="M22" s="389"/>
      <c r="N22" s="390">
        <v>17289.84</v>
      </c>
      <c r="O22" s="390">
        <v>10230.959999999999</v>
      </c>
      <c r="P22" s="390">
        <v>3256.08</v>
      </c>
      <c r="Q22" s="390">
        <v>57635.040000000001</v>
      </c>
      <c r="R22" s="389">
        <f t="shared" si="8"/>
        <v>88411.92</v>
      </c>
      <c r="S22" s="390"/>
      <c r="T22" s="390"/>
      <c r="U22" s="390"/>
      <c r="V22" s="390"/>
      <c r="W22" s="390"/>
      <c r="X22" s="390"/>
      <c r="Y22" s="390"/>
      <c r="Z22" s="390"/>
      <c r="AA22" s="390"/>
      <c r="AB22" s="386">
        <f t="shared" si="3"/>
        <v>88411.92</v>
      </c>
      <c r="AC22" s="1"/>
    </row>
    <row r="23" spans="1:29" ht="17.25" thickBot="1" x14ac:dyDescent="0.35">
      <c r="A23" s="393" t="s">
        <v>393</v>
      </c>
      <c r="B23" s="541" t="s">
        <v>81</v>
      </c>
      <c r="C23" s="389">
        <f>+C24</f>
        <v>0</v>
      </c>
      <c r="D23" s="389"/>
      <c r="E23" s="389"/>
      <c r="F23" s="389"/>
      <c r="G23" s="389">
        <f>SUM(C23:F23)</f>
        <v>0</v>
      </c>
      <c r="H23" s="390"/>
      <c r="I23" s="390"/>
      <c r="J23" s="390"/>
      <c r="K23" s="389">
        <f t="shared" si="2"/>
        <v>0</v>
      </c>
      <c r="L23" s="389"/>
      <c r="M23" s="389"/>
      <c r="N23" s="389">
        <f>+N24+N25</f>
        <v>15000</v>
      </c>
      <c r="O23" s="389">
        <f t="shared" ref="O23:Q23" si="9">+O24+O25</f>
        <v>0</v>
      </c>
      <c r="P23" s="389">
        <f t="shared" si="9"/>
        <v>0</v>
      </c>
      <c r="Q23" s="389">
        <f t="shared" si="9"/>
        <v>0</v>
      </c>
      <c r="R23" s="389">
        <f t="shared" si="8"/>
        <v>15000</v>
      </c>
      <c r="S23" s="390"/>
      <c r="T23" s="390"/>
      <c r="U23" s="390"/>
      <c r="V23" s="390"/>
      <c r="W23" s="390"/>
      <c r="X23" s="390"/>
      <c r="Y23" s="390"/>
      <c r="Z23" s="390"/>
      <c r="AA23" s="390"/>
      <c r="AB23" s="386">
        <f t="shared" si="3"/>
        <v>15000</v>
      </c>
      <c r="AC23" s="1"/>
    </row>
    <row r="24" spans="1:29" ht="17.25" thickBot="1" x14ac:dyDescent="0.35">
      <c r="A24" s="392">
        <v>51601</v>
      </c>
      <c r="B24" s="542" t="s">
        <v>421</v>
      </c>
      <c r="C24" s="390">
        <v>0</v>
      </c>
      <c r="D24" s="390"/>
      <c r="E24" s="390"/>
      <c r="F24" s="390"/>
      <c r="G24" s="389">
        <f t="shared" si="4"/>
        <v>0</v>
      </c>
      <c r="H24" s="389"/>
      <c r="I24" s="389"/>
      <c r="J24" s="389"/>
      <c r="K24" s="389">
        <f t="shared" si="2"/>
        <v>0</v>
      </c>
      <c r="L24" s="389"/>
      <c r="M24" s="389"/>
      <c r="N24" s="390">
        <v>12000</v>
      </c>
      <c r="O24" s="390"/>
      <c r="P24" s="390"/>
      <c r="Q24" s="390"/>
      <c r="R24" s="389">
        <f t="shared" si="8"/>
        <v>12000</v>
      </c>
      <c r="S24" s="390"/>
      <c r="T24" s="390"/>
      <c r="U24" s="390"/>
      <c r="V24" s="390"/>
      <c r="W24" s="390"/>
      <c r="X24" s="390"/>
      <c r="Y24" s="390"/>
      <c r="Z24" s="390"/>
      <c r="AA24" s="390"/>
      <c r="AB24" s="386">
        <f t="shared" si="3"/>
        <v>12000</v>
      </c>
      <c r="AC24" s="1"/>
    </row>
    <row r="25" spans="1:29" ht="17.25" thickBot="1" x14ac:dyDescent="0.35">
      <c r="A25" s="392">
        <v>51602</v>
      </c>
      <c r="B25" s="542" t="s">
        <v>463</v>
      </c>
      <c r="C25" s="390"/>
      <c r="D25" s="390"/>
      <c r="E25" s="390"/>
      <c r="F25" s="390"/>
      <c r="G25" s="389">
        <f t="shared" si="4"/>
        <v>0</v>
      </c>
      <c r="H25" s="390"/>
      <c r="I25" s="390"/>
      <c r="J25" s="390"/>
      <c r="K25" s="389">
        <f t="shared" si="2"/>
        <v>0</v>
      </c>
      <c r="L25" s="389"/>
      <c r="M25" s="389"/>
      <c r="N25" s="390">
        <v>3000</v>
      </c>
      <c r="O25" s="390"/>
      <c r="P25" s="390"/>
      <c r="Q25" s="390"/>
      <c r="R25" s="389">
        <f t="shared" si="8"/>
        <v>3000</v>
      </c>
      <c r="S25" s="390"/>
      <c r="T25" s="390"/>
      <c r="U25" s="390"/>
      <c r="V25" s="390"/>
      <c r="W25" s="390"/>
      <c r="X25" s="390"/>
      <c r="Y25" s="390"/>
      <c r="Z25" s="390"/>
      <c r="AA25" s="390"/>
      <c r="AB25" s="386">
        <f t="shared" si="3"/>
        <v>3000</v>
      </c>
      <c r="AC25" s="1"/>
    </row>
    <row r="26" spans="1:29" ht="17.25" thickBot="1" x14ac:dyDescent="0.35">
      <c r="A26" s="387">
        <v>517</v>
      </c>
      <c r="B26" s="543" t="s">
        <v>84</v>
      </c>
      <c r="C26" s="389">
        <f>+C27</f>
        <v>0</v>
      </c>
      <c r="D26" s="389"/>
      <c r="E26" s="389"/>
      <c r="F26" s="389"/>
      <c r="G26" s="389">
        <f>SUM(C26:F26)</f>
        <v>0</v>
      </c>
      <c r="H26" s="390"/>
      <c r="I26" s="390"/>
      <c r="J26" s="390"/>
      <c r="K26" s="389">
        <f t="shared" si="2"/>
        <v>0</v>
      </c>
      <c r="L26" s="389"/>
      <c r="M26" s="389"/>
      <c r="N26" s="389">
        <f>+N27</f>
        <v>5000</v>
      </c>
      <c r="O26" s="389">
        <f>+O27</f>
        <v>12000</v>
      </c>
      <c r="P26" s="389">
        <f>+P27</f>
        <v>2500</v>
      </c>
      <c r="Q26" s="389">
        <f>+Q27</f>
        <v>5500</v>
      </c>
      <c r="R26" s="389">
        <f t="shared" si="8"/>
        <v>25000</v>
      </c>
      <c r="S26" s="390"/>
      <c r="T26" s="390"/>
      <c r="U26" s="390"/>
      <c r="V26" s="390"/>
      <c r="W26" s="390"/>
      <c r="X26" s="390"/>
      <c r="Y26" s="390"/>
      <c r="Z26" s="390"/>
      <c r="AA26" s="390"/>
      <c r="AB26" s="386">
        <f t="shared" si="3"/>
        <v>25000</v>
      </c>
      <c r="AC26" s="1"/>
    </row>
    <row r="27" spans="1:29" ht="27" thickBot="1" x14ac:dyDescent="0.35">
      <c r="A27" s="392">
        <v>51701</v>
      </c>
      <c r="B27" s="542" t="s">
        <v>85</v>
      </c>
      <c r="C27" s="390">
        <v>0</v>
      </c>
      <c r="D27" s="390"/>
      <c r="E27" s="390"/>
      <c r="F27" s="390"/>
      <c r="G27" s="389">
        <f t="shared" ref="G27:G31" si="10">+C27+D27+E27</f>
        <v>0</v>
      </c>
      <c r="H27" s="389"/>
      <c r="I27" s="389"/>
      <c r="J27" s="389"/>
      <c r="K27" s="389">
        <f t="shared" si="2"/>
        <v>0</v>
      </c>
      <c r="L27" s="389"/>
      <c r="M27" s="389"/>
      <c r="N27" s="390">
        <v>5000</v>
      </c>
      <c r="O27" s="390">
        <v>12000</v>
      </c>
      <c r="P27" s="390">
        <v>2500</v>
      </c>
      <c r="Q27" s="390">
        <v>5500</v>
      </c>
      <c r="R27" s="389">
        <f t="shared" si="8"/>
        <v>25000</v>
      </c>
      <c r="S27" s="390"/>
      <c r="T27" s="390"/>
      <c r="U27" s="390"/>
      <c r="V27" s="390"/>
      <c r="W27" s="390"/>
      <c r="X27" s="390"/>
      <c r="Y27" s="390"/>
      <c r="Z27" s="390"/>
      <c r="AA27" s="390"/>
      <c r="AB27" s="386">
        <f t="shared" si="3"/>
        <v>25000</v>
      </c>
      <c r="AC27" s="1"/>
    </row>
    <row r="28" spans="1:29" ht="17.25" thickBot="1" x14ac:dyDescent="0.35">
      <c r="A28" s="392">
        <v>51702</v>
      </c>
      <c r="B28" s="542" t="s">
        <v>464</v>
      </c>
      <c r="C28" s="390"/>
      <c r="D28" s="390"/>
      <c r="E28" s="390"/>
      <c r="F28" s="390"/>
      <c r="G28" s="389">
        <f t="shared" si="10"/>
        <v>0</v>
      </c>
      <c r="H28" s="389"/>
      <c r="I28" s="389"/>
      <c r="J28" s="389"/>
      <c r="K28" s="389">
        <f t="shared" si="2"/>
        <v>0</v>
      </c>
      <c r="L28" s="389"/>
      <c r="M28" s="389"/>
      <c r="N28" s="390"/>
      <c r="O28" s="390"/>
      <c r="P28" s="390"/>
      <c r="Q28" s="390"/>
      <c r="R28" s="389">
        <f t="shared" si="8"/>
        <v>0</v>
      </c>
      <c r="S28" s="390"/>
      <c r="T28" s="390"/>
      <c r="U28" s="390"/>
      <c r="V28" s="390"/>
      <c r="W28" s="390"/>
      <c r="X28" s="390"/>
      <c r="Y28" s="390"/>
      <c r="Z28" s="390"/>
      <c r="AA28" s="390"/>
      <c r="AB28" s="386">
        <f t="shared" si="3"/>
        <v>0</v>
      </c>
      <c r="AC28" s="1"/>
    </row>
    <row r="29" spans="1:29" ht="17.25" thickBot="1" x14ac:dyDescent="0.35">
      <c r="A29" s="387">
        <v>519</v>
      </c>
      <c r="B29" s="543" t="s">
        <v>86</v>
      </c>
      <c r="C29" s="390">
        <f>+C30</f>
        <v>0</v>
      </c>
      <c r="D29" s="390">
        <f t="shared" ref="D29:F29" si="11">+D30</f>
        <v>0</v>
      </c>
      <c r="E29" s="390">
        <f t="shared" si="11"/>
        <v>0</v>
      </c>
      <c r="F29" s="390">
        <f t="shared" si="11"/>
        <v>0</v>
      </c>
      <c r="G29" s="389">
        <f>SUM(C29:F29)</f>
        <v>0</v>
      </c>
      <c r="H29" s="389"/>
      <c r="I29" s="389"/>
      <c r="J29" s="389"/>
      <c r="K29" s="389">
        <f t="shared" si="2"/>
        <v>0</v>
      </c>
      <c r="L29" s="389"/>
      <c r="M29" s="389"/>
      <c r="N29" s="389">
        <f>+N30</f>
        <v>8400</v>
      </c>
      <c r="O29" s="389">
        <f t="shared" ref="O29:Q29" si="12">+O30</f>
        <v>5333.28</v>
      </c>
      <c r="P29" s="389">
        <f t="shared" si="12"/>
        <v>0</v>
      </c>
      <c r="Q29" s="389">
        <f t="shared" si="12"/>
        <v>0</v>
      </c>
      <c r="R29" s="389">
        <f t="shared" si="8"/>
        <v>13733.279999999999</v>
      </c>
      <c r="S29" s="390"/>
      <c r="T29" s="390"/>
      <c r="U29" s="390"/>
      <c r="V29" s="390"/>
      <c r="W29" s="390"/>
      <c r="X29" s="390"/>
      <c r="Y29" s="390"/>
      <c r="Z29" s="390"/>
      <c r="AA29" s="390"/>
      <c r="AB29" s="386">
        <f t="shared" si="3"/>
        <v>13733.279999999999</v>
      </c>
      <c r="AC29" s="1"/>
    </row>
    <row r="30" spans="1:29" ht="17.25" thickBot="1" x14ac:dyDescent="0.35">
      <c r="A30" s="392">
        <v>51901</v>
      </c>
      <c r="B30" s="542" t="s">
        <v>87</v>
      </c>
      <c r="C30" s="390"/>
      <c r="D30" s="390">
        <v>0</v>
      </c>
      <c r="E30" s="390"/>
      <c r="F30" s="390"/>
      <c r="G30" s="389">
        <f t="shared" ref="G30" si="13">SUM(C30:F30)</f>
        <v>0</v>
      </c>
      <c r="H30" s="389"/>
      <c r="I30" s="389"/>
      <c r="J30" s="389"/>
      <c r="K30" s="389">
        <f t="shared" si="2"/>
        <v>0</v>
      </c>
      <c r="L30" s="389"/>
      <c r="M30" s="389"/>
      <c r="N30" s="390">
        <v>8400</v>
      </c>
      <c r="O30" s="390">
        <v>5333.28</v>
      </c>
      <c r="P30" s="390"/>
      <c r="Q30" s="390"/>
      <c r="R30" s="389">
        <f t="shared" si="8"/>
        <v>13733.279999999999</v>
      </c>
      <c r="S30" s="390"/>
      <c r="T30" s="390"/>
      <c r="U30" s="390"/>
      <c r="V30" s="390"/>
      <c r="W30" s="390"/>
      <c r="X30" s="390"/>
      <c r="Y30" s="390"/>
      <c r="Z30" s="390"/>
      <c r="AA30" s="390"/>
      <c r="AB30" s="386">
        <f t="shared" si="3"/>
        <v>13733.279999999999</v>
      </c>
      <c r="AC30" s="1"/>
    </row>
    <row r="31" spans="1:29" ht="17.25" thickBot="1" x14ac:dyDescent="0.35">
      <c r="A31" s="392"/>
      <c r="B31" s="542"/>
      <c r="C31" s="390"/>
      <c r="D31" s="390"/>
      <c r="E31" s="390"/>
      <c r="F31" s="390"/>
      <c r="G31" s="389">
        <f t="shared" si="10"/>
        <v>0</v>
      </c>
      <c r="H31" s="389"/>
      <c r="I31" s="389"/>
      <c r="J31" s="389"/>
      <c r="K31" s="389">
        <f t="shared" si="2"/>
        <v>0</v>
      </c>
      <c r="L31" s="389"/>
      <c r="M31" s="389"/>
      <c r="N31" s="390"/>
      <c r="O31" s="390"/>
      <c r="P31" s="390"/>
      <c r="Q31" s="390"/>
      <c r="R31" s="389">
        <f t="shared" si="8"/>
        <v>0</v>
      </c>
      <c r="S31" s="390"/>
      <c r="T31" s="390"/>
      <c r="U31" s="390"/>
      <c r="V31" s="390"/>
      <c r="W31" s="390"/>
      <c r="X31" s="390"/>
      <c r="Y31" s="390"/>
      <c r="Z31" s="390"/>
      <c r="AA31" s="390"/>
      <c r="AB31" s="386"/>
      <c r="AC31" s="1"/>
    </row>
    <row r="32" spans="1:29" ht="17.25" thickBot="1" x14ac:dyDescent="0.35">
      <c r="A32" s="387">
        <v>54</v>
      </c>
      <c r="B32" s="543" t="s">
        <v>88</v>
      </c>
      <c r="C32" s="394">
        <f>+C33+C53+C59+C75+C80</f>
        <v>0</v>
      </c>
      <c r="D32" s="394">
        <f t="shared" ref="D32:F32" si="14">+D33+D53+D59+D75+D80</f>
        <v>221587.24</v>
      </c>
      <c r="E32" s="394">
        <f t="shared" si="14"/>
        <v>0</v>
      </c>
      <c r="F32" s="394">
        <f t="shared" si="14"/>
        <v>0</v>
      </c>
      <c r="G32" s="389">
        <f>SUM(C32:F32)</f>
        <v>221587.24</v>
      </c>
      <c r="H32" s="389">
        <f>+H59</f>
        <v>0</v>
      </c>
      <c r="I32" s="389">
        <f>+I59</f>
        <v>85170.93</v>
      </c>
      <c r="J32" s="390"/>
      <c r="K32" s="389">
        <f t="shared" si="2"/>
        <v>85170.93</v>
      </c>
      <c r="L32" s="389"/>
      <c r="M32" s="389"/>
      <c r="N32" s="389">
        <f>+N33+N53+N59+N75+N80</f>
        <v>56214.9</v>
      </c>
      <c r="O32" s="389">
        <f>+O33+O53+O59+O75+O80</f>
        <v>186427.73</v>
      </c>
      <c r="P32" s="389">
        <f>+P33+P53+P59+P75+P80</f>
        <v>4691.04</v>
      </c>
      <c r="Q32" s="389">
        <f>+Q33+Q53+Q59+Q75+Q80</f>
        <v>160780.764</v>
      </c>
      <c r="R32" s="389">
        <f>+N32+O32+P32+Q32</f>
        <v>408114.43400000001</v>
      </c>
      <c r="S32" s="390"/>
      <c r="T32" s="390"/>
      <c r="U32" s="390"/>
      <c r="V32" s="390"/>
      <c r="W32" s="390"/>
      <c r="X32" s="390"/>
      <c r="Y32" s="390"/>
      <c r="Z32" s="390"/>
      <c r="AA32" s="390"/>
      <c r="AB32" s="386">
        <f t="shared" si="3"/>
        <v>714872.60400000005</v>
      </c>
      <c r="AC32" s="1"/>
    </row>
    <row r="33" spans="1:29" ht="17.25" thickBot="1" x14ac:dyDescent="0.35">
      <c r="A33" s="387">
        <v>541</v>
      </c>
      <c r="B33" s="543" t="s">
        <v>89</v>
      </c>
      <c r="C33" s="389">
        <f>SUM(C34:C52)</f>
        <v>0</v>
      </c>
      <c r="D33" s="389">
        <f t="shared" ref="D33:F33" si="15">SUM(D34:D52)</f>
        <v>0</v>
      </c>
      <c r="E33" s="389">
        <f t="shared" si="15"/>
        <v>0</v>
      </c>
      <c r="F33" s="389">
        <f t="shared" si="15"/>
        <v>0</v>
      </c>
      <c r="G33" s="389">
        <f>SUM(C33:F33)</f>
        <v>0</v>
      </c>
      <c r="H33" s="389"/>
      <c r="I33" s="389"/>
      <c r="J33" s="389"/>
      <c r="K33" s="389">
        <f t="shared" si="2"/>
        <v>0</v>
      </c>
      <c r="L33" s="389"/>
      <c r="M33" s="389"/>
      <c r="N33" s="389">
        <f>SUM(N34:N52)</f>
        <v>18114.900000000001</v>
      </c>
      <c r="O33" s="389">
        <f>SUM(O34:O52)</f>
        <v>41601.26</v>
      </c>
      <c r="P33" s="389">
        <f>SUM(P34:P52)</f>
        <v>3381.04</v>
      </c>
      <c r="Q33" s="389">
        <f>SUM(Q34:Q52)</f>
        <v>119651.88399999999</v>
      </c>
      <c r="R33" s="389">
        <f t="shared" ref="R33:R96" si="16">+N33+O33+P33+Q33</f>
        <v>182749.084</v>
      </c>
      <c r="S33" s="390"/>
      <c r="T33" s="390"/>
      <c r="U33" s="390"/>
      <c r="V33" s="390"/>
      <c r="W33" s="390"/>
      <c r="X33" s="390"/>
      <c r="Y33" s="390"/>
      <c r="Z33" s="390"/>
      <c r="AA33" s="390"/>
      <c r="AB33" s="386">
        <f t="shared" si="3"/>
        <v>182749.084</v>
      </c>
      <c r="AC33" s="1"/>
    </row>
    <row r="34" spans="1:29" ht="17.25" thickBot="1" x14ac:dyDescent="0.35">
      <c r="A34" s="392">
        <v>54101</v>
      </c>
      <c r="B34" s="542" t="s">
        <v>202</v>
      </c>
      <c r="C34" s="395"/>
      <c r="D34" s="395">
        <v>0</v>
      </c>
      <c r="E34" s="395"/>
      <c r="F34" s="395">
        <v>0</v>
      </c>
      <c r="G34" s="389">
        <f>SUM(C34:F34)</f>
        <v>0</v>
      </c>
      <c r="H34" s="390"/>
      <c r="I34" s="390"/>
      <c r="J34" s="390"/>
      <c r="K34" s="389">
        <f t="shared" si="2"/>
        <v>0</v>
      </c>
      <c r="L34" s="389"/>
      <c r="M34" s="389"/>
      <c r="N34" s="395">
        <f>+'[3]grupo por linea'!$O$12</f>
        <v>4668</v>
      </c>
      <c r="O34" s="395">
        <f>+'[3]grupo por linea'!$W$12</f>
        <v>471.6</v>
      </c>
      <c r="P34" s="395">
        <f>+'[3]grupo por linea'!$AB$12</f>
        <v>589.20000000000005</v>
      </c>
      <c r="Q34" s="395">
        <f>+'[3]grupo por linea'!$AW$12</f>
        <v>10071.6</v>
      </c>
      <c r="R34" s="389">
        <f t="shared" si="16"/>
        <v>15800.400000000001</v>
      </c>
      <c r="S34" s="390"/>
      <c r="T34" s="390"/>
      <c r="U34" s="390"/>
      <c r="V34" s="390"/>
      <c r="W34" s="390"/>
      <c r="X34" s="390"/>
      <c r="Y34" s="390"/>
      <c r="Z34" s="390"/>
      <c r="AA34" s="390"/>
      <c r="AB34" s="386">
        <f t="shared" si="3"/>
        <v>15800.400000000001</v>
      </c>
      <c r="AC34" s="1"/>
    </row>
    <row r="35" spans="1:29" ht="27" thickBot="1" x14ac:dyDescent="0.35">
      <c r="A35" s="392">
        <v>54103</v>
      </c>
      <c r="B35" s="542" t="s">
        <v>203</v>
      </c>
      <c r="C35" s="390"/>
      <c r="D35" s="390"/>
      <c r="E35" s="390"/>
      <c r="F35" s="390"/>
      <c r="G35" s="389">
        <f t="shared" ref="G35:G98" si="17">SUM(C35:F35)</f>
        <v>0</v>
      </c>
      <c r="H35" s="390"/>
      <c r="I35" s="390"/>
      <c r="J35" s="390"/>
      <c r="K35" s="389">
        <f t="shared" si="2"/>
        <v>0</v>
      </c>
      <c r="L35" s="389"/>
      <c r="M35" s="389"/>
      <c r="N35" s="395"/>
      <c r="O35" s="395"/>
      <c r="P35" s="395"/>
      <c r="Q35" s="395">
        <f>+'[3]grupo por linea'!$AW$13</f>
        <v>192</v>
      </c>
      <c r="R35" s="389">
        <f t="shared" si="16"/>
        <v>192</v>
      </c>
      <c r="S35" s="390"/>
      <c r="T35" s="390"/>
      <c r="U35" s="390"/>
      <c r="V35" s="390"/>
      <c r="W35" s="390"/>
      <c r="X35" s="390"/>
      <c r="Y35" s="390"/>
      <c r="Z35" s="390"/>
      <c r="AA35" s="390"/>
      <c r="AB35" s="386">
        <f t="shared" si="3"/>
        <v>192</v>
      </c>
      <c r="AC35" s="1"/>
    </row>
    <row r="36" spans="1:29" ht="17.25" thickBot="1" x14ac:dyDescent="0.35">
      <c r="A36" s="392">
        <v>54104</v>
      </c>
      <c r="B36" s="542" t="s">
        <v>91</v>
      </c>
      <c r="C36" s="395">
        <v>0</v>
      </c>
      <c r="D36" s="395">
        <v>0</v>
      </c>
      <c r="E36" s="395">
        <v>0</v>
      </c>
      <c r="F36" s="395">
        <v>0</v>
      </c>
      <c r="G36" s="389">
        <f t="shared" si="17"/>
        <v>0</v>
      </c>
      <c r="H36" s="390"/>
      <c r="I36" s="390"/>
      <c r="J36" s="390"/>
      <c r="K36" s="389">
        <f t="shared" si="2"/>
        <v>0</v>
      </c>
      <c r="L36" s="389"/>
      <c r="M36" s="389"/>
      <c r="N36" s="395">
        <f>+'[3]grupo por linea'!$O$22</f>
        <v>1621.12</v>
      </c>
      <c r="O36" s="395">
        <f>+'[3]grupo por linea'!$W$22</f>
        <v>2766.34</v>
      </c>
      <c r="P36" s="395">
        <f>+'[3]grupo por linea'!$AB$22</f>
        <v>103.08</v>
      </c>
      <c r="Q36" s="395">
        <f>+'[3]grupo por linea'!$AW$22</f>
        <v>15986.41</v>
      </c>
      <c r="R36" s="389">
        <f t="shared" si="16"/>
        <v>20476.95</v>
      </c>
      <c r="S36" s="390"/>
      <c r="T36" s="390"/>
      <c r="U36" s="390"/>
      <c r="V36" s="390"/>
      <c r="W36" s="390"/>
      <c r="X36" s="390"/>
      <c r="Y36" s="390"/>
      <c r="Z36" s="390"/>
      <c r="AA36" s="390"/>
      <c r="AB36" s="386">
        <f t="shared" si="3"/>
        <v>20476.95</v>
      </c>
      <c r="AC36" s="1"/>
    </row>
    <row r="37" spans="1:29" ht="17.25" thickBot="1" x14ac:dyDescent="0.35">
      <c r="A37" s="392">
        <v>54105</v>
      </c>
      <c r="B37" s="542" t="s">
        <v>204</v>
      </c>
      <c r="C37" s="395">
        <v>0</v>
      </c>
      <c r="D37" s="395">
        <v>0</v>
      </c>
      <c r="E37" s="395">
        <v>0</v>
      </c>
      <c r="F37" s="395">
        <v>0</v>
      </c>
      <c r="G37" s="389">
        <f t="shared" si="17"/>
        <v>0</v>
      </c>
      <c r="H37" s="390"/>
      <c r="I37" s="390"/>
      <c r="J37" s="390"/>
      <c r="K37" s="389">
        <f t="shared" si="2"/>
        <v>0</v>
      </c>
      <c r="L37" s="389"/>
      <c r="M37" s="389"/>
      <c r="N37" s="395">
        <f>+'[3]grupo por linea'!$O$56</f>
        <v>2613.7199999999998</v>
      </c>
      <c r="O37" s="395">
        <f>+'[3]grupo por linea'!$W$56</f>
        <v>2995.65</v>
      </c>
      <c r="P37" s="395">
        <f>+'[3]grupo por linea'!$AB$56</f>
        <v>503.05999999999995</v>
      </c>
      <c r="Q37" s="395">
        <f>+'[3]grupo por linea'!$AW$56</f>
        <v>5581.3540000000012</v>
      </c>
      <c r="R37" s="389">
        <f t="shared" si="16"/>
        <v>11693.784000000001</v>
      </c>
      <c r="S37" s="390"/>
      <c r="T37" s="390"/>
      <c r="U37" s="390"/>
      <c r="V37" s="390"/>
      <c r="W37" s="390"/>
      <c r="X37" s="390"/>
      <c r="Y37" s="390"/>
      <c r="Z37" s="390"/>
      <c r="AA37" s="390"/>
      <c r="AB37" s="386">
        <f t="shared" si="3"/>
        <v>11693.784000000001</v>
      </c>
      <c r="AC37" s="1"/>
    </row>
    <row r="38" spans="1:29" ht="17.25" thickBot="1" x14ac:dyDescent="0.35">
      <c r="A38" s="392">
        <v>54106</v>
      </c>
      <c r="B38" s="542" t="s">
        <v>93</v>
      </c>
      <c r="C38" s="395"/>
      <c r="D38" s="395"/>
      <c r="E38" s="395"/>
      <c r="F38" s="395">
        <v>0</v>
      </c>
      <c r="G38" s="389">
        <f t="shared" si="17"/>
        <v>0</v>
      </c>
      <c r="H38" s="389"/>
      <c r="I38" s="389"/>
      <c r="J38" s="389"/>
      <c r="K38" s="389">
        <f t="shared" si="2"/>
        <v>0</v>
      </c>
      <c r="L38" s="389"/>
      <c r="M38" s="389"/>
      <c r="N38" s="395">
        <f>+'[3]grupo por linea'!$O$58</f>
        <v>350</v>
      </c>
      <c r="O38" s="395">
        <f>+'[3]grupo por linea'!$W$58</f>
        <v>2.5499999999999998</v>
      </c>
      <c r="P38" s="395">
        <f>+'[3]grupo por linea'!$AB$58</f>
        <v>0</v>
      </c>
      <c r="Q38" s="395">
        <f>+'[3]grupo por linea'!$AW$58</f>
        <v>520</v>
      </c>
      <c r="R38" s="389">
        <f t="shared" si="16"/>
        <v>872.55</v>
      </c>
      <c r="S38" s="390"/>
      <c r="T38" s="390"/>
      <c r="U38" s="390"/>
      <c r="V38" s="390"/>
      <c r="W38" s="390"/>
      <c r="X38" s="390"/>
      <c r="Y38" s="390"/>
      <c r="Z38" s="390"/>
      <c r="AA38" s="390"/>
      <c r="AB38" s="386">
        <f t="shared" si="3"/>
        <v>872.55</v>
      </c>
      <c r="AC38" s="1"/>
    </row>
    <row r="39" spans="1:29" ht="17.25" thickBot="1" x14ac:dyDescent="0.35">
      <c r="A39" s="392">
        <v>54107</v>
      </c>
      <c r="B39" s="542" t="s">
        <v>94</v>
      </c>
      <c r="C39" s="395"/>
      <c r="D39" s="395">
        <v>0</v>
      </c>
      <c r="E39" s="395"/>
      <c r="F39" s="395">
        <v>0</v>
      </c>
      <c r="G39" s="389">
        <f t="shared" si="17"/>
        <v>0</v>
      </c>
      <c r="H39" s="389"/>
      <c r="I39" s="389"/>
      <c r="J39" s="389"/>
      <c r="K39" s="389">
        <f t="shared" si="2"/>
        <v>0</v>
      </c>
      <c r="L39" s="389"/>
      <c r="M39" s="389"/>
      <c r="N39" s="395">
        <f>+'[3]grupo por linea'!$O$100</f>
        <v>1575.45</v>
      </c>
      <c r="O39" s="395">
        <f>+'[3]grupo por linea'!$W$100</f>
        <v>304.65999999999997</v>
      </c>
      <c r="P39" s="395">
        <f>+'[3]grupo por linea'!$AB$100</f>
        <v>83</v>
      </c>
      <c r="Q39" s="395">
        <f>+'[3]grupo por linea'!$AW$100</f>
        <v>12582.61</v>
      </c>
      <c r="R39" s="389">
        <f t="shared" si="16"/>
        <v>14545.720000000001</v>
      </c>
      <c r="S39" s="390"/>
      <c r="T39" s="390"/>
      <c r="U39" s="390"/>
      <c r="V39" s="390"/>
      <c r="W39" s="390"/>
      <c r="X39" s="390"/>
      <c r="Y39" s="390"/>
      <c r="Z39" s="390"/>
      <c r="AA39" s="390"/>
      <c r="AB39" s="386">
        <f t="shared" si="3"/>
        <v>14545.720000000001</v>
      </c>
      <c r="AC39" s="1"/>
    </row>
    <row r="40" spans="1:29" ht="27" thickBot="1" x14ac:dyDescent="0.35">
      <c r="A40" s="392">
        <v>54108</v>
      </c>
      <c r="B40" s="542" t="s">
        <v>95</v>
      </c>
      <c r="C40" s="395"/>
      <c r="D40" s="395"/>
      <c r="E40" s="395"/>
      <c r="F40" s="395">
        <v>0</v>
      </c>
      <c r="G40" s="389">
        <f t="shared" si="17"/>
        <v>0</v>
      </c>
      <c r="H40" s="390"/>
      <c r="I40" s="390"/>
      <c r="J40" s="390"/>
      <c r="K40" s="389">
        <f t="shared" si="2"/>
        <v>0</v>
      </c>
      <c r="L40" s="389"/>
      <c r="M40" s="389"/>
      <c r="N40" s="395"/>
      <c r="O40" s="395"/>
      <c r="P40" s="395"/>
      <c r="Q40" s="395">
        <v>1000</v>
      </c>
      <c r="R40" s="389">
        <f t="shared" si="16"/>
        <v>1000</v>
      </c>
      <c r="S40" s="390"/>
      <c r="T40" s="390"/>
      <c r="U40" s="390"/>
      <c r="V40" s="390"/>
      <c r="W40" s="390"/>
      <c r="X40" s="390"/>
      <c r="Y40" s="390"/>
      <c r="Z40" s="390"/>
      <c r="AA40" s="390"/>
      <c r="AB40" s="386">
        <f t="shared" si="3"/>
        <v>1000</v>
      </c>
      <c r="AC40" s="1"/>
    </row>
    <row r="41" spans="1:29" ht="17.25" thickBot="1" x14ac:dyDescent="0.35">
      <c r="A41" s="392">
        <v>54109</v>
      </c>
      <c r="B41" s="542" t="s">
        <v>96</v>
      </c>
      <c r="C41" s="395">
        <v>0</v>
      </c>
      <c r="D41" s="395"/>
      <c r="E41" s="395">
        <v>0</v>
      </c>
      <c r="F41" s="395">
        <v>0</v>
      </c>
      <c r="G41" s="389">
        <f t="shared" si="17"/>
        <v>0</v>
      </c>
      <c r="H41" s="390"/>
      <c r="I41" s="390"/>
      <c r="J41" s="390"/>
      <c r="K41" s="389">
        <f t="shared" si="2"/>
        <v>0</v>
      </c>
      <c r="L41" s="389"/>
      <c r="M41" s="389"/>
      <c r="N41" s="395">
        <v>750</v>
      </c>
      <c r="O41" s="395"/>
      <c r="P41" s="395"/>
      <c r="Q41" s="395">
        <v>2250</v>
      </c>
      <c r="R41" s="389">
        <f t="shared" si="16"/>
        <v>3000</v>
      </c>
      <c r="S41" s="390"/>
      <c r="T41" s="390"/>
      <c r="U41" s="390"/>
      <c r="V41" s="390"/>
      <c r="W41" s="390"/>
      <c r="X41" s="390"/>
      <c r="Y41" s="390"/>
      <c r="Z41" s="390"/>
      <c r="AA41" s="390"/>
      <c r="AB41" s="386">
        <f t="shared" si="3"/>
        <v>3000</v>
      </c>
      <c r="AC41" s="1"/>
    </row>
    <row r="42" spans="1:29" ht="17.25" thickBot="1" x14ac:dyDescent="0.35">
      <c r="A42" s="392">
        <v>54110</v>
      </c>
      <c r="B42" s="542" t="s">
        <v>97</v>
      </c>
      <c r="C42" s="395"/>
      <c r="D42" s="395"/>
      <c r="E42" s="395"/>
      <c r="F42" s="395">
        <v>0</v>
      </c>
      <c r="G42" s="389">
        <f t="shared" si="17"/>
        <v>0</v>
      </c>
      <c r="H42" s="389"/>
      <c r="I42" s="389"/>
      <c r="J42" s="389"/>
      <c r="K42" s="389">
        <f t="shared" si="2"/>
        <v>0</v>
      </c>
      <c r="L42" s="389"/>
      <c r="M42" s="389"/>
      <c r="N42" s="395"/>
      <c r="O42" s="395"/>
      <c r="P42" s="395"/>
      <c r="Q42" s="395">
        <v>45000</v>
      </c>
      <c r="R42" s="389">
        <f t="shared" si="16"/>
        <v>45000</v>
      </c>
      <c r="S42" s="390"/>
      <c r="T42" s="390"/>
      <c r="U42" s="390"/>
      <c r="V42" s="390"/>
      <c r="W42" s="390"/>
      <c r="X42" s="390"/>
      <c r="Y42" s="390"/>
      <c r="Z42" s="390"/>
      <c r="AA42" s="390"/>
      <c r="AB42" s="386">
        <f t="shared" si="3"/>
        <v>45000</v>
      </c>
      <c r="AC42" s="1"/>
    </row>
    <row r="43" spans="1:29" ht="27" thickBot="1" x14ac:dyDescent="0.35">
      <c r="A43" s="392">
        <v>54111</v>
      </c>
      <c r="B43" s="542" t="s">
        <v>205</v>
      </c>
      <c r="C43" s="390"/>
      <c r="D43" s="390"/>
      <c r="E43" s="390"/>
      <c r="F43" s="390"/>
      <c r="G43" s="389">
        <f t="shared" si="17"/>
        <v>0</v>
      </c>
      <c r="H43" s="389"/>
      <c r="I43" s="389"/>
      <c r="J43" s="389"/>
      <c r="K43" s="389">
        <f t="shared" si="2"/>
        <v>0</v>
      </c>
      <c r="L43" s="389"/>
      <c r="M43" s="389"/>
      <c r="N43" s="395">
        <v>4000</v>
      </c>
      <c r="O43" s="395"/>
      <c r="P43" s="395">
        <v>443</v>
      </c>
      <c r="Q43" s="395">
        <f>+'[3]grupo por linea'!$AW$107</f>
        <v>50.400000000000006</v>
      </c>
      <c r="R43" s="389">
        <f t="shared" si="16"/>
        <v>4493.3999999999996</v>
      </c>
      <c r="S43" s="390"/>
      <c r="T43" s="390"/>
      <c r="U43" s="390"/>
      <c r="V43" s="390"/>
      <c r="W43" s="390"/>
      <c r="X43" s="390"/>
      <c r="Y43" s="390"/>
      <c r="Z43" s="390"/>
      <c r="AA43" s="390"/>
      <c r="AB43" s="386">
        <f t="shared" si="3"/>
        <v>4493.3999999999996</v>
      </c>
      <c r="AC43" s="1"/>
    </row>
    <row r="44" spans="1:29" ht="27" thickBot="1" x14ac:dyDescent="0.35">
      <c r="A44" s="392">
        <v>54112</v>
      </c>
      <c r="B44" s="542" t="s">
        <v>206</v>
      </c>
      <c r="C44" s="395"/>
      <c r="D44" s="395"/>
      <c r="E44" s="395">
        <v>0</v>
      </c>
      <c r="F44" s="395">
        <v>0</v>
      </c>
      <c r="G44" s="389">
        <f t="shared" si="17"/>
        <v>0</v>
      </c>
      <c r="H44" s="390"/>
      <c r="I44" s="390"/>
      <c r="J44" s="390"/>
      <c r="K44" s="389">
        <f t="shared" si="2"/>
        <v>0</v>
      </c>
      <c r="L44" s="389"/>
      <c r="M44" s="389"/>
      <c r="N44" s="395"/>
      <c r="O44" s="395"/>
      <c r="P44" s="395">
        <v>500</v>
      </c>
      <c r="Q44" s="395">
        <v>500</v>
      </c>
      <c r="R44" s="389">
        <f t="shared" si="16"/>
        <v>1000</v>
      </c>
      <c r="S44" s="390"/>
      <c r="T44" s="390"/>
      <c r="U44" s="390"/>
      <c r="V44" s="390"/>
      <c r="W44" s="390"/>
      <c r="X44" s="390"/>
      <c r="Y44" s="390"/>
      <c r="Z44" s="390"/>
      <c r="AA44" s="390"/>
      <c r="AB44" s="386">
        <f t="shared" si="3"/>
        <v>1000</v>
      </c>
      <c r="AC44" s="1"/>
    </row>
    <row r="45" spans="1:29" ht="17.25" thickBot="1" x14ac:dyDescent="0.35">
      <c r="A45" s="392">
        <v>54114</v>
      </c>
      <c r="B45" s="542" t="s">
        <v>100</v>
      </c>
      <c r="C45" s="395">
        <v>0</v>
      </c>
      <c r="D45" s="395">
        <v>0</v>
      </c>
      <c r="E45" s="395">
        <v>0</v>
      </c>
      <c r="F45" s="395">
        <v>0</v>
      </c>
      <c r="G45" s="389">
        <f t="shared" si="17"/>
        <v>0</v>
      </c>
      <c r="H45" s="396"/>
      <c r="I45" s="396"/>
      <c r="J45" s="396"/>
      <c r="K45" s="389">
        <f t="shared" si="2"/>
        <v>0</v>
      </c>
      <c r="L45" s="389"/>
      <c r="M45" s="389"/>
      <c r="N45" s="395">
        <f>+'[3]grupo por linea'!$O$147</f>
        <v>528.14</v>
      </c>
      <c r="O45" s="395">
        <f>+'[3]grupo por linea'!$W$147</f>
        <v>1182.7200000000003</v>
      </c>
      <c r="P45" s="395">
        <f>+'[3]grupo por linea'!$AB$147</f>
        <v>107.45000000000002</v>
      </c>
      <c r="Q45" s="395">
        <f>+'[3]grupo por linea'!$AW$147</f>
        <v>4461.6799999999985</v>
      </c>
      <c r="R45" s="389">
        <f t="shared" si="16"/>
        <v>6279.9899999999989</v>
      </c>
      <c r="S45" s="390"/>
      <c r="T45" s="390"/>
      <c r="U45" s="390"/>
      <c r="V45" s="390"/>
      <c r="W45" s="390"/>
      <c r="X45" s="390"/>
      <c r="Y45" s="390"/>
      <c r="Z45" s="390"/>
      <c r="AA45" s="390"/>
      <c r="AB45" s="386">
        <f t="shared" si="3"/>
        <v>6279.9899999999989</v>
      </c>
      <c r="AC45" s="1"/>
    </row>
    <row r="46" spans="1:29" ht="17.25" thickBot="1" x14ac:dyDescent="0.35">
      <c r="A46" s="392">
        <v>54115</v>
      </c>
      <c r="B46" s="542" t="s">
        <v>101</v>
      </c>
      <c r="C46" s="395">
        <v>0</v>
      </c>
      <c r="D46" s="395">
        <v>0</v>
      </c>
      <c r="E46" s="395">
        <v>0</v>
      </c>
      <c r="F46" s="395">
        <v>0</v>
      </c>
      <c r="G46" s="389">
        <f t="shared" si="17"/>
        <v>0</v>
      </c>
      <c r="H46" s="396"/>
      <c r="I46" s="396"/>
      <c r="J46" s="396"/>
      <c r="K46" s="389">
        <f t="shared" si="2"/>
        <v>0</v>
      </c>
      <c r="L46" s="389"/>
      <c r="M46" s="389"/>
      <c r="N46" s="395">
        <f>+'[3]grupo por linea'!$O$166</f>
        <v>781.75</v>
      </c>
      <c r="O46" s="395">
        <f>+'[3]grupo por linea'!$W$166</f>
        <v>3827.1</v>
      </c>
      <c r="P46" s="395">
        <f>+'[3]grupo por linea'!$AB$166</f>
        <v>1052.25</v>
      </c>
      <c r="Q46" s="395">
        <f>+'[3]grupo por linea'!$AW$166</f>
        <v>4619.75</v>
      </c>
      <c r="R46" s="389">
        <f t="shared" si="16"/>
        <v>10280.85</v>
      </c>
      <c r="S46" s="390"/>
      <c r="T46" s="390"/>
      <c r="U46" s="390"/>
      <c r="V46" s="390"/>
      <c r="W46" s="390"/>
      <c r="X46" s="390"/>
      <c r="Y46" s="390"/>
      <c r="Z46" s="390"/>
      <c r="AA46" s="390"/>
      <c r="AB46" s="386">
        <f t="shared" si="3"/>
        <v>10280.85</v>
      </c>
      <c r="AC46" s="1"/>
    </row>
    <row r="47" spans="1:29" ht="27" thickBot="1" x14ac:dyDescent="0.35">
      <c r="A47" s="392">
        <v>54116</v>
      </c>
      <c r="B47" s="542" t="s">
        <v>207</v>
      </c>
      <c r="C47" s="390"/>
      <c r="D47" s="390"/>
      <c r="E47" s="390"/>
      <c r="F47" s="390"/>
      <c r="G47" s="389">
        <f t="shared" si="17"/>
        <v>0</v>
      </c>
      <c r="H47" s="396"/>
      <c r="I47" s="396"/>
      <c r="J47" s="396"/>
      <c r="K47" s="389">
        <f t="shared" si="2"/>
        <v>0</v>
      </c>
      <c r="L47" s="389"/>
      <c r="M47" s="389"/>
      <c r="N47" s="395"/>
      <c r="O47" s="395"/>
      <c r="P47" s="395"/>
      <c r="Q47" s="395"/>
      <c r="R47" s="389">
        <f t="shared" si="16"/>
        <v>0</v>
      </c>
      <c r="S47" s="390"/>
      <c r="T47" s="390"/>
      <c r="U47" s="390"/>
      <c r="V47" s="390"/>
      <c r="W47" s="390"/>
      <c r="X47" s="390"/>
      <c r="Y47" s="390"/>
      <c r="Z47" s="390"/>
      <c r="AA47" s="390"/>
      <c r="AB47" s="386">
        <f t="shared" si="3"/>
        <v>0</v>
      </c>
      <c r="AC47" s="1"/>
    </row>
    <row r="48" spans="1:29" ht="27" thickBot="1" x14ac:dyDescent="0.35">
      <c r="A48" s="392">
        <v>54117</v>
      </c>
      <c r="B48" s="542" t="s">
        <v>102</v>
      </c>
      <c r="C48" s="395"/>
      <c r="D48" s="395"/>
      <c r="E48" s="395"/>
      <c r="F48" s="395">
        <v>0</v>
      </c>
      <c r="G48" s="389">
        <f t="shared" si="17"/>
        <v>0</v>
      </c>
      <c r="H48" s="390"/>
      <c r="I48" s="390"/>
      <c r="J48" s="390"/>
      <c r="K48" s="389">
        <f t="shared" si="2"/>
        <v>0</v>
      </c>
      <c r="L48" s="389"/>
      <c r="M48" s="389"/>
      <c r="N48" s="395">
        <f>+'[3]grupo por linea'!$O$173</f>
        <v>1000</v>
      </c>
      <c r="O48" s="395">
        <f>+'[3]grupo por linea'!$W$173</f>
        <v>0</v>
      </c>
      <c r="P48" s="395">
        <f>+'[3]grupo por linea'!$AB$173</f>
        <v>0</v>
      </c>
      <c r="Q48" s="395">
        <f>+'[3]grupo por linea'!$AW$173</f>
        <v>3357.5</v>
      </c>
      <c r="R48" s="389">
        <f t="shared" si="16"/>
        <v>4357.5</v>
      </c>
      <c r="S48" s="390"/>
      <c r="T48" s="390"/>
      <c r="U48" s="390"/>
      <c r="V48" s="390"/>
      <c r="W48" s="390"/>
      <c r="X48" s="390"/>
      <c r="Y48" s="390"/>
      <c r="Z48" s="390"/>
      <c r="AA48" s="390"/>
      <c r="AB48" s="386">
        <f t="shared" si="3"/>
        <v>4357.5</v>
      </c>
      <c r="AC48" s="1"/>
    </row>
    <row r="49" spans="1:29" ht="27" thickBot="1" x14ac:dyDescent="0.35">
      <c r="A49" s="392">
        <v>54118</v>
      </c>
      <c r="B49" s="542" t="s">
        <v>208</v>
      </c>
      <c r="C49" s="395"/>
      <c r="D49" s="395"/>
      <c r="E49" s="395"/>
      <c r="F49" s="395">
        <v>0</v>
      </c>
      <c r="G49" s="389">
        <f t="shared" si="17"/>
        <v>0</v>
      </c>
      <c r="H49" s="390"/>
      <c r="I49" s="390"/>
      <c r="J49" s="390"/>
      <c r="K49" s="389">
        <f t="shared" si="2"/>
        <v>0</v>
      </c>
      <c r="L49" s="389"/>
      <c r="M49" s="389"/>
      <c r="N49" s="395">
        <f>+'[3]grupo por linea'!$O$201</f>
        <v>190</v>
      </c>
      <c r="O49" s="395">
        <f>+'[3]grupo por linea'!$W$201</f>
        <v>0</v>
      </c>
      <c r="P49" s="395">
        <f>+'[3]grupo por linea'!$AB$201</f>
        <v>0</v>
      </c>
      <c r="Q49" s="395">
        <f>+'[3]grupo por linea'!$AW$201</f>
        <v>6414.2000000000007</v>
      </c>
      <c r="R49" s="389">
        <f t="shared" si="16"/>
        <v>6604.2000000000007</v>
      </c>
      <c r="S49" s="390"/>
      <c r="T49" s="390"/>
      <c r="U49" s="390"/>
      <c r="V49" s="390"/>
      <c r="W49" s="390"/>
      <c r="X49" s="390"/>
      <c r="Y49" s="390"/>
      <c r="Z49" s="390"/>
      <c r="AA49" s="390"/>
      <c r="AB49" s="386">
        <f t="shared" si="3"/>
        <v>6604.2000000000007</v>
      </c>
      <c r="AC49" s="1"/>
    </row>
    <row r="50" spans="1:29" ht="17.25" thickBot="1" x14ac:dyDescent="0.35">
      <c r="A50" s="392">
        <v>54119</v>
      </c>
      <c r="B50" s="542" t="s">
        <v>104</v>
      </c>
      <c r="C50" s="395"/>
      <c r="D50" s="395"/>
      <c r="E50" s="395"/>
      <c r="F50" s="395">
        <v>0</v>
      </c>
      <c r="G50" s="389">
        <f t="shared" si="17"/>
        <v>0</v>
      </c>
      <c r="H50" s="390"/>
      <c r="I50" s="390"/>
      <c r="J50" s="390"/>
      <c r="K50" s="389">
        <f t="shared" si="2"/>
        <v>0</v>
      </c>
      <c r="L50" s="389"/>
      <c r="M50" s="389"/>
      <c r="N50" s="395">
        <f>+'[3]grupo por linea'!$O$211</f>
        <v>0</v>
      </c>
      <c r="O50" s="395">
        <f>+'[3]grupo por linea'!$W$211</f>
        <v>0</v>
      </c>
      <c r="P50" s="395">
        <f>+'[3]grupo por linea'!$AB$211</f>
        <v>0</v>
      </c>
      <c r="Q50" s="395">
        <f>+'[3]grupo por linea'!$AW$211</f>
        <v>1473.5</v>
      </c>
      <c r="R50" s="389">
        <f t="shared" si="16"/>
        <v>1473.5</v>
      </c>
      <c r="S50" s="390"/>
      <c r="T50" s="390"/>
      <c r="U50" s="390"/>
      <c r="V50" s="390"/>
      <c r="W50" s="390"/>
      <c r="X50" s="390"/>
      <c r="Y50" s="390"/>
      <c r="Z50" s="390"/>
      <c r="AA50" s="390"/>
      <c r="AB50" s="386">
        <f t="shared" si="3"/>
        <v>1473.5</v>
      </c>
      <c r="AC50" s="1"/>
    </row>
    <row r="51" spans="1:29" ht="17.25" thickBot="1" x14ac:dyDescent="0.35">
      <c r="A51" s="392">
        <v>54121</v>
      </c>
      <c r="B51" s="542" t="s">
        <v>105</v>
      </c>
      <c r="C51" s="395"/>
      <c r="D51" s="395">
        <v>0</v>
      </c>
      <c r="E51" s="395"/>
      <c r="F51" s="395"/>
      <c r="G51" s="389">
        <f t="shared" si="17"/>
        <v>0</v>
      </c>
      <c r="H51" s="390"/>
      <c r="I51" s="390"/>
      <c r="J51" s="390"/>
      <c r="K51" s="389">
        <f t="shared" si="2"/>
        <v>0</v>
      </c>
      <c r="L51" s="389"/>
      <c r="M51" s="389"/>
      <c r="N51" s="395"/>
      <c r="O51" s="395">
        <v>30000</v>
      </c>
      <c r="P51" s="395"/>
      <c r="Q51" s="395"/>
      <c r="R51" s="389">
        <f t="shared" si="16"/>
        <v>30000</v>
      </c>
      <c r="S51" s="390"/>
      <c r="T51" s="390"/>
      <c r="U51" s="390"/>
      <c r="V51" s="390"/>
      <c r="W51" s="390"/>
      <c r="X51" s="390"/>
      <c r="Y51" s="390"/>
      <c r="Z51" s="390"/>
      <c r="AA51" s="390"/>
      <c r="AB51" s="386">
        <f t="shared" si="3"/>
        <v>30000</v>
      </c>
      <c r="AC51" s="1"/>
    </row>
    <row r="52" spans="1:29" ht="17.25" thickBot="1" x14ac:dyDescent="0.35">
      <c r="A52" s="392">
        <v>54199</v>
      </c>
      <c r="B52" s="542" t="s">
        <v>209</v>
      </c>
      <c r="C52" s="395"/>
      <c r="D52" s="395">
        <v>0</v>
      </c>
      <c r="E52" s="395">
        <v>0</v>
      </c>
      <c r="F52" s="395">
        <v>0</v>
      </c>
      <c r="G52" s="389">
        <f t="shared" si="17"/>
        <v>0</v>
      </c>
      <c r="H52" s="390"/>
      <c r="I52" s="390"/>
      <c r="J52" s="390"/>
      <c r="K52" s="389">
        <f t="shared" si="2"/>
        <v>0</v>
      </c>
      <c r="L52" s="389"/>
      <c r="M52" s="389"/>
      <c r="N52" s="395">
        <f>+'[3]grupo por linea'!$O$230</f>
        <v>36.72</v>
      </c>
      <c r="O52" s="395">
        <f>+'[3]grupo por linea'!$W$230</f>
        <v>50.64</v>
      </c>
      <c r="P52" s="395">
        <f>+'[3]grupo por linea'!$AB$230</f>
        <v>0</v>
      </c>
      <c r="Q52" s="395">
        <f>+'[3]grupo por linea'!$AW$230</f>
        <v>5590.88</v>
      </c>
      <c r="R52" s="389">
        <f t="shared" si="16"/>
        <v>5678.24</v>
      </c>
      <c r="S52" s="390"/>
      <c r="T52" s="390"/>
      <c r="U52" s="390"/>
      <c r="V52" s="390"/>
      <c r="W52" s="390"/>
      <c r="X52" s="390"/>
      <c r="Y52" s="390"/>
      <c r="Z52" s="390"/>
      <c r="AA52" s="390"/>
      <c r="AB52" s="386">
        <f t="shared" si="3"/>
        <v>5678.24</v>
      </c>
      <c r="AC52" s="1"/>
    </row>
    <row r="53" spans="1:29" ht="17.25" thickBot="1" x14ac:dyDescent="0.35">
      <c r="A53" s="387">
        <v>542</v>
      </c>
      <c r="B53" s="543" t="s">
        <v>47</v>
      </c>
      <c r="C53" s="389">
        <f>SUM(C54:C58)</f>
        <v>0</v>
      </c>
      <c r="D53" s="389">
        <f t="shared" ref="D53:F53" si="18">SUM(D54:D58)</f>
        <v>221587.24</v>
      </c>
      <c r="E53" s="389">
        <f t="shared" si="18"/>
        <v>0</v>
      </c>
      <c r="F53" s="389">
        <f t="shared" si="18"/>
        <v>0</v>
      </c>
      <c r="G53" s="389">
        <f t="shared" si="17"/>
        <v>221587.24</v>
      </c>
      <c r="H53" s="390"/>
      <c r="I53" s="390"/>
      <c r="J53" s="390"/>
      <c r="K53" s="389">
        <f t="shared" si="2"/>
        <v>0</v>
      </c>
      <c r="L53" s="389"/>
      <c r="M53" s="389"/>
      <c r="N53" s="389">
        <f>SUM(N54:N58)</f>
        <v>0</v>
      </c>
      <c r="O53" s="389">
        <f>SUM(O54:O58)</f>
        <v>134121.47</v>
      </c>
      <c r="P53" s="389">
        <f>SUM(P54:P58)</f>
        <v>0</v>
      </c>
      <c r="Q53" s="389">
        <f>SUM(Q54:Q58)</f>
        <v>0</v>
      </c>
      <c r="R53" s="389">
        <f t="shared" si="16"/>
        <v>134121.47</v>
      </c>
      <c r="S53" s="390"/>
      <c r="T53" s="390"/>
      <c r="U53" s="390"/>
      <c r="V53" s="390"/>
      <c r="W53" s="390"/>
      <c r="X53" s="390"/>
      <c r="Y53" s="390"/>
      <c r="Z53" s="390"/>
      <c r="AA53" s="390"/>
      <c r="AB53" s="386">
        <f t="shared" si="3"/>
        <v>355708.70999999996</v>
      </c>
      <c r="AC53" s="1"/>
    </row>
    <row r="54" spans="1:29" ht="17.25" thickBot="1" x14ac:dyDescent="0.35">
      <c r="A54" s="392">
        <v>54201</v>
      </c>
      <c r="B54" s="542" t="s">
        <v>107</v>
      </c>
      <c r="C54" s="395"/>
      <c r="D54" s="395">
        <v>165587.24</v>
      </c>
      <c r="E54" s="395"/>
      <c r="F54" s="395"/>
      <c r="G54" s="389">
        <f t="shared" si="17"/>
        <v>165587.24</v>
      </c>
      <c r="H54" s="390"/>
      <c r="I54" s="390"/>
      <c r="J54" s="390"/>
      <c r="K54" s="389">
        <f t="shared" si="2"/>
        <v>0</v>
      </c>
      <c r="L54" s="389"/>
      <c r="M54" s="389"/>
      <c r="N54" s="390"/>
      <c r="O54" s="390">
        <v>44121.47</v>
      </c>
      <c r="P54" s="390"/>
      <c r="Q54" s="390">
        <v>0</v>
      </c>
      <c r="R54" s="389">
        <f t="shared" si="16"/>
        <v>44121.47</v>
      </c>
      <c r="S54" s="390"/>
      <c r="T54" s="390"/>
      <c r="U54" s="390"/>
      <c r="V54" s="390"/>
      <c r="W54" s="390"/>
      <c r="X54" s="390"/>
      <c r="Y54" s="390"/>
      <c r="Z54" s="390"/>
      <c r="AA54" s="390"/>
      <c r="AB54" s="386">
        <f t="shared" si="3"/>
        <v>209708.71</v>
      </c>
      <c r="AC54" s="1"/>
    </row>
    <row r="55" spans="1:29" ht="17.25" thickBot="1" x14ac:dyDescent="0.35">
      <c r="A55" s="392">
        <v>54202</v>
      </c>
      <c r="B55" s="542" t="s">
        <v>108</v>
      </c>
      <c r="C55" s="395"/>
      <c r="D55" s="395"/>
      <c r="E55" s="395"/>
      <c r="F55" s="395">
        <v>0</v>
      </c>
      <c r="G55" s="389">
        <f t="shared" si="17"/>
        <v>0</v>
      </c>
      <c r="H55" s="390"/>
      <c r="I55" s="390"/>
      <c r="J55" s="390"/>
      <c r="K55" s="389">
        <f t="shared" si="2"/>
        <v>0</v>
      </c>
      <c r="L55" s="389"/>
      <c r="M55" s="389"/>
      <c r="N55" s="390"/>
      <c r="O55" s="390">
        <v>5000</v>
      </c>
      <c r="P55" s="390"/>
      <c r="Q55" s="395"/>
      <c r="R55" s="389">
        <f t="shared" si="16"/>
        <v>5000</v>
      </c>
      <c r="S55" s="390"/>
      <c r="T55" s="390"/>
      <c r="U55" s="390"/>
      <c r="V55" s="390"/>
      <c r="W55" s="390"/>
      <c r="X55" s="390"/>
      <c r="Y55" s="390"/>
      <c r="Z55" s="390"/>
      <c r="AA55" s="390"/>
      <c r="AB55" s="386">
        <f t="shared" si="3"/>
        <v>5000</v>
      </c>
      <c r="AC55" s="1"/>
    </row>
    <row r="56" spans="1:29" ht="17.25" thickBot="1" x14ac:dyDescent="0.35">
      <c r="A56" s="392">
        <v>54203</v>
      </c>
      <c r="B56" s="542" t="s">
        <v>109</v>
      </c>
      <c r="C56" s="395"/>
      <c r="D56" s="395">
        <v>20000</v>
      </c>
      <c r="E56" s="395"/>
      <c r="F56" s="395">
        <v>0</v>
      </c>
      <c r="G56" s="389">
        <f t="shared" si="17"/>
        <v>20000</v>
      </c>
      <c r="H56" s="390"/>
      <c r="I56" s="390"/>
      <c r="J56" s="390"/>
      <c r="K56" s="389">
        <f t="shared" si="2"/>
        <v>0</v>
      </c>
      <c r="L56" s="389"/>
      <c r="M56" s="389"/>
      <c r="N56" s="390"/>
      <c r="O56" s="390">
        <v>35000</v>
      </c>
      <c r="P56" s="390"/>
      <c r="Q56" s="395"/>
      <c r="R56" s="389">
        <f t="shared" si="16"/>
        <v>35000</v>
      </c>
      <c r="S56" s="390"/>
      <c r="T56" s="390"/>
      <c r="U56" s="390"/>
      <c r="V56" s="390"/>
      <c r="W56" s="390"/>
      <c r="X56" s="390"/>
      <c r="Y56" s="390"/>
      <c r="Z56" s="390"/>
      <c r="AA56" s="390"/>
      <c r="AB56" s="386">
        <f t="shared" si="3"/>
        <v>55000</v>
      </c>
      <c r="AC56" s="1"/>
    </row>
    <row r="57" spans="1:29" ht="17.25" thickBot="1" x14ac:dyDescent="0.35">
      <c r="A57" s="392">
        <v>54204</v>
      </c>
      <c r="B57" s="542" t="s">
        <v>210</v>
      </c>
      <c r="C57" s="390"/>
      <c r="D57" s="390"/>
      <c r="E57" s="390"/>
      <c r="F57" s="390"/>
      <c r="G57" s="389">
        <f t="shared" si="17"/>
        <v>0</v>
      </c>
      <c r="H57" s="390"/>
      <c r="I57" s="390"/>
      <c r="J57" s="390"/>
      <c r="K57" s="389">
        <f t="shared" si="2"/>
        <v>0</v>
      </c>
      <c r="L57" s="389"/>
      <c r="M57" s="389"/>
      <c r="N57" s="390"/>
      <c r="O57" s="390"/>
      <c r="P57" s="390"/>
      <c r="Q57" s="390"/>
      <c r="R57" s="389">
        <f t="shared" si="16"/>
        <v>0</v>
      </c>
      <c r="S57" s="390"/>
      <c r="T57" s="390"/>
      <c r="U57" s="390"/>
      <c r="V57" s="390"/>
      <c r="W57" s="390"/>
      <c r="X57" s="390"/>
      <c r="Y57" s="390"/>
      <c r="Z57" s="390"/>
      <c r="AA57" s="390"/>
      <c r="AB57" s="386">
        <f t="shared" si="3"/>
        <v>0</v>
      </c>
      <c r="AC57" s="1"/>
    </row>
    <row r="58" spans="1:29" ht="17.25" thickBot="1" x14ac:dyDescent="0.35">
      <c r="A58" s="392">
        <v>54205</v>
      </c>
      <c r="B58" s="542" t="s">
        <v>30</v>
      </c>
      <c r="C58" s="395"/>
      <c r="D58" s="395">
        <v>36000</v>
      </c>
      <c r="E58" s="395"/>
      <c r="F58" s="395"/>
      <c r="G58" s="389">
        <f t="shared" si="17"/>
        <v>36000</v>
      </c>
      <c r="H58" s="390"/>
      <c r="I58" s="390"/>
      <c r="J58" s="390"/>
      <c r="K58" s="389">
        <f t="shared" si="2"/>
        <v>0</v>
      </c>
      <c r="L58" s="389"/>
      <c r="M58" s="389"/>
      <c r="N58" s="390"/>
      <c r="O58" s="390">
        <v>50000</v>
      </c>
      <c r="P58" s="390"/>
      <c r="Q58" s="395"/>
      <c r="R58" s="389">
        <f t="shared" si="16"/>
        <v>50000</v>
      </c>
      <c r="S58" s="390"/>
      <c r="T58" s="390"/>
      <c r="U58" s="390"/>
      <c r="V58" s="390"/>
      <c r="W58" s="390"/>
      <c r="X58" s="390"/>
      <c r="Y58" s="390"/>
      <c r="Z58" s="390"/>
      <c r="AA58" s="390"/>
      <c r="AB58" s="386">
        <f t="shared" si="3"/>
        <v>86000</v>
      </c>
      <c r="AC58" s="1"/>
    </row>
    <row r="59" spans="1:29" ht="27" thickBot="1" x14ac:dyDescent="0.35">
      <c r="A59" s="387">
        <v>543</v>
      </c>
      <c r="B59" s="543" t="s">
        <v>211</v>
      </c>
      <c r="C59" s="389">
        <f>SUM(C60:C74)</f>
        <v>0</v>
      </c>
      <c r="D59" s="389">
        <f t="shared" ref="D59:F59" si="19">SUM(D60:D74)</f>
        <v>0</v>
      </c>
      <c r="E59" s="389">
        <f t="shared" si="19"/>
        <v>0</v>
      </c>
      <c r="F59" s="389">
        <f t="shared" si="19"/>
        <v>0</v>
      </c>
      <c r="G59" s="389">
        <f t="shared" si="17"/>
        <v>0</v>
      </c>
      <c r="H59" s="389">
        <f t="shared" ref="H59:AA59" si="20">SUM(H60:H74)</f>
        <v>0</v>
      </c>
      <c r="I59" s="389">
        <f t="shared" si="20"/>
        <v>85170.93</v>
      </c>
      <c r="J59" s="389">
        <f t="shared" si="20"/>
        <v>0</v>
      </c>
      <c r="K59" s="389">
        <f t="shared" si="2"/>
        <v>85170.93</v>
      </c>
      <c r="L59" s="389"/>
      <c r="M59" s="389"/>
      <c r="N59" s="389">
        <f t="shared" si="20"/>
        <v>30600</v>
      </c>
      <c r="O59" s="389">
        <f t="shared" si="20"/>
        <v>10705</v>
      </c>
      <c r="P59" s="389">
        <f t="shared" si="20"/>
        <v>1310</v>
      </c>
      <c r="Q59" s="389">
        <f t="shared" si="20"/>
        <v>40128.880000000005</v>
      </c>
      <c r="R59" s="389">
        <f t="shared" si="16"/>
        <v>82743.88</v>
      </c>
      <c r="S59" s="389">
        <f t="shared" si="20"/>
        <v>0</v>
      </c>
      <c r="T59" s="389">
        <f t="shared" si="20"/>
        <v>0</v>
      </c>
      <c r="U59" s="389">
        <f t="shared" si="20"/>
        <v>0</v>
      </c>
      <c r="V59" s="389">
        <f t="shared" si="20"/>
        <v>0</v>
      </c>
      <c r="W59" s="389">
        <f t="shared" si="20"/>
        <v>0</v>
      </c>
      <c r="X59" s="389">
        <f t="shared" si="20"/>
        <v>0</v>
      </c>
      <c r="Y59" s="389">
        <f t="shared" si="20"/>
        <v>0</v>
      </c>
      <c r="Z59" s="389">
        <f t="shared" si="20"/>
        <v>0</v>
      </c>
      <c r="AA59" s="389">
        <f t="shared" si="20"/>
        <v>0</v>
      </c>
      <c r="AB59" s="386">
        <f t="shared" si="3"/>
        <v>167914.81</v>
      </c>
      <c r="AC59" s="1"/>
    </row>
    <row r="60" spans="1:29" ht="27" thickBot="1" x14ac:dyDescent="0.35">
      <c r="A60" s="392">
        <v>54301</v>
      </c>
      <c r="B60" s="542" t="s">
        <v>212</v>
      </c>
      <c r="C60" s="395">
        <v>0</v>
      </c>
      <c r="D60" s="395">
        <v>0</v>
      </c>
      <c r="E60" s="395">
        <v>0</v>
      </c>
      <c r="F60" s="395">
        <v>0</v>
      </c>
      <c r="G60" s="389">
        <f t="shared" si="17"/>
        <v>0</v>
      </c>
      <c r="H60" s="390"/>
      <c r="I60" s="390"/>
      <c r="J60" s="390"/>
      <c r="K60" s="389">
        <f t="shared" si="2"/>
        <v>0</v>
      </c>
      <c r="L60" s="389"/>
      <c r="M60" s="389"/>
      <c r="N60" s="395">
        <f>+'[3]grupo por linea'!$O$233</f>
        <v>600</v>
      </c>
      <c r="O60" s="395">
        <f>+'[3]grupo por linea'!$W$233</f>
        <v>2205</v>
      </c>
      <c r="P60" s="395">
        <f>+'[3]grupo por linea'!$AB$233</f>
        <v>1310</v>
      </c>
      <c r="Q60" s="395">
        <f>+'[3]grupo por linea'!$AW$233</f>
        <v>2550</v>
      </c>
      <c r="R60" s="389">
        <f t="shared" si="16"/>
        <v>6665</v>
      </c>
      <c r="S60" s="390"/>
      <c r="T60" s="390"/>
      <c r="U60" s="390"/>
      <c r="V60" s="390"/>
      <c r="W60" s="390"/>
      <c r="X60" s="390"/>
      <c r="Y60" s="390"/>
      <c r="Z60" s="390"/>
      <c r="AA60" s="390"/>
      <c r="AB60" s="386">
        <f t="shared" si="3"/>
        <v>6665</v>
      </c>
      <c r="AC60" s="1"/>
    </row>
    <row r="61" spans="1:29" ht="27" thickBot="1" x14ac:dyDescent="0.35">
      <c r="A61" s="392">
        <v>54302</v>
      </c>
      <c r="B61" s="542" t="s">
        <v>213</v>
      </c>
      <c r="C61" s="395">
        <v>0</v>
      </c>
      <c r="D61" s="395"/>
      <c r="E61" s="395"/>
      <c r="F61" s="395">
        <v>0</v>
      </c>
      <c r="G61" s="389">
        <f t="shared" si="17"/>
        <v>0</v>
      </c>
      <c r="H61" s="390"/>
      <c r="I61" s="390">
        <v>85170.93</v>
      </c>
      <c r="J61" s="390"/>
      <c r="K61" s="389">
        <f t="shared" si="2"/>
        <v>85170.93</v>
      </c>
      <c r="L61" s="389"/>
      <c r="M61" s="389"/>
      <c r="N61" s="395">
        <v>1000</v>
      </c>
      <c r="O61" s="395"/>
      <c r="P61" s="395"/>
      <c r="Q61" s="395">
        <v>12000</v>
      </c>
      <c r="R61" s="389">
        <f t="shared" si="16"/>
        <v>13000</v>
      </c>
      <c r="S61" s="390"/>
      <c r="T61" s="390"/>
      <c r="U61" s="390"/>
      <c r="V61" s="390"/>
      <c r="W61" s="390"/>
      <c r="X61" s="390"/>
      <c r="Y61" s="390"/>
      <c r="Z61" s="390"/>
      <c r="AA61" s="390"/>
      <c r="AB61" s="386">
        <f t="shared" si="3"/>
        <v>98170.93</v>
      </c>
      <c r="AC61" s="1"/>
    </row>
    <row r="62" spans="1:29" ht="27" thickBot="1" x14ac:dyDescent="0.35">
      <c r="A62" s="392">
        <v>54303</v>
      </c>
      <c r="B62" s="542" t="s">
        <v>214</v>
      </c>
      <c r="C62" s="395"/>
      <c r="D62" s="395"/>
      <c r="E62" s="395"/>
      <c r="F62" s="395">
        <v>0</v>
      </c>
      <c r="G62" s="389">
        <f t="shared" si="17"/>
        <v>0</v>
      </c>
      <c r="H62" s="390"/>
      <c r="I62" s="390"/>
      <c r="J62" s="390"/>
      <c r="K62" s="389">
        <f t="shared" si="2"/>
        <v>0</v>
      </c>
      <c r="L62" s="389"/>
      <c r="M62" s="389"/>
      <c r="N62" s="395">
        <v>1000</v>
      </c>
      <c r="O62" s="395"/>
      <c r="P62" s="395"/>
      <c r="Q62" s="395">
        <v>3362.88</v>
      </c>
      <c r="R62" s="389">
        <f t="shared" si="16"/>
        <v>4362.88</v>
      </c>
      <c r="S62" s="390"/>
      <c r="T62" s="390"/>
      <c r="U62" s="390"/>
      <c r="V62" s="390"/>
      <c r="W62" s="390"/>
      <c r="X62" s="390"/>
      <c r="Y62" s="390"/>
      <c r="Z62" s="390"/>
      <c r="AA62" s="390"/>
      <c r="AB62" s="386">
        <f t="shared" si="3"/>
        <v>4362.88</v>
      </c>
      <c r="AC62" s="1"/>
    </row>
    <row r="63" spans="1:29" ht="27" thickBot="1" x14ac:dyDescent="0.35">
      <c r="A63" s="392">
        <v>54304</v>
      </c>
      <c r="B63" s="542" t="s">
        <v>115</v>
      </c>
      <c r="C63" s="395"/>
      <c r="D63" s="395"/>
      <c r="E63" s="395"/>
      <c r="F63" s="395">
        <v>0</v>
      </c>
      <c r="G63" s="389">
        <f t="shared" si="17"/>
        <v>0</v>
      </c>
      <c r="H63" s="390"/>
      <c r="I63" s="390"/>
      <c r="J63" s="390"/>
      <c r="K63" s="389">
        <f t="shared" ref="K63:K131" si="21">+H63+I63+J63</f>
        <v>0</v>
      </c>
      <c r="L63" s="389"/>
      <c r="M63" s="389"/>
      <c r="N63" s="395">
        <v>2000</v>
      </c>
      <c r="O63" s="395"/>
      <c r="P63" s="395"/>
      <c r="Q63" s="395">
        <v>3000</v>
      </c>
      <c r="R63" s="389">
        <f t="shared" si="16"/>
        <v>5000</v>
      </c>
      <c r="S63" s="390"/>
      <c r="T63" s="390"/>
      <c r="U63" s="390"/>
      <c r="V63" s="390"/>
      <c r="W63" s="390"/>
      <c r="X63" s="390"/>
      <c r="Y63" s="390"/>
      <c r="Z63" s="390"/>
      <c r="AA63" s="390"/>
      <c r="AB63" s="386">
        <f t="shared" si="3"/>
        <v>5000</v>
      </c>
      <c r="AC63" s="1"/>
    </row>
    <row r="64" spans="1:29" ht="17.25" thickBot="1" x14ac:dyDescent="0.35">
      <c r="A64" s="392">
        <v>54305</v>
      </c>
      <c r="B64" s="542" t="s">
        <v>116</v>
      </c>
      <c r="C64" s="395"/>
      <c r="D64" s="395"/>
      <c r="E64" s="395"/>
      <c r="F64" s="395">
        <v>0</v>
      </c>
      <c r="G64" s="389">
        <f t="shared" si="17"/>
        <v>0</v>
      </c>
      <c r="H64" s="390"/>
      <c r="I64" s="390"/>
      <c r="J64" s="390"/>
      <c r="K64" s="389">
        <f t="shared" si="21"/>
        <v>0</v>
      </c>
      <c r="L64" s="389"/>
      <c r="M64" s="389"/>
      <c r="N64" s="395">
        <v>5000</v>
      </c>
      <c r="O64" s="395"/>
      <c r="P64" s="395"/>
      <c r="Q64" s="395">
        <v>3000</v>
      </c>
      <c r="R64" s="389">
        <f t="shared" si="16"/>
        <v>8000</v>
      </c>
      <c r="S64" s="390"/>
      <c r="T64" s="390"/>
      <c r="U64" s="390"/>
      <c r="V64" s="390"/>
      <c r="W64" s="390"/>
      <c r="X64" s="390"/>
      <c r="Y64" s="390"/>
      <c r="Z64" s="390"/>
      <c r="AA64" s="390"/>
      <c r="AB64" s="386">
        <f t="shared" si="3"/>
        <v>8000</v>
      </c>
      <c r="AC64" s="1"/>
    </row>
    <row r="65" spans="1:29" ht="17.25" thickBot="1" x14ac:dyDescent="0.35">
      <c r="A65" s="392">
        <v>54306</v>
      </c>
      <c r="B65" s="542" t="s">
        <v>215</v>
      </c>
      <c r="C65" s="395"/>
      <c r="D65" s="395"/>
      <c r="E65" s="395"/>
      <c r="F65" s="395"/>
      <c r="G65" s="389">
        <f t="shared" si="17"/>
        <v>0</v>
      </c>
      <c r="H65" s="390"/>
      <c r="I65" s="390"/>
      <c r="J65" s="390"/>
      <c r="K65" s="389">
        <f t="shared" si="21"/>
        <v>0</v>
      </c>
      <c r="L65" s="389"/>
      <c r="M65" s="389"/>
      <c r="N65" s="395"/>
      <c r="O65" s="395"/>
      <c r="P65" s="395"/>
      <c r="Q65" s="395"/>
      <c r="R65" s="389">
        <f t="shared" si="16"/>
        <v>0</v>
      </c>
      <c r="S65" s="390"/>
      <c r="T65" s="390"/>
      <c r="U65" s="390"/>
      <c r="V65" s="390"/>
      <c r="W65" s="390"/>
      <c r="X65" s="390"/>
      <c r="Y65" s="390"/>
      <c r="Z65" s="390"/>
      <c r="AA65" s="390"/>
      <c r="AB65" s="386">
        <f t="shared" si="3"/>
        <v>0</v>
      </c>
      <c r="AC65" s="1"/>
    </row>
    <row r="66" spans="1:29" ht="17.25" thickBot="1" x14ac:dyDescent="0.35">
      <c r="A66" s="392">
        <v>54307</v>
      </c>
      <c r="B66" s="542" t="s">
        <v>216</v>
      </c>
      <c r="C66" s="395"/>
      <c r="D66" s="395"/>
      <c r="E66" s="395"/>
      <c r="F66" s="395"/>
      <c r="G66" s="389">
        <f t="shared" si="17"/>
        <v>0</v>
      </c>
      <c r="H66" s="390"/>
      <c r="I66" s="390"/>
      <c r="J66" s="390"/>
      <c r="K66" s="389">
        <f t="shared" si="21"/>
        <v>0</v>
      </c>
      <c r="L66" s="389"/>
      <c r="M66" s="389"/>
      <c r="N66" s="395"/>
      <c r="O66" s="395"/>
      <c r="P66" s="395"/>
      <c r="Q66" s="395"/>
      <c r="R66" s="389">
        <f t="shared" si="16"/>
        <v>0</v>
      </c>
      <c r="S66" s="390"/>
      <c r="T66" s="390"/>
      <c r="U66" s="390"/>
      <c r="V66" s="390"/>
      <c r="W66" s="390"/>
      <c r="X66" s="390"/>
      <c r="Y66" s="390"/>
      <c r="Z66" s="390"/>
      <c r="AA66" s="390"/>
      <c r="AB66" s="386">
        <f t="shared" si="3"/>
        <v>0</v>
      </c>
      <c r="AC66" s="1"/>
    </row>
    <row r="67" spans="1:29" ht="17.25" thickBot="1" x14ac:dyDescent="0.35">
      <c r="A67" s="392">
        <v>54309</v>
      </c>
      <c r="B67" s="542" t="s">
        <v>217</v>
      </c>
      <c r="C67" s="395"/>
      <c r="D67" s="395"/>
      <c r="E67" s="395"/>
      <c r="F67" s="395"/>
      <c r="G67" s="389">
        <f t="shared" si="17"/>
        <v>0</v>
      </c>
      <c r="H67" s="390"/>
      <c r="I67" s="390"/>
      <c r="J67" s="390"/>
      <c r="K67" s="389">
        <f t="shared" si="21"/>
        <v>0</v>
      </c>
      <c r="L67" s="389"/>
      <c r="M67" s="389"/>
      <c r="N67" s="395"/>
      <c r="O67" s="395"/>
      <c r="P67" s="395"/>
      <c r="Q67" s="395"/>
      <c r="R67" s="389">
        <f t="shared" si="16"/>
        <v>0</v>
      </c>
      <c r="S67" s="390"/>
      <c r="T67" s="390"/>
      <c r="U67" s="390"/>
      <c r="V67" s="390"/>
      <c r="W67" s="390"/>
      <c r="X67" s="390"/>
      <c r="Y67" s="390"/>
      <c r="Z67" s="390"/>
      <c r="AA67" s="390"/>
      <c r="AB67" s="386">
        <f t="shared" si="3"/>
        <v>0</v>
      </c>
      <c r="AC67" s="1"/>
    </row>
    <row r="68" spans="1:29" ht="17.25" thickBot="1" x14ac:dyDescent="0.35">
      <c r="A68" s="392">
        <v>54310</v>
      </c>
      <c r="B68" s="542" t="s">
        <v>117</v>
      </c>
      <c r="C68" s="395"/>
      <c r="D68" s="395"/>
      <c r="E68" s="395"/>
      <c r="F68" s="395">
        <v>0</v>
      </c>
      <c r="G68" s="389">
        <f t="shared" si="17"/>
        <v>0</v>
      </c>
      <c r="H68" s="390"/>
      <c r="I68" s="390"/>
      <c r="J68" s="390"/>
      <c r="K68" s="389">
        <f t="shared" si="21"/>
        <v>0</v>
      </c>
      <c r="L68" s="389"/>
      <c r="M68" s="389"/>
      <c r="N68" s="395">
        <v>3000</v>
      </c>
      <c r="O68" s="395"/>
      <c r="P68" s="395"/>
      <c r="Q68" s="395">
        <v>5000</v>
      </c>
      <c r="R68" s="389">
        <f t="shared" si="16"/>
        <v>8000</v>
      </c>
      <c r="S68" s="390"/>
      <c r="T68" s="390"/>
      <c r="U68" s="390"/>
      <c r="V68" s="390"/>
      <c r="W68" s="390"/>
      <c r="X68" s="390"/>
      <c r="Y68" s="390"/>
      <c r="Z68" s="390"/>
      <c r="AA68" s="390"/>
      <c r="AB68" s="386">
        <f t="shared" si="3"/>
        <v>8000</v>
      </c>
      <c r="AC68" s="1"/>
    </row>
    <row r="69" spans="1:29" ht="17.25" thickBot="1" x14ac:dyDescent="0.35">
      <c r="A69" s="392">
        <v>54311</v>
      </c>
      <c r="B69" s="542" t="s">
        <v>118</v>
      </c>
      <c r="C69" s="395"/>
      <c r="D69" s="395"/>
      <c r="E69" s="395"/>
      <c r="F69" s="395">
        <v>0</v>
      </c>
      <c r="G69" s="389">
        <f t="shared" si="17"/>
        <v>0</v>
      </c>
      <c r="H69" s="390"/>
      <c r="I69" s="390"/>
      <c r="J69" s="390"/>
      <c r="K69" s="389">
        <f t="shared" si="21"/>
        <v>0</v>
      </c>
      <c r="L69" s="389"/>
      <c r="M69" s="389"/>
      <c r="N69" s="395">
        <v>2000</v>
      </c>
      <c r="O69" s="395"/>
      <c r="P69" s="395"/>
      <c r="Q69" s="395"/>
      <c r="R69" s="389">
        <f t="shared" si="16"/>
        <v>2000</v>
      </c>
      <c r="S69" s="390"/>
      <c r="T69" s="390"/>
      <c r="U69" s="390"/>
      <c r="V69" s="390"/>
      <c r="W69" s="390"/>
      <c r="X69" s="390"/>
      <c r="Y69" s="390"/>
      <c r="Z69" s="390"/>
      <c r="AA69" s="390"/>
      <c r="AB69" s="386">
        <f t="shared" si="3"/>
        <v>2000</v>
      </c>
      <c r="AC69" s="1"/>
    </row>
    <row r="70" spans="1:29" ht="27" thickBot="1" x14ac:dyDescent="0.35">
      <c r="A70" s="392">
        <v>54313</v>
      </c>
      <c r="B70" s="542" t="s">
        <v>218</v>
      </c>
      <c r="C70" s="395"/>
      <c r="D70" s="395"/>
      <c r="E70" s="395"/>
      <c r="F70" s="395">
        <v>0</v>
      </c>
      <c r="G70" s="389">
        <f t="shared" si="17"/>
        <v>0</v>
      </c>
      <c r="H70" s="390"/>
      <c r="I70" s="390"/>
      <c r="J70" s="390"/>
      <c r="K70" s="389">
        <f t="shared" si="21"/>
        <v>0</v>
      </c>
      <c r="L70" s="389"/>
      <c r="M70" s="389"/>
      <c r="N70" s="395">
        <v>1000</v>
      </c>
      <c r="O70" s="395"/>
      <c r="P70" s="395"/>
      <c r="Q70" s="395">
        <f>+'[3]grupo por linea'!$AW$241</f>
        <v>216</v>
      </c>
      <c r="R70" s="389">
        <f t="shared" si="16"/>
        <v>1216</v>
      </c>
      <c r="S70" s="390"/>
      <c r="T70" s="390"/>
      <c r="U70" s="390"/>
      <c r="V70" s="390"/>
      <c r="W70" s="390"/>
      <c r="X70" s="390"/>
      <c r="Y70" s="390"/>
      <c r="Z70" s="390"/>
      <c r="AA70" s="390"/>
      <c r="AB70" s="386">
        <f t="shared" si="3"/>
        <v>1216</v>
      </c>
      <c r="AC70" s="1"/>
    </row>
    <row r="71" spans="1:29" ht="17.25" thickBot="1" x14ac:dyDescent="0.35">
      <c r="A71" s="392">
        <v>54314</v>
      </c>
      <c r="B71" s="542" t="s">
        <v>120</v>
      </c>
      <c r="C71" s="395">
        <v>0</v>
      </c>
      <c r="D71" s="395"/>
      <c r="E71" s="395"/>
      <c r="F71" s="395"/>
      <c r="G71" s="389">
        <f t="shared" si="17"/>
        <v>0</v>
      </c>
      <c r="H71" s="390"/>
      <c r="I71" s="390"/>
      <c r="J71" s="390"/>
      <c r="K71" s="389">
        <f t="shared" si="21"/>
        <v>0</v>
      </c>
      <c r="L71" s="389"/>
      <c r="M71" s="389"/>
      <c r="N71" s="395">
        <v>5000</v>
      </c>
      <c r="O71" s="395"/>
      <c r="P71" s="395"/>
      <c r="Q71" s="395"/>
      <c r="R71" s="389">
        <f t="shared" si="16"/>
        <v>5000</v>
      </c>
      <c r="S71" s="390"/>
      <c r="T71" s="390"/>
      <c r="U71" s="390"/>
      <c r="V71" s="390"/>
      <c r="W71" s="390"/>
      <c r="X71" s="390"/>
      <c r="Y71" s="390"/>
      <c r="Z71" s="390"/>
      <c r="AA71" s="390"/>
      <c r="AB71" s="386">
        <f t="shared" si="3"/>
        <v>5000</v>
      </c>
      <c r="AC71" s="1"/>
    </row>
    <row r="72" spans="1:29" ht="17.25" thickBot="1" x14ac:dyDescent="0.35">
      <c r="A72" s="392">
        <v>54316</v>
      </c>
      <c r="B72" s="542" t="s">
        <v>121</v>
      </c>
      <c r="C72" s="395"/>
      <c r="D72" s="395">
        <v>0</v>
      </c>
      <c r="E72" s="395"/>
      <c r="F72" s="395"/>
      <c r="G72" s="389">
        <f t="shared" si="17"/>
        <v>0</v>
      </c>
      <c r="H72" s="390"/>
      <c r="I72" s="390"/>
      <c r="J72" s="390"/>
      <c r="K72" s="389">
        <f t="shared" si="21"/>
        <v>0</v>
      </c>
      <c r="L72" s="389"/>
      <c r="M72" s="389"/>
      <c r="N72" s="395">
        <v>1500</v>
      </c>
      <c r="O72" s="395"/>
      <c r="P72" s="395"/>
      <c r="Q72" s="395">
        <v>4500</v>
      </c>
      <c r="R72" s="389">
        <f t="shared" si="16"/>
        <v>6000</v>
      </c>
      <c r="S72" s="390"/>
      <c r="T72" s="390"/>
      <c r="U72" s="390"/>
      <c r="V72" s="390"/>
      <c r="W72" s="390"/>
      <c r="X72" s="390"/>
      <c r="Y72" s="390"/>
      <c r="Z72" s="390"/>
      <c r="AA72" s="390"/>
      <c r="AB72" s="386">
        <f t="shared" si="3"/>
        <v>6000</v>
      </c>
      <c r="AC72" s="1"/>
    </row>
    <row r="73" spans="1:29" ht="17.25" thickBot="1" x14ac:dyDescent="0.35">
      <c r="A73" s="392">
        <v>54317</v>
      </c>
      <c r="B73" s="542" t="s">
        <v>122</v>
      </c>
      <c r="C73" s="395"/>
      <c r="D73" s="395">
        <v>0</v>
      </c>
      <c r="E73" s="395"/>
      <c r="F73" s="395"/>
      <c r="G73" s="389">
        <f t="shared" si="17"/>
        <v>0</v>
      </c>
      <c r="H73" s="390"/>
      <c r="I73" s="390"/>
      <c r="J73" s="390"/>
      <c r="K73" s="389">
        <f t="shared" si="21"/>
        <v>0</v>
      </c>
      <c r="L73" s="389"/>
      <c r="M73" s="389"/>
      <c r="N73" s="395">
        <v>3500</v>
      </c>
      <c r="O73" s="395">
        <v>3500</v>
      </c>
      <c r="P73" s="395"/>
      <c r="Q73" s="395">
        <v>1500</v>
      </c>
      <c r="R73" s="389">
        <f t="shared" si="16"/>
        <v>8500</v>
      </c>
      <c r="S73" s="390"/>
      <c r="T73" s="390"/>
      <c r="U73" s="390"/>
      <c r="V73" s="390"/>
      <c r="W73" s="390"/>
      <c r="X73" s="390"/>
      <c r="Y73" s="390"/>
      <c r="Z73" s="390"/>
      <c r="AA73" s="390"/>
      <c r="AB73" s="386">
        <f t="shared" si="3"/>
        <v>8500</v>
      </c>
      <c r="AC73" s="1"/>
    </row>
    <row r="74" spans="1:29" ht="27" thickBot="1" x14ac:dyDescent="0.35">
      <c r="A74" s="392">
        <v>54399</v>
      </c>
      <c r="B74" s="542" t="s">
        <v>219</v>
      </c>
      <c r="C74" s="395">
        <v>0</v>
      </c>
      <c r="D74" s="395">
        <v>0</v>
      </c>
      <c r="E74" s="395"/>
      <c r="F74" s="395">
        <v>0</v>
      </c>
      <c r="G74" s="389">
        <f t="shared" si="17"/>
        <v>0</v>
      </c>
      <c r="H74" s="390"/>
      <c r="I74" s="390"/>
      <c r="J74" s="390"/>
      <c r="K74" s="389">
        <f t="shared" si="21"/>
        <v>0</v>
      </c>
      <c r="L74" s="389"/>
      <c r="M74" s="389"/>
      <c r="N74" s="395">
        <v>5000</v>
      </c>
      <c r="O74" s="395">
        <v>5000</v>
      </c>
      <c r="P74" s="395"/>
      <c r="Q74" s="395">
        <v>5000</v>
      </c>
      <c r="R74" s="389">
        <f t="shared" si="16"/>
        <v>15000</v>
      </c>
      <c r="S74" s="390"/>
      <c r="T74" s="390"/>
      <c r="U74" s="390"/>
      <c r="V74" s="390"/>
      <c r="W74" s="390"/>
      <c r="X74" s="390"/>
      <c r="Y74" s="390"/>
      <c r="Z74" s="390"/>
      <c r="AA74" s="390"/>
      <c r="AB74" s="386">
        <f t="shared" ref="AB74:AB137" si="22">+G74+K74+L74+M74+R74+U74+X74+AA74</f>
        <v>15000</v>
      </c>
      <c r="AC74" s="1"/>
    </row>
    <row r="75" spans="1:29" ht="17.25" thickBot="1" x14ac:dyDescent="0.35">
      <c r="A75" s="387">
        <v>544</v>
      </c>
      <c r="B75" s="543" t="s">
        <v>124</v>
      </c>
      <c r="C75" s="389">
        <f>SUM(C76:C79)</f>
        <v>0</v>
      </c>
      <c r="D75" s="389">
        <f t="shared" ref="D75:F75" si="23">SUM(D76:D79)</f>
        <v>0</v>
      </c>
      <c r="E75" s="389">
        <f t="shared" si="23"/>
        <v>0</v>
      </c>
      <c r="F75" s="389">
        <f t="shared" si="23"/>
        <v>0</v>
      </c>
      <c r="G75" s="389">
        <f t="shared" si="17"/>
        <v>0</v>
      </c>
      <c r="H75" s="390"/>
      <c r="I75" s="390"/>
      <c r="J75" s="390"/>
      <c r="K75" s="389">
        <f t="shared" si="21"/>
        <v>0</v>
      </c>
      <c r="L75" s="389"/>
      <c r="M75" s="389"/>
      <c r="N75" s="389">
        <f>SUM(N76:N79)</f>
        <v>0</v>
      </c>
      <c r="O75" s="389">
        <f>SUM(O76:O79)</f>
        <v>0</v>
      </c>
      <c r="P75" s="389">
        <f>SUM(P76:P79)</f>
        <v>0</v>
      </c>
      <c r="Q75" s="389">
        <f>SUM(Q76:Q79)</f>
        <v>1000</v>
      </c>
      <c r="R75" s="389">
        <f t="shared" si="16"/>
        <v>1000</v>
      </c>
      <c r="S75" s="390"/>
      <c r="T75" s="390"/>
      <c r="U75" s="390"/>
      <c r="V75" s="390"/>
      <c r="W75" s="390"/>
      <c r="X75" s="390"/>
      <c r="Y75" s="390"/>
      <c r="Z75" s="390"/>
      <c r="AA75" s="390"/>
      <c r="AB75" s="386">
        <f t="shared" si="22"/>
        <v>1000</v>
      </c>
      <c r="AC75" s="1"/>
    </row>
    <row r="76" spans="1:29" ht="17.25" thickBot="1" x14ac:dyDescent="0.35">
      <c r="A76" s="392">
        <v>54401</v>
      </c>
      <c r="B76" s="542" t="s">
        <v>220</v>
      </c>
      <c r="C76" s="395">
        <v>0</v>
      </c>
      <c r="D76" s="395">
        <v>0</v>
      </c>
      <c r="E76" s="395">
        <v>0</v>
      </c>
      <c r="F76" s="395">
        <v>0</v>
      </c>
      <c r="G76" s="389">
        <f t="shared" si="17"/>
        <v>0</v>
      </c>
      <c r="H76" s="390"/>
      <c r="I76" s="390"/>
      <c r="J76" s="390"/>
      <c r="K76" s="389">
        <f t="shared" si="21"/>
        <v>0</v>
      </c>
      <c r="L76" s="389"/>
      <c r="M76" s="389"/>
      <c r="N76" s="390"/>
      <c r="O76" s="390"/>
      <c r="P76" s="390"/>
      <c r="Q76" s="390"/>
      <c r="R76" s="389">
        <f t="shared" si="16"/>
        <v>0</v>
      </c>
      <c r="S76" s="390"/>
      <c r="T76" s="390"/>
      <c r="U76" s="390"/>
      <c r="V76" s="390"/>
      <c r="W76" s="390"/>
      <c r="X76" s="390"/>
      <c r="Y76" s="390"/>
      <c r="Z76" s="390"/>
      <c r="AA76" s="390"/>
      <c r="AB76" s="386">
        <f t="shared" si="22"/>
        <v>0</v>
      </c>
      <c r="AC76" s="1"/>
    </row>
    <row r="77" spans="1:29" ht="17.25" thickBot="1" x14ac:dyDescent="0.35">
      <c r="A77" s="392">
        <v>54402</v>
      </c>
      <c r="B77" s="542" t="s">
        <v>221</v>
      </c>
      <c r="C77" s="395">
        <v>0</v>
      </c>
      <c r="D77" s="395">
        <v>0</v>
      </c>
      <c r="E77" s="395">
        <v>0</v>
      </c>
      <c r="F77" s="395">
        <v>0</v>
      </c>
      <c r="G77" s="389">
        <f t="shared" si="17"/>
        <v>0</v>
      </c>
      <c r="H77" s="390"/>
      <c r="I77" s="390"/>
      <c r="J77" s="390"/>
      <c r="K77" s="389">
        <f t="shared" si="21"/>
        <v>0</v>
      </c>
      <c r="L77" s="389"/>
      <c r="M77" s="389"/>
      <c r="N77" s="390"/>
      <c r="O77" s="390"/>
      <c r="P77" s="390"/>
      <c r="Q77" s="390"/>
      <c r="R77" s="389">
        <f t="shared" si="16"/>
        <v>0</v>
      </c>
      <c r="S77" s="390"/>
      <c r="T77" s="390"/>
      <c r="U77" s="390"/>
      <c r="V77" s="390"/>
      <c r="W77" s="390"/>
      <c r="X77" s="390"/>
      <c r="Y77" s="390"/>
      <c r="Z77" s="390"/>
      <c r="AA77" s="390"/>
      <c r="AB77" s="386">
        <f t="shared" si="22"/>
        <v>0</v>
      </c>
      <c r="AC77" s="1"/>
    </row>
    <row r="78" spans="1:29" ht="17.25" thickBot="1" x14ac:dyDescent="0.35">
      <c r="A78" s="392">
        <v>54403</v>
      </c>
      <c r="B78" s="542" t="s">
        <v>125</v>
      </c>
      <c r="C78" s="395">
        <v>0</v>
      </c>
      <c r="D78" s="395">
        <v>0</v>
      </c>
      <c r="E78" s="395">
        <v>0</v>
      </c>
      <c r="F78" s="395">
        <v>0</v>
      </c>
      <c r="G78" s="389">
        <f t="shared" si="17"/>
        <v>0</v>
      </c>
      <c r="H78" s="390"/>
      <c r="I78" s="390"/>
      <c r="J78" s="390"/>
      <c r="K78" s="389">
        <f t="shared" si="21"/>
        <v>0</v>
      </c>
      <c r="L78" s="389"/>
      <c r="M78" s="389"/>
      <c r="N78" s="390"/>
      <c r="O78" s="390">
        <v>0</v>
      </c>
      <c r="P78" s="390"/>
      <c r="Q78" s="390">
        <v>1000</v>
      </c>
      <c r="R78" s="389">
        <f t="shared" si="16"/>
        <v>1000</v>
      </c>
      <c r="S78" s="390"/>
      <c r="T78" s="390"/>
      <c r="U78" s="390"/>
      <c r="V78" s="390"/>
      <c r="W78" s="390"/>
      <c r="X78" s="390"/>
      <c r="Y78" s="390"/>
      <c r="Z78" s="390"/>
      <c r="AA78" s="390"/>
      <c r="AB78" s="386">
        <f t="shared" si="22"/>
        <v>1000</v>
      </c>
      <c r="AC78" s="1"/>
    </row>
    <row r="79" spans="1:29" ht="17.25" thickBot="1" x14ac:dyDescent="0.35">
      <c r="A79" s="392">
        <v>54404</v>
      </c>
      <c r="B79" s="542" t="s">
        <v>222</v>
      </c>
      <c r="C79" s="395">
        <v>0</v>
      </c>
      <c r="D79" s="395">
        <v>0</v>
      </c>
      <c r="E79" s="395">
        <v>0</v>
      </c>
      <c r="F79" s="395">
        <v>0</v>
      </c>
      <c r="G79" s="389">
        <f t="shared" si="17"/>
        <v>0</v>
      </c>
      <c r="H79" s="390"/>
      <c r="I79" s="390"/>
      <c r="J79" s="390"/>
      <c r="K79" s="389">
        <f t="shared" si="21"/>
        <v>0</v>
      </c>
      <c r="L79" s="389"/>
      <c r="M79" s="389"/>
      <c r="N79" s="390"/>
      <c r="O79" s="390"/>
      <c r="P79" s="390"/>
      <c r="Q79" s="390"/>
      <c r="R79" s="389">
        <f t="shared" si="16"/>
        <v>0</v>
      </c>
      <c r="S79" s="390"/>
      <c r="T79" s="390"/>
      <c r="U79" s="390"/>
      <c r="V79" s="390"/>
      <c r="W79" s="390"/>
      <c r="X79" s="390"/>
      <c r="Y79" s="390"/>
      <c r="Z79" s="390"/>
      <c r="AA79" s="390"/>
      <c r="AB79" s="386">
        <f t="shared" si="22"/>
        <v>0</v>
      </c>
      <c r="AC79" s="1"/>
    </row>
    <row r="80" spans="1:29" ht="27" thickBot="1" x14ac:dyDescent="0.35">
      <c r="A80" s="387">
        <v>545</v>
      </c>
      <c r="B80" s="543" t="s">
        <v>223</v>
      </c>
      <c r="C80" s="389">
        <f>SUM(C81:C87)</f>
        <v>0</v>
      </c>
      <c r="D80" s="389">
        <f t="shared" ref="D80:F80" si="24">SUM(D81:D87)</f>
        <v>0</v>
      </c>
      <c r="E80" s="389">
        <f t="shared" si="24"/>
        <v>0</v>
      </c>
      <c r="F80" s="389">
        <f t="shared" si="24"/>
        <v>0</v>
      </c>
      <c r="G80" s="389">
        <f t="shared" si="17"/>
        <v>0</v>
      </c>
      <c r="H80" s="389">
        <f t="shared" ref="H80:AA80" si="25">SUM(H81:H87)</f>
        <v>0</v>
      </c>
      <c r="I80" s="389">
        <f t="shared" si="25"/>
        <v>0</v>
      </c>
      <c r="J80" s="389">
        <f t="shared" si="25"/>
        <v>0</v>
      </c>
      <c r="K80" s="389">
        <f t="shared" si="21"/>
        <v>0</v>
      </c>
      <c r="L80" s="389"/>
      <c r="M80" s="389"/>
      <c r="N80" s="389">
        <f t="shared" si="25"/>
        <v>7500</v>
      </c>
      <c r="O80" s="389">
        <f t="shared" si="25"/>
        <v>0</v>
      </c>
      <c r="P80" s="389">
        <f t="shared" si="25"/>
        <v>0</v>
      </c>
      <c r="Q80" s="389"/>
      <c r="R80" s="389">
        <f t="shared" si="16"/>
        <v>7500</v>
      </c>
      <c r="S80" s="389">
        <f t="shared" si="25"/>
        <v>0</v>
      </c>
      <c r="T80" s="389">
        <f t="shared" si="25"/>
        <v>0</v>
      </c>
      <c r="U80" s="389">
        <f t="shared" si="25"/>
        <v>0</v>
      </c>
      <c r="V80" s="389">
        <f t="shared" si="25"/>
        <v>0</v>
      </c>
      <c r="W80" s="389">
        <f t="shared" si="25"/>
        <v>0</v>
      </c>
      <c r="X80" s="389">
        <f t="shared" si="25"/>
        <v>0</v>
      </c>
      <c r="Y80" s="389">
        <f t="shared" si="25"/>
        <v>0</v>
      </c>
      <c r="Z80" s="389">
        <f t="shared" si="25"/>
        <v>0</v>
      </c>
      <c r="AA80" s="389">
        <f t="shared" si="25"/>
        <v>0</v>
      </c>
      <c r="AB80" s="386">
        <f t="shared" si="22"/>
        <v>7500</v>
      </c>
      <c r="AC80" s="1"/>
    </row>
    <row r="81" spans="1:29" ht="17.25" thickBot="1" x14ac:dyDescent="0.35">
      <c r="A81" s="392">
        <v>54501</v>
      </c>
      <c r="B81" s="542" t="s">
        <v>224</v>
      </c>
      <c r="C81" s="395"/>
      <c r="D81" s="395"/>
      <c r="E81" s="395"/>
      <c r="F81" s="395"/>
      <c r="G81" s="389">
        <f t="shared" si="17"/>
        <v>0</v>
      </c>
      <c r="H81" s="390"/>
      <c r="I81" s="390"/>
      <c r="J81" s="390"/>
      <c r="K81" s="389">
        <f t="shared" si="21"/>
        <v>0</v>
      </c>
      <c r="L81" s="389"/>
      <c r="M81" s="389"/>
      <c r="N81" s="395"/>
      <c r="O81" s="390"/>
      <c r="P81" s="390"/>
      <c r="Q81" s="390"/>
      <c r="R81" s="389">
        <f t="shared" si="16"/>
        <v>0</v>
      </c>
      <c r="S81" s="390"/>
      <c r="T81" s="390"/>
      <c r="U81" s="390"/>
      <c r="V81" s="390"/>
      <c r="W81" s="390"/>
      <c r="X81" s="390"/>
      <c r="Y81" s="390"/>
      <c r="Z81" s="390"/>
      <c r="AA81" s="390"/>
      <c r="AB81" s="386">
        <f t="shared" si="22"/>
        <v>0</v>
      </c>
      <c r="AC81" s="1"/>
    </row>
    <row r="82" spans="1:29" ht="17.25" thickBot="1" x14ac:dyDescent="0.35">
      <c r="A82" s="392">
        <v>54503</v>
      </c>
      <c r="B82" s="542" t="s">
        <v>127</v>
      </c>
      <c r="C82" s="395">
        <v>0</v>
      </c>
      <c r="D82" s="395"/>
      <c r="E82" s="395"/>
      <c r="F82" s="395"/>
      <c r="G82" s="389">
        <f t="shared" si="17"/>
        <v>0</v>
      </c>
      <c r="H82" s="390"/>
      <c r="I82" s="390"/>
      <c r="J82" s="390"/>
      <c r="K82" s="389">
        <f t="shared" si="21"/>
        <v>0</v>
      </c>
      <c r="L82" s="389"/>
      <c r="M82" s="389"/>
      <c r="N82" s="395">
        <v>500</v>
      </c>
      <c r="O82" s="390"/>
      <c r="P82" s="390"/>
      <c r="Q82" s="390"/>
      <c r="R82" s="389">
        <f t="shared" si="16"/>
        <v>500</v>
      </c>
      <c r="S82" s="390"/>
      <c r="T82" s="390"/>
      <c r="U82" s="390"/>
      <c r="V82" s="390"/>
      <c r="W82" s="390"/>
      <c r="X82" s="390"/>
      <c r="Y82" s="390"/>
      <c r="Z82" s="390"/>
      <c r="AA82" s="390"/>
      <c r="AB82" s="386">
        <f t="shared" si="22"/>
        <v>500</v>
      </c>
      <c r="AC82" s="1"/>
    </row>
    <row r="83" spans="1:29" ht="17.25" thickBot="1" x14ac:dyDescent="0.35">
      <c r="A83" s="392">
        <v>54504</v>
      </c>
      <c r="B83" s="542" t="s">
        <v>128</v>
      </c>
      <c r="C83" s="395">
        <v>0</v>
      </c>
      <c r="D83" s="395"/>
      <c r="E83" s="395"/>
      <c r="F83" s="395"/>
      <c r="G83" s="389">
        <f t="shared" si="17"/>
        <v>0</v>
      </c>
      <c r="H83" s="390"/>
      <c r="I83" s="390"/>
      <c r="J83" s="390"/>
      <c r="K83" s="389">
        <f t="shared" si="21"/>
        <v>0</v>
      </c>
      <c r="L83" s="389"/>
      <c r="M83" s="389"/>
      <c r="N83" s="395">
        <v>5000</v>
      </c>
      <c r="O83" s="390"/>
      <c r="P83" s="390"/>
      <c r="Q83" s="390"/>
      <c r="R83" s="389">
        <f t="shared" si="16"/>
        <v>5000</v>
      </c>
      <c r="S83" s="390"/>
      <c r="T83" s="390"/>
      <c r="U83" s="390"/>
      <c r="V83" s="390"/>
      <c r="W83" s="390"/>
      <c r="X83" s="390"/>
      <c r="Y83" s="390"/>
      <c r="Z83" s="390"/>
      <c r="AA83" s="390"/>
      <c r="AB83" s="386">
        <f t="shared" si="22"/>
        <v>5000</v>
      </c>
      <c r="AC83" s="1"/>
    </row>
    <row r="84" spans="1:29" ht="17.25" thickBot="1" x14ac:dyDescent="0.35">
      <c r="A84" s="397">
        <v>54505</v>
      </c>
      <c r="B84" s="544" t="s">
        <v>225</v>
      </c>
      <c r="C84" s="395"/>
      <c r="D84" s="395"/>
      <c r="E84" s="395"/>
      <c r="F84" s="395"/>
      <c r="G84" s="389">
        <f t="shared" si="17"/>
        <v>0</v>
      </c>
      <c r="H84" s="390"/>
      <c r="I84" s="390"/>
      <c r="J84" s="390"/>
      <c r="K84" s="389"/>
      <c r="L84" s="389"/>
      <c r="M84" s="389"/>
      <c r="N84" s="395">
        <v>0</v>
      </c>
      <c r="O84" s="390"/>
      <c r="P84" s="390"/>
      <c r="Q84" s="390"/>
      <c r="R84" s="389">
        <f t="shared" si="16"/>
        <v>0</v>
      </c>
      <c r="S84" s="390"/>
      <c r="T84" s="390"/>
      <c r="U84" s="390"/>
      <c r="V84" s="390"/>
      <c r="W84" s="390"/>
      <c r="X84" s="390"/>
      <c r="Y84" s="390"/>
      <c r="Z84" s="390"/>
      <c r="AA84" s="390"/>
      <c r="AB84" s="386">
        <f t="shared" si="22"/>
        <v>0</v>
      </c>
      <c r="AC84" s="1"/>
    </row>
    <row r="85" spans="1:29" ht="17.25" thickBot="1" x14ac:dyDescent="0.35">
      <c r="A85" s="397">
        <v>54507</v>
      </c>
      <c r="B85" s="544" t="s">
        <v>226</v>
      </c>
      <c r="C85" s="395"/>
      <c r="D85" s="395"/>
      <c r="E85" s="395"/>
      <c r="F85" s="395"/>
      <c r="G85" s="389">
        <f t="shared" si="17"/>
        <v>0</v>
      </c>
      <c r="H85" s="390"/>
      <c r="I85" s="390"/>
      <c r="J85" s="390"/>
      <c r="K85" s="389"/>
      <c r="L85" s="389"/>
      <c r="M85" s="389"/>
      <c r="N85" s="395"/>
      <c r="O85" s="390"/>
      <c r="P85" s="390"/>
      <c r="Q85" s="390"/>
      <c r="R85" s="389">
        <f t="shared" si="16"/>
        <v>0</v>
      </c>
      <c r="S85" s="390"/>
      <c r="T85" s="390"/>
      <c r="U85" s="390"/>
      <c r="V85" s="390"/>
      <c r="W85" s="390"/>
      <c r="X85" s="390"/>
      <c r="Y85" s="390"/>
      <c r="Z85" s="390"/>
      <c r="AA85" s="390"/>
      <c r="AB85" s="386">
        <f t="shared" si="22"/>
        <v>0</v>
      </c>
      <c r="AC85" s="1"/>
    </row>
    <row r="86" spans="1:29" ht="17.25" thickBot="1" x14ac:dyDescent="0.35">
      <c r="A86" s="397">
        <v>54508</v>
      </c>
      <c r="B86" s="544" t="s">
        <v>227</v>
      </c>
      <c r="C86" s="395"/>
      <c r="D86" s="395"/>
      <c r="E86" s="395"/>
      <c r="F86" s="395"/>
      <c r="G86" s="389">
        <f t="shared" si="17"/>
        <v>0</v>
      </c>
      <c r="H86" s="390"/>
      <c r="I86" s="390"/>
      <c r="J86" s="390"/>
      <c r="K86" s="389"/>
      <c r="L86" s="389"/>
      <c r="M86" s="389"/>
      <c r="N86" s="395"/>
      <c r="O86" s="390"/>
      <c r="P86" s="390"/>
      <c r="Q86" s="390"/>
      <c r="R86" s="389">
        <f t="shared" si="16"/>
        <v>0</v>
      </c>
      <c r="S86" s="390"/>
      <c r="T86" s="390"/>
      <c r="U86" s="390"/>
      <c r="V86" s="390"/>
      <c r="W86" s="390"/>
      <c r="X86" s="390"/>
      <c r="Y86" s="390"/>
      <c r="Z86" s="390"/>
      <c r="AA86" s="390"/>
      <c r="AB86" s="386">
        <f t="shared" si="22"/>
        <v>0</v>
      </c>
      <c r="AC86" s="1"/>
    </row>
    <row r="87" spans="1:29" ht="27" thickBot="1" x14ac:dyDescent="0.35">
      <c r="A87" s="392">
        <v>54599</v>
      </c>
      <c r="B87" s="542" t="s">
        <v>228</v>
      </c>
      <c r="C87" s="395">
        <v>0</v>
      </c>
      <c r="D87" s="395"/>
      <c r="E87" s="395"/>
      <c r="F87" s="395"/>
      <c r="G87" s="389">
        <f t="shared" si="17"/>
        <v>0</v>
      </c>
      <c r="H87" s="390"/>
      <c r="I87" s="390"/>
      <c r="J87" s="390"/>
      <c r="K87" s="389">
        <f t="shared" si="21"/>
        <v>0</v>
      </c>
      <c r="L87" s="389"/>
      <c r="M87" s="389"/>
      <c r="N87" s="395">
        <v>2000</v>
      </c>
      <c r="O87" s="390"/>
      <c r="P87" s="390"/>
      <c r="Q87" s="390"/>
      <c r="R87" s="389">
        <f t="shared" si="16"/>
        <v>2000</v>
      </c>
      <c r="S87" s="390"/>
      <c r="T87" s="390"/>
      <c r="U87" s="390"/>
      <c r="V87" s="390"/>
      <c r="W87" s="390"/>
      <c r="X87" s="390"/>
      <c r="Y87" s="390"/>
      <c r="Z87" s="390"/>
      <c r="AA87" s="390"/>
      <c r="AB87" s="386">
        <f t="shared" si="22"/>
        <v>2000</v>
      </c>
      <c r="AC87" s="1"/>
    </row>
    <row r="88" spans="1:29" ht="17.25" thickBot="1" x14ac:dyDescent="0.35">
      <c r="A88" s="398">
        <v>546</v>
      </c>
      <c r="B88" s="545" t="s">
        <v>229</v>
      </c>
      <c r="C88" s="399">
        <f>SUM(C89)</f>
        <v>0</v>
      </c>
      <c r="D88" s="399">
        <f t="shared" ref="D88:F88" si="26">SUM(D89)</f>
        <v>0</v>
      </c>
      <c r="E88" s="399">
        <f t="shared" si="26"/>
        <v>0</v>
      </c>
      <c r="F88" s="399">
        <f t="shared" si="26"/>
        <v>0</v>
      </c>
      <c r="G88" s="389">
        <f t="shared" si="17"/>
        <v>0</v>
      </c>
      <c r="H88" s="390"/>
      <c r="I88" s="390"/>
      <c r="J88" s="390"/>
      <c r="K88" s="389"/>
      <c r="L88" s="389"/>
      <c r="M88" s="389"/>
      <c r="N88" s="390"/>
      <c r="O88" s="390"/>
      <c r="P88" s="390"/>
      <c r="Q88" s="399">
        <f>SUM(Q89+Q90)</f>
        <v>0</v>
      </c>
      <c r="R88" s="389">
        <f t="shared" si="16"/>
        <v>0</v>
      </c>
      <c r="S88" s="390"/>
      <c r="T88" s="390"/>
      <c r="U88" s="390"/>
      <c r="V88" s="390"/>
      <c r="W88" s="390"/>
      <c r="X88" s="390"/>
      <c r="Y88" s="390"/>
      <c r="Z88" s="390"/>
      <c r="AA88" s="390"/>
      <c r="AB88" s="386">
        <f t="shared" si="22"/>
        <v>0</v>
      </c>
      <c r="AC88" s="1"/>
    </row>
    <row r="89" spans="1:29" ht="17.25" thickBot="1" x14ac:dyDescent="0.35">
      <c r="A89" s="397">
        <v>54602</v>
      </c>
      <c r="B89" s="544" t="s">
        <v>600</v>
      </c>
      <c r="C89" s="395">
        <v>0</v>
      </c>
      <c r="D89" s="395">
        <v>0</v>
      </c>
      <c r="E89" s="395">
        <v>0</v>
      </c>
      <c r="F89" s="395">
        <v>0</v>
      </c>
      <c r="G89" s="389">
        <f t="shared" si="17"/>
        <v>0</v>
      </c>
      <c r="H89" s="390"/>
      <c r="I89" s="390"/>
      <c r="J89" s="390"/>
      <c r="K89" s="389"/>
      <c r="L89" s="389"/>
      <c r="M89" s="389"/>
      <c r="N89" s="390"/>
      <c r="O89" s="390"/>
      <c r="P89" s="390"/>
      <c r="Q89" s="395"/>
      <c r="R89" s="389">
        <f t="shared" si="16"/>
        <v>0</v>
      </c>
      <c r="S89" s="390"/>
      <c r="T89" s="390"/>
      <c r="U89" s="390"/>
      <c r="V89" s="390"/>
      <c r="W89" s="390"/>
      <c r="X89" s="390"/>
      <c r="Y89" s="390"/>
      <c r="Z89" s="390"/>
      <c r="AA89" s="390"/>
      <c r="AB89" s="386">
        <f t="shared" si="22"/>
        <v>0</v>
      </c>
      <c r="AC89" s="1"/>
    </row>
    <row r="90" spans="1:29" ht="17.25" thickBot="1" x14ac:dyDescent="0.35">
      <c r="A90" s="397">
        <v>54603</v>
      </c>
      <c r="B90" s="544" t="s">
        <v>230</v>
      </c>
      <c r="C90" s="390"/>
      <c r="D90" s="390"/>
      <c r="E90" s="390"/>
      <c r="F90" s="390"/>
      <c r="G90" s="389"/>
      <c r="H90" s="390"/>
      <c r="I90" s="390"/>
      <c r="J90" s="390"/>
      <c r="K90" s="389"/>
      <c r="L90" s="389"/>
      <c r="M90" s="389"/>
      <c r="N90" s="390"/>
      <c r="O90" s="390"/>
      <c r="P90" s="390"/>
      <c r="Q90" s="395"/>
      <c r="R90" s="389">
        <f t="shared" si="16"/>
        <v>0</v>
      </c>
      <c r="S90" s="390"/>
      <c r="T90" s="390"/>
      <c r="U90" s="390"/>
      <c r="V90" s="390"/>
      <c r="W90" s="390"/>
      <c r="X90" s="390"/>
      <c r="Y90" s="390"/>
      <c r="Z90" s="390"/>
      <c r="AA90" s="390"/>
      <c r="AB90" s="386">
        <f t="shared" si="22"/>
        <v>0</v>
      </c>
      <c r="AC90" s="1"/>
    </row>
    <row r="91" spans="1:29" ht="17.25" thickBot="1" x14ac:dyDescent="0.35">
      <c r="A91" s="387">
        <v>55</v>
      </c>
      <c r="B91" s="543" t="s">
        <v>129</v>
      </c>
      <c r="C91" s="389">
        <f>C92+C97+C101</f>
        <v>0</v>
      </c>
      <c r="D91" s="389">
        <f>D92+D97+D101</f>
        <v>300</v>
      </c>
      <c r="E91" s="389">
        <f t="shared" ref="E91:I91" si="27">E92+E97+E101</f>
        <v>0</v>
      </c>
      <c r="F91" s="389">
        <f t="shared" si="27"/>
        <v>0</v>
      </c>
      <c r="G91" s="389">
        <f t="shared" si="27"/>
        <v>300</v>
      </c>
      <c r="H91" s="389">
        <f t="shared" si="27"/>
        <v>200</v>
      </c>
      <c r="I91" s="389">
        <f t="shared" si="27"/>
        <v>200</v>
      </c>
      <c r="J91" s="389">
        <f>+J92+J97</f>
        <v>56223.48</v>
      </c>
      <c r="K91" s="389">
        <f t="shared" si="21"/>
        <v>56623.48</v>
      </c>
      <c r="L91" s="389">
        <f>L92</f>
        <v>0</v>
      </c>
      <c r="M91" s="389">
        <f>M92</f>
        <v>0</v>
      </c>
      <c r="N91" s="389">
        <f>+N92+N97+N101</f>
        <v>0</v>
      </c>
      <c r="O91" s="389">
        <f>+O92+O97+O101</f>
        <v>18945.48</v>
      </c>
      <c r="P91" s="389">
        <f>+P92+P97+P101</f>
        <v>0</v>
      </c>
      <c r="Q91" s="389"/>
      <c r="R91" s="389">
        <f t="shared" si="16"/>
        <v>18945.48</v>
      </c>
      <c r="S91" s="390"/>
      <c r="T91" s="390"/>
      <c r="U91" s="390"/>
      <c r="V91" s="390"/>
      <c r="W91" s="390"/>
      <c r="X91" s="390"/>
      <c r="Y91" s="390"/>
      <c r="Z91" s="390"/>
      <c r="AA91" s="390"/>
      <c r="AB91" s="386">
        <f t="shared" si="22"/>
        <v>75868.960000000006</v>
      </c>
      <c r="AC91" s="1"/>
    </row>
    <row r="92" spans="1:29" ht="27" thickBot="1" x14ac:dyDescent="0.35">
      <c r="A92" s="387">
        <v>553</v>
      </c>
      <c r="B92" s="543" t="s">
        <v>231</v>
      </c>
      <c r="C92" s="389">
        <f>SUM(C93:C96)</f>
        <v>0</v>
      </c>
      <c r="D92" s="389">
        <f t="shared" ref="D92:AA92" si="28">SUM(D93:D96)</f>
        <v>0</v>
      </c>
      <c r="E92" s="389">
        <f t="shared" si="28"/>
        <v>0</v>
      </c>
      <c r="F92" s="389">
        <f t="shared" si="28"/>
        <v>0</v>
      </c>
      <c r="G92" s="389">
        <f t="shared" si="17"/>
        <v>0</v>
      </c>
      <c r="H92" s="390">
        <f t="shared" si="28"/>
        <v>0</v>
      </c>
      <c r="I92" s="390">
        <f t="shared" si="28"/>
        <v>0</v>
      </c>
      <c r="J92" s="389">
        <f t="shared" si="28"/>
        <v>56223.48</v>
      </c>
      <c r="K92" s="389">
        <f t="shared" si="21"/>
        <v>56223.48</v>
      </c>
      <c r="L92" s="389">
        <f>L95</f>
        <v>0</v>
      </c>
      <c r="M92" s="389">
        <f>M95</f>
        <v>0</v>
      </c>
      <c r="N92" s="390">
        <f t="shared" si="28"/>
        <v>0</v>
      </c>
      <c r="O92" s="390">
        <f t="shared" si="28"/>
        <v>0</v>
      </c>
      <c r="P92" s="390">
        <f t="shared" si="28"/>
        <v>0</v>
      </c>
      <c r="Q92" s="390"/>
      <c r="R92" s="389">
        <f t="shared" si="16"/>
        <v>0</v>
      </c>
      <c r="S92" s="390">
        <f t="shared" si="28"/>
        <v>0</v>
      </c>
      <c r="T92" s="390">
        <f t="shared" si="28"/>
        <v>0</v>
      </c>
      <c r="U92" s="390">
        <f t="shared" si="28"/>
        <v>0</v>
      </c>
      <c r="V92" s="390">
        <f t="shared" si="28"/>
        <v>0</v>
      </c>
      <c r="W92" s="390">
        <f t="shared" si="28"/>
        <v>0</v>
      </c>
      <c r="X92" s="390">
        <f t="shared" si="28"/>
        <v>0</v>
      </c>
      <c r="Y92" s="390">
        <f t="shared" si="28"/>
        <v>0</v>
      </c>
      <c r="Z92" s="390">
        <f t="shared" si="28"/>
        <v>0</v>
      </c>
      <c r="AA92" s="390">
        <f t="shared" si="28"/>
        <v>0</v>
      </c>
      <c r="AB92" s="386">
        <f t="shared" si="22"/>
        <v>56223.48</v>
      </c>
      <c r="AC92" s="1"/>
    </row>
    <row r="93" spans="1:29" ht="27" thickBot="1" x14ac:dyDescent="0.35">
      <c r="A93" s="392">
        <v>55302</v>
      </c>
      <c r="B93" s="542" t="s">
        <v>246</v>
      </c>
      <c r="C93" s="395"/>
      <c r="D93" s="395">
        <v>0</v>
      </c>
      <c r="E93" s="395"/>
      <c r="F93" s="395"/>
      <c r="G93" s="389">
        <f t="shared" si="17"/>
        <v>0</v>
      </c>
      <c r="H93" s="390"/>
      <c r="I93" s="390"/>
      <c r="J93" s="395">
        <v>3900</v>
      </c>
      <c r="K93" s="389">
        <f t="shared" si="21"/>
        <v>3900</v>
      </c>
      <c r="L93" s="389"/>
      <c r="M93" s="389"/>
      <c r="N93" s="390"/>
      <c r="O93" s="395">
        <v>0</v>
      </c>
      <c r="P93" s="390"/>
      <c r="Q93" s="390"/>
      <c r="R93" s="389">
        <f t="shared" si="16"/>
        <v>0</v>
      </c>
      <c r="S93" s="390"/>
      <c r="T93" s="390"/>
      <c r="U93" s="390"/>
      <c r="V93" s="390"/>
      <c r="W93" s="390"/>
      <c r="X93" s="390"/>
      <c r="Y93" s="390"/>
      <c r="Z93" s="390"/>
      <c r="AA93" s="390"/>
      <c r="AB93" s="386">
        <f t="shared" si="22"/>
        <v>3900</v>
      </c>
      <c r="AC93" s="1"/>
    </row>
    <row r="94" spans="1:29" ht="17.25" thickBot="1" x14ac:dyDescent="0.35">
      <c r="A94" s="397">
        <v>55303</v>
      </c>
      <c r="B94" s="544" t="s">
        <v>233</v>
      </c>
      <c r="C94" s="395"/>
      <c r="D94" s="395"/>
      <c r="E94" s="395"/>
      <c r="F94" s="395"/>
      <c r="G94" s="389">
        <f t="shared" si="17"/>
        <v>0</v>
      </c>
      <c r="H94" s="390"/>
      <c r="I94" s="390"/>
      <c r="J94" s="395"/>
      <c r="K94" s="389">
        <f t="shared" si="21"/>
        <v>0</v>
      </c>
      <c r="L94" s="389"/>
      <c r="M94" s="389"/>
      <c r="N94" s="390"/>
      <c r="O94" s="395"/>
      <c r="P94" s="390"/>
      <c r="Q94" s="390"/>
      <c r="R94" s="389">
        <f t="shared" si="16"/>
        <v>0</v>
      </c>
      <c r="S94" s="390"/>
      <c r="T94" s="390"/>
      <c r="U94" s="390"/>
      <c r="V94" s="390"/>
      <c r="W94" s="390"/>
      <c r="X94" s="390"/>
      <c r="Y94" s="390"/>
      <c r="Z94" s="390"/>
      <c r="AA94" s="390"/>
      <c r="AB94" s="386">
        <f t="shared" si="22"/>
        <v>0</v>
      </c>
      <c r="AC94" s="1"/>
    </row>
    <row r="95" spans="1:29" ht="17.25" thickBot="1" x14ac:dyDescent="0.35">
      <c r="A95" s="392">
        <v>55304</v>
      </c>
      <c r="B95" s="542" t="s">
        <v>63</v>
      </c>
      <c r="C95" s="395"/>
      <c r="D95" s="395">
        <v>0</v>
      </c>
      <c r="E95" s="395"/>
      <c r="F95" s="395"/>
      <c r="G95" s="389">
        <f t="shared" si="17"/>
        <v>0</v>
      </c>
      <c r="H95" s="390"/>
      <c r="I95" s="390"/>
      <c r="J95" s="395">
        <v>52323.48</v>
      </c>
      <c r="K95" s="389">
        <f t="shared" si="21"/>
        <v>52323.48</v>
      </c>
      <c r="L95" s="390"/>
      <c r="M95" s="390"/>
      <c r="N95" s="390"/>
      <c r="O95" s="395">
        <v>0</v>
      </c>
      <c r="P95" s="390"/>
      <c r="Q95" s="390"/>
      <c r="R95" s="389">
        <f t="shared" si="16"/>
        <v>0</v>
      </c>
      <c r="S95" s="390"/>
      <c r="T95" s="390"/>
      <c r="U95" s="390"/>
      <c r="V95" s="390"/>
      <c r="W95" s="390"/>
      <c r="X95" s="390"/>
      <c r="Y95" s="390"/>
      <c r="Z95" s="390"/>
      <c r="AA95" s="390"/>
      <c r="AB95" s="386">
        <f t="shared" si="22"/>
        <v>52323.48</v>
      </c>
      <c r="AC95" s="1"/>
    </row>
    <row r="96" spans="1:29" ht="17.25" thickBot="1" x14ac:dyDescent="0.35">
      <c r="A96" s="392">
        <v>55308</v>
      </c>
      <c r="B96" s="542" t="s">
        <v>472</v>
      </c>
      <c r="C96" s="395"/>
      <c r="D96" s="395"/>
      <c r="E96" s="395"/>
      <c r="F96" s="395"/>
      <c r="G96" s="389">
        <f t="shared" si="17"/>
        <v>0</v>
      </c>
      <c r="H96" s="390"/>
      <c r="I96" s="390"/>
      <c r="J96" s="390"/>
      <c r="K96" s="389">
        <f t="shared" si="21"/>
        <v>0</v>
      </c>
      <c r="L96" s="389"/>
      <c r="M96" s="389"/>
      <c r="N96" s="390"/>
      <c r="O96" s="390"/>
      <c r="P96" s="390"/>
      <c r="Q96" s="390"/>
      <c r="R96" s="389">
        <f t="shared" si="16"/>
        <v>0</v>
      </c>
      <c r="S96" s="390"/>
      <c r="T96" s="390"/>
      <c r="U96" s="390"/>
      <c r="V96" s="390"/>
      <c r="W96" s="390"/>
      <c r="X96" s="390"/>
      <c r="Y96" s="390"/>
      <c r="Z96" s="390"/>
      <c r="AA96" s="390"/>
      <c r="AB96" s="386">
        <f t="shared" si="22"/>
        <v>0</v>
      </c>
      <c r="AC96" s="1"/>
    </row>
    <row r="97" spans="1:29" ht="27" thickBot="1" x14ac:dyDescent="0.35">
      <c r="A97" s="387">
        <v>556</v>
      </c>
      <c r="B97" s="543" t="s">
        <v>235</v>
      </c>
      <c r="C97" s="389">
        <f>SUM(C98:C100)</f>
        <v>0</v>
      </c>
      <c r="D97" s="389">
        <f t="shared" ref="D97:G97" si="29">SUM(D98:D100)</f>
        <v>300</v>
      </c>
      <c r="E97" s="389">
        <f t="shared" si="29"/>
        <v>0</v>
      </c>
      <c r="F97" s="389">
        <f t="shared" si="29"/>
        <v>0</v>
      </c>
      <c r="G97" s="389">
        <f t="shared" si="29"/>
        <v>300</v>
      </c>
      <c r="H97" s="389">
        <f t="shared" ref="H97:AA97" si="30">SUM(H98:H100)</f>
        <v>200</v>
      </c>
      <c r="I97" s="389">
        <f t="shared" si="30"/>
        <v>200</v>
      </c>
      <c r="J97" s="389">
        <f t="shared" si="30"/>
        <v>0</v>
      </c>
      <c r="K97" s="389">
        <f t="shared" si="21"/>
        <v>400</v>
      </c>
      <c r="L97" s="389"/>
      <c r="M97" s="389"/>
      <c r="N97" s="389">
        <f t="shared" si="30"/>
        <v>0</v>
      </c>
      <c r="O97" s="389">
        <f t="shared" si="30"/>
        <v>18445.48</v>
      </c>
      <c r="P97" s="389">
        <f t="shared" si="30"/>
        <v>0</v>
      </c>
      <c r="Q97" s="389"/>
      <c r="R97" s="389">
        <f t="shared" ref="R97:R150" si="31">+N97+O97+P97+Q97</f>
        <v>18445.48</v>
      </c>
      <c r="S97" s="389">
        <f t="shared" si="30"/>
        <v>0</v>
      </c>
      <c r="T97" s="389">
        <f t="shared" si="30"/>
        <v>0</v>
      </c>
      <c r="U97" s="389">
        <f t="shared" si="30"/>
        <v>0</v>
      </c>
      <c r="V97" s="389">
        <f t="shared" si="30"/>
        <v>0</v>
      </c>
      <c r="W97" s="389">
        <f t="shared" si="30"/>
        <v>0</v>
      </c>
      <c r="X97" s="389">
        <f t="shared" si="30"/>
        <v>0</v>
      </c>
      <c r="Y97" s="389">
        <f t="shared" si="30"/>
        <v>0</v>
      </c>
      <c r="Z97" s="389">
        <f t="shared" si="30"/>
        <v>0</v>
      </c>
      <c r="AA97" s="389">
        <f t="shared" si="30"/>
        <v>0</v>
      </c>
      <c r="AB97" s="386">
        <f t="shared" si="22"/>
        <v>19145.48</v>
      </c>
      <c r="AC97" s="1"/>
    </row>
    <row r="98" spans="1:29" ht="17.25" thickBot="1" x14ac:dyDescent="0.35">
      <c r="A98" s="392">
        <v>55601</v>
      </c>
      <c r="B98" s="542" t="s">
        <v>236</v>
      </c>
      <c r="C98" s="395">
        <v>0</v>
      </c>
      <c r="D98" s="395"/>
      <c r="E98" s="395"/>
      <c r="F98" s="395"/>
      <c r="G98" s="389">
        <f t="shared" si="17"/>
        <v>0</v>
      </c>
      <c r="H98" s="390"/>
      <c r="I98" s="390"/>
      <c r="J98" s="390"/>
      <c r="K98" s="389">
        <f t="shared" si="21"/>
        <v>0</v>
      </c>
      <c r="L98" s="389"/>
      <c r="M98" s="389"/>
      <c r="N98" s="395"/>
      <c r="O98" s="395">
        <v>12000</v>
      </c>
      <c r="P98" s="390"/>
      <c r="Q98" s="390"/>
      <c r="R98" s="389">
        <f t="shared" si="31"/>
        <v>12000</v>
      </c>
      <c r="S98" s="390"/>
      <c r="T98" s="390"/>
      <c r="U98" s="390"/>
      <c r="V98" s="390"/>
      <c r="W98" s="390"/>
      <c r="X98" s="390"/>
      <c r="Y98" s="390"/>
      <c r="Z98" s="390"/>
      <c r="AA98" s="390"/>
      <c r="AB98" s="386">
        <f t="shared" si="22"/>
        <v>12000</v>
      </c>
      <c r="AC98" s="1"/>
    </row>
    <row r="99" spans="1:29" ht="27" thickBot="1" x14ac:dyDescent="0.35">
      <c r="A99" s="392">
        <v>55602</v>
      </c>
      <c r="B99" s="542" t="s">
        <v>134</v>
      </c>
      <c r="C99" s="395">
        <v>0</v>
      </c>
      <c r="D99" s="395"/>
      <c r="E99" s="395"/>
      <c r="F99" s="395"/>
      <c r="G99" s="389">
        <f t="shared" ref="G99:G104" si="32">SUM(C99:F99)</f>
        <v>0</v>
      </c>
      <c r="H99" s="390"/>
      <c r="I99" s="390"/>
      <c r="J99" s="390"/>
      <c r="K99" s="389">
        <f t="shared" si="21"/>
        <v>0</v>
      </c>
      <c r="L99" s="389"/>
      <c r="M99" s="389"/>
      <c r="N99" s="395"/>
      <c r="O99" s="395">
        <v>6000</v>
      </c>
      <c r="P99" s="390"/>
      <c r="Q99" s="390"/>
      <c r="R99" s="389">
        <f t="shared" si="31"/>
        <v>6000</v>
      </c>
      <c r="S99" s="390"/>
      <c r="T99" s="390"/>
      <c r="U99" s="390"/>
      <c r="V99" s="390"/>
      <c r="W99" s="390"/>
      <c r="X99" s="390"/>
      <c r="Y99" s="390"/>
      <c r="Z99" s="390"/>
      <c r="AA99" s="390"/>
      <c r="AB99" s="386">
        <f t="shared" si="22"/>
        <v>6000</v>
      </c>
      <c r="AC99" s="1"/>
    </row>
    <row r="100" spans="1:29" ht="17.25" thickBot="1" x14ac:dyDescent="0.35">
      <c r="A100" s="392">
        <v>55603</v>
      </c>
      <c r="B100" s="542" t="s">
        <v>237</v>
      </c>
      <c r="C100" s="395">
        <v>0</v>
      </c>
      <c r="D100" s="395">
        <v>300</v>
      </c>
      <c r="E100" s="395"/>
      <c r="F100" s="395"/>
      <c r="G100" s="389">
        <f t="shared" si="32"/>
        <v>300</v>
      </c>
      <c r="H100" s="390">
        <v>200</v>
      </c>
      <c r="I100" s="390">
        <v>200</v>
      </c>
      <c r="J100" s="390">
        <v>0</v>
      </c>
      <c r="K100" s="389">
        <f t="shared" si="21"/>
        <v>400</v>
      </c>
      <c r="L100" s="389"/>
      <c r="M100" s="389"/>
      <c r="N100" s="395"/>
      <c r="O100" s="395">
        <v>445.48</v>
      </c>
      <c r="P100" s="390"/>
      <c r="Q100" s="390"/>
      <c r="R100" s="389">
        <f t="shared" si="31"/>
        <v>445.48</v>
      </c>
      <c r="S100" s="390"/>
      <c r="T100" s="390"/>
      <c r="U100" s="390"/>
      <c r="V100" s="390"/>
      <c r="W100" s="390"/>
      <c r="X100" s="390"/>
      <c r="Y100" s="390"/>
      <c r="Z100" s="390"/>
      <c r="AA100" s="390"/>
      <c r="AB100" s="386">
        <f t="shared" si="22"/>
        <v>1145.48</v>
      </c>
      <c r="AC100" s="1"/>
    </row>
    <row r="101" spans="1:29" ht="17.25" thickBot="1" x14ac:dyDescent="0.35">
      <c r="A101" s="387">
        <v>557</v>
      </c>
      <c r="B101" s="543" t="s">
        <v>136</v>
      </c>
      <c r="C101" s="389">
        <f>SUM(C102:C104)</f>
        <v>0</v>
      </c>
      <c r="D101" s="389">
        <f t="shared" ref="D101:G101" si="33">SUM(D102:D104)</f>
        <v>0</v>
      </c>
      <c r="E101" s="389">
        <f t="shared" si="33"/>
        <v>0</v>
      </c>
      <c r="F101" s="389">
        <f t="shared" si="33"/>
        <v>0</v>
      </c>
      <c r="G101" s="389">
        <f t="shared" si="33"/>
        <v>0</v>
      </c>
      <c r="H101" s="389">
        <f t="shared" ref="H101:AA101" si="34">SUM(H102:H104)</f>
        <v>0</v>
      </c>
      <c r="I101" s="389">
        <f t="shared" si="34"/>
        <v>0</v>
      </c>
      <c r="J101" s="389">
        <f t="shared" si="34"/>
        <v>0</v>
      </c>
      <c r="K101" s="389">
        <f t="shared" si="21"/>
        <v>0</v>
      </c>
      <c r="L101" s="389"/>
      <c r="M101" s="389"/>
      <c r="N101" s="389">
        <f t="shared" si="34"/>
        <v>0</v>
      </c>
      <c r="O101" s="389">
        <f t="shared" si="34"/>
        <v>500</v>
      </c>
      <c r="P101" s="389">
        <f t="shared" si="34"/>
        <v>0</v>
      </c>
      <c r="Q101" s="389"/>
      <c r="R101" s="389">
        <f t="shared" si="31"/>
        <v>500</v>
      </c>
      <c r="S101" s="389">
        <f t="shared" si="34"/>
        <v>0</v>
      </c>
      <c r="T101" s="389">
        <f t="shared" si="34"/>
        <v>0</v>
      </c>
      <c r="U101" s="389">
        <f t="shared" si="34"/>
        <v>0</v>
      </c>
      <c r="V101" s="389">
        <f t="shared" si="34"/>
        <v>0</v>
      </c>
      <c r="W101" s="389">
        <f t="shared" si="34"/>
        <v>0</v>
      </c>
      <c r="X101" s="389">
        <f t="shared" si="34"/>
        <v>0</v>
      </c>
      <c r="Y101" s="389">
        <f t="shared" si="34"/>
        <v>0</v>
      </c>
      <c r="Z101" s="389">
        <f t="shared" si="34"/>
        <v>0</v>
      </c>
      <c r="AA101" s="389">
        <f t="shared" si="34"/>
        <v>0</v>
      </c>
      <c r="AB101" s="386">
        <f t="shared" si="22"/>
        <v>500</v>
      </c>
      <c r="AC101" s="1"/>
    </row>
    <row r="102" spans="1:29" ht="17.25" thickBot="1" x14ac:dyDescent="0.35">
      <c r="A102" s="392">
        <v>55701</v>
      </c>
      <c r="B102" s="542" t="s">
        <v>238</v>
      </c>
      <c r="C102" s="395"/>
      <c r="D102" s="395"/>
      <c r="E102" s="395"/>
      <c r="F102" s="395"/>
      <c r="G102" s="389">
        <f t="shared" si="32"/>
        <v>0</v>
      </c>
      <c r="H102" s="390"/>
      <c r="I102" s="390"/>
      <c r="J102" s="390"/>
      <c r="K102" s="389">
        <f t="shared" si="21"/>
        <v>0</v>
      </c>
      <c r="L102" s="389"/>
      <c r="M102" s="389"/>
      <c r="N102" s="390"/>
      <c r="O102" s="390"/>
      <c r="P102" s="390"/>
      <c r="Q102" s="390"/>
      <c r="R102" s="389">
        <f t="shared" si="31"/>
        <v>0</v>
      </c>
      <c r="S102" s="390"/>
      <c r="T102" s="390"/>
      <c r="U102" s="390"/>
      <c r="V102" s="390"/>
      <c r="W102" s="390"/>
      <c r="X102" s="390"/>
      <c r="Y102" s="390"/>
      <c r="Z102" s="390"/>
      <c r="AA102" s="390"/>
      <c r="AB102" s="386">
        <f t="shared" si="22"/>
        <v>0</v>
      </c>
      <c r="AC102" s="1"/>
    </row>
    <row r="103" spans="1:29" ht="17.25" thickBot="1" x14ac:dyDescent="0.35">
      <c r="A103" s="392">
        <v>55702</v>
      </c>
      <c r="B103" s="542" t="s">
        <v>239</v>
      </c>
      <c r="C103" s="395"/>
      <c r="D103" s="395"/>
      <c r="E103" s="395"/>
      <c r="F103" s="395"/>
      <c r="G103" s="389">
        <f t="shared" si="32"/>
        <v>0</v>
      </c>
      <c r="H103" s="389"/>
      <c r="I103" s="389"/>
      <c r="J103" s="389"/>
      <c r="K103" s="389">
        <f t="shared" si="21"/>
        <v>0</v>
      </c>
      <c r="L103" s="389"/>
      <c r="M103" s="389"/>
      <c r="N103" s="390"/>
      <c r="O103" s="390"/>
      <c r="P103" s="390"/>
      <c r="Q103" s="390"/>
      <c r="R103" s="389">
        <f t="shared" si="31"/>
        <v>0</v>
      </c>
      <c r="S103" s="389"/>
      <c r="T103" s="389"/>
      <c r="U103" s="389"/>
      <c r="V103" s="389"/>
      <c r="W103" s="389"/>
      <c r="X103" s="389"/>
      <c r="Y103" s="389"/>
      <c r="Z103" s="389"/>
      <c r="AA103" s="389"/>
      <c r="AB103" s="386">
        <f t="shared" si="22"/>
        <v>0</v>
      </c>
      <c r="AC103" s="1"/>
    </row>
    <row r="104" spans="1:29" ht="17.25" thickBot="1" x14ac:dyDescent="0.35">
      <c r="A104" s="392">
        <v>55799</v>
      </c>
      <c r="B104" s="542" t="s">
        <v>137</v>
      </c>
      <c r="C104" s="395"/>
      <c r="D104" s="395">
        <v>0</v>
      </c>
      <c r="E104" s="395"/>
      <c r="F104" s="395"/>
      <c r="G104" s="389">
        <f t="shared" si="32"/>
        <v>0</v>
      </c>
      <c r="H104" s="390"/>
      <c r="I104" s="390"/>
      <c r="J104" s="390"/>
      <c r="K104" s="389">
        <f t="shared" si="21"/>
        <v>0</v>
      </c>
      <c r="L104" s="389"/>
      <c r="M104" s="389"/>
      <c r="N104" s="390"/>
      <c r="O104" s="395">
        <v>500</v>
      </c>
      <c r="P104" s="390"/>
      <c r="Q104" s="390"/>
      <c r="R104" s="389">
        <f t="shared" si="31"/>
        <v>500</v>
      </c>
      <c r="S104" s="390"/>
      <c r="T104" s="390"/>
      <c r="U104" s="390"/>
      <c r="V104" s="390"/>
      <c r="W104" s="390"/>
      <c r="X104" s="390"/>
      <c r="Y104" s="390"/>
      <c r="Z104" s="390"/>
      <c r="AA104" s="390"/>
      <c r="AB104" s="386">
        <f t="shared" si="22"/>
        <v>500</v>
      </c>
      <c r="AC104" s="1"/>
    </row>
    <row r="105" spans="1:29" ht="17.25" thickBot="1" x14ac:dyDescent="0.35">
      <c r="A105" s="392"/>
      <c r="B105" s="542"/>
      <c r="C105" s="390"/>
      <c r="D105" s="390"/>
      <c r="E105" s="390"/>
      <c r="F105" s="390"/>
      <c r="G105" s="389"/>
      <c r="H105" s="390"/>
      <c r="I105" s="390"/>
      <c r="J105" s="390"/>
      <c r="K105" s="389"/>
      <c r="L105" s="389"/>
      <c r="M105" s="389"/>
      <c r="N105" s="390"/>
      <c r="O105" s="390"/>
      <c r="P105" s="390"/>
      <c r="Q105" s="390"/>
      <c r="R105" s="389"/>
      <c r="S105" s="390"/>
      <c r="T105" s="390"/>
      <c r="U105" s="390"/>
      <c r="V105" s="390"/>
      <c r="W105" s="390"/>
      <c r="X105" s="390"/>
      <c r="Y105" s="390"/>
      <c r="Z105" s="390"/>
      <c r="AA105" s="390"/>
      <c r="AB105" s="386">
        <f t="shared" si="22"/>
        <v>0</v>
      </c>
      <c r="AC105" s="1"/>
    </row>
    <row r="106" spans="1:29" ht="17.25" thickBot="1" x14ac:dyDescent="0.35">
      <c r="A106" s="387">
        <v>56</v>
      </c>
      <c r="B106" s="543" t="s">
        <v>57</v>
      </c>
      <c r="C106" s="389">
        <f>+C107+C109</f>
        <v>10814.16</v>
      </c>
      <c r="D106" s="389">
        <f t="shared" ref="D106:G106" si="35">+D107+D109</f>
        <v>0</v>
      </c>
      <c r="E106" s="389">
        <f t="shared" si="35"/>
        <v>0</v>
      </c>
      <c r="F106" s="389">
        <f t="shared" si="35"/>
        <v>0</v>
      </c>
      <c r="G106" s="389">
        <f t="shared" si="35"/>
        <v>10814.16</v>
      </c>
      <c r="H106" s="390">
        <v>0</v>
      </c>
      <c r="I106" s="390">
        <v>0</v>
      </c>
      <c r="J106" s="390">
        <v>0</v>
      </c>
      <c r="K106" s="389">
        <f t="shared" si="21"/>
        <v>0</v>
      </c>
      <c r="L106" s="389"/>
      <c r="M106" s="389"/>
      <c r="N106" s="389">
        <f>+N107+N109</f>
        <v>7000</v>
      </c>
      <c r="O106" s="389">
        <f>+O107+O109</f>
        <v>500</v>
      </c>
      <c r="P106" s="389"/>
      <c r="Q106" s="389"/>
      <c r="R106" s="389">
        <f t="shared" si="31"/>
        <v>7500</v>
      </c>
      <c r="S106" s="390"/>
      <c r="T106" s="390"/>
      <c r="U106" s="390"/>
      <c r="V106" s="390"/>
      <c r="W106" s="390"/>
      <c r="X106" s="390"/>
      <c r="Y106" s="390"/>
      <c r="Z106" s="390"/>
      <c r="AA106" s="390"/>
      <c r="AB106" s="386">
        <f t="shared" si="22"/>
        <v>18314.16</v>
      </c>
      <c r="AC106" s="1"/>
    </row>
    <row r="107" spans="1:29" ht="27" thickBot="1" x14ac:dyDescent="0.35">
      <c r="A107" s="387">
        <v>562</v>
      </c>
      <c r="B107" s="543" t="s">
        <v>138</v>
      </c>
      <c r="C107" s="389">
        <f>+C108</f>
        <v>10814.16</v>
      </c>
      <c r="D107" s="389">
        <f t="shared" ref="D107:G107" si="36">+D108</f>
        <v>0</v>
      </c>
      <c r="E107" s="389">
        <f t="shared" si="36"/>
        <v>0</v>
      </c>
      <c r="F107" s="389">
        <f t="shared" si="36"/>
        <v>0</v>
      </c>
      <c r="G107" s="389">
        <f t="shared" si="36"/>
        <v>10814.16</v>
      </c>
      <c r="H107" s="390">
        <v>0</v>
      </c>
      <c r="I107" s="390">
        <v>0</v>
      </c>
      <c r="J107" s="390">
        <v>0</v>
      </c>
      <c r="K107" s="389">
        <f t="shared" si="21"/>
        <v>0</v>
      </c>
      <c r="L107" s="389"/>
      <c r="M107" s="389"/>
      <c r="N107" s="389">
        <f>+N108</f>
        <v>0</v>
      </c>
      <c r="O107" s="389">
        <f>+O108</f>
        <v>500</v>
      </c>
      <c r="P107" s="390"/>
      <c r="Q107" s="390"/>
      <c r="R107" s="389">
        <f t="shared" si="31"/>
        <v>500</v>
      </c>
      <c r="S107" s="390"/>
      <c r="T107" s="390"/>
      <c r="U107" s="390"/>
      <c r="V107" s="390"/>
      <c r="W107" s="390"/>
      <c r="X107" s="390"/>
      <c r="Y107" s="390"/>
      <c r="Z107" s="390"/>
      <c r="AA107" s="390"/>
      <c r="AB107" s="386">
        <f t="shared" si="22"/>
        <v>11314.16</v>
      </c>
      <c r="AC107" s="1"/>
    </row>
    <row r="108" spans="1:29" ht="17.25" thickBot="1" x14ac:dyDescent="0.35">
      <c r="A108" s="392">
        <v>56201</v>
      </c>
      <c r="B108" s="542" t="s">
        <v>241</v>
      </c>
      <c r="C108" s="395">
        <v>10814.16</v>
      </c>
      <c r="D108" s="395"/>
      <c r="E108" s="395"/>
      <c r="F108" s="395"/>
      <c r="G108" s="389">
        <f t="shared" ref="G108:G112" si="37">SUM(C108:F108)</f>
        <v>10814.16</v>
      </c>
      <c r="H108" s="390">
        <v>0</v>
      </c>
      <c r="I108" s="390">
        <v>0</v>
      </c>
      <c r="J108" s="390">
        <v>0</v>
      </c>
      <c r="K108" s="389">
        <f t="shared" si="21"/>
        <v>0</v>
      </c>
      <c r="L108" s="389"/>
      <c r="M108" s="389"/>
      <c r="N108" s="390">
        <v>0</v>
      </c>
      <c r="O108" s="390">
        <v>500</v>
      </c>
      <c r="P108" s="390"/>
      <c r="Q108" s="390"/>
      <c r="R108" s="389">
        <f t="shared" si="31"/>
        <v>500</v>
      </c>
      <c r="S108" s="390"/>
      <c r="T108" s="390"/>
      <c r="U108" s="390"/>
      <c r="V108" s="390"/>
      <c r="W108" s="390"/>
      <c r="X108" s="390"/>
      <c r="Y108" s="390"/>
      <c r="Z108" s="390"/>
      <c r="AA108" s="390"/>
      <c r="AB108" s="386">
        <f t="shared" si="22"/>
        <v>11314.16</v>
      </c>
      <c r="AC108" s="1"/>
    </row>
    <row r="109" spans="1:29" ht="27" thickBot="1" x14ac:dyDescent="0.35">
      <c r="A109" s="387">
        <v>563</v>
      </c>
      <c r="B109" s="543" t="s">
        <v>139</v>
      </c>
      <c r="C109" s="389">
        <f>SUM(C110:C112)</f>
        <v>0</v>
      </c>
      <c r="D109" s="389">
        <f t="shared" ref="D109:G109" si="38">SUM(D110:D112)</f>
        <v>0</v>
      </c>
      <c r="E109" s="389">
        <f t="shared" si="38"/>
        <v>0</v>
      </c>
      <c r="F109" s="389">
        <f t="shared" si="38"/>
        <v>0</v>
      </c>
      <c r="G109" s="389">
        <f t="shared" si="38"/>
        <v>0</v>
      </c>
      <c r="H109" s="390">
        <v>0</v>
      </c>
      <c r="I109" s="390">
        <v>0</v>
      </c>
      <c r="J109" s="390">
        <v>0</v>
      </c>
      <c r="K109" s="389">
        <f t="shared" si="21"/>
        <v>0</v>
      </c>
      <c r="L109" s="389"/>
      <c r="M109" s="389"/>
      <c r="N109" s="389">
        <f>+N110+N111+N112</f>
        <v>7000</v>
      </c>
      <c r="O109" s="389">
        <f>+O110+O111+O112</f>
        <v>0</v>
      </c>
      <c r="P109" s="389">
        <f>+P110+P111+P112</f>
        <v>0</v>
      </c>
      <c r="Q109" s="389">
        <f>+Q110+Q111+Q112</f>
        <v>0</v>
      </c>
      <c r="R109" s="389">
        <f t="shared" si="31"/>
        <v>7000</v>
      </c>
      <c r="S109" s="390"/>
      <c r="T109" s="390"/>
      <c r="U109" s="390"/>
      <c r="V109" s="390"/>
      <c r="W109" s="390"/>
      <c r="X109" s="390"/>
      <c r="Y109" s="390"/>
      <c r="Z109" s="390"/>
      <c r="AA109" s="390"/>
      <c r="AB109" s="386">
        <f t="shared" si="22"/>
        <v>7000</v>
      </c>
      <c r="AC109" s="1"/>
    </row>
    <row r="110" spans="1:29" ht="17.25" thickBot="1" x14ac:dyDescent="0.35">
      <c r="A110" s="392">
        <v>56303</v>
      </c>
      <c r="B110" s="542" t="s">
        <v>241</v>
      </c>
      <c r="C110" s="395">
        <v>0</v>
      </c>
      <c r="D110" s="395"/>
      <c r="E110" s="395"/>
      <c r="F110" s="395"/>
      <c r="G110" s="389">
        <f t="shared" si="37"/>
        <v>0</v>
      </c>
      <c r="H110" s="390">
        <v>0</v>
      </c>
      <c r="I110" s="390">
        <v>0</v>
      </c>
      <c r="J110" s="390">
        <v>0</v>
      </c>
      <c r="K110" s="389">
        <f t="shared" si="21"/>
        <v>0</v>
      </c>
      <c r="L110" s="389"/>
      <c r="M110" s="389"/>
      <c r="N110" s="395">
        <v>4000</v>
      </c>
      <c r="O110" s="390"/>
      <c r="P110" s="390"/>
      <c r="Q110" s="390"/>
      <c r="R110" s="389">
        <f t="shared" si="31"/>
        <v>4000</v>
      </c>
      <c r="S110" s="390"/>
      <c r="T110" s="390"/>
      <c r="U110" s="390"/>
      <c r="V110" s="390"/>
      <c r="W110" s="390"/>
      <c r="X110" s="390"/>
      <c r="Y110" s="390"/>
      <c r="Z110" s="390"/>
      <c r="AA110" s="390"/>
      <c r="AB110" s="386">
        <f t="shared" si="22"/>
        <v>4000</v>
      </c>
      <c r="AC110" s="1"/>
    </row>
    <row r="111" spans="1:29" ht="17.25" thickBot="1" x14ac:dyDescent="0.35">
      <c r="A111" s="392">
        <v>56304</v>
      </c>
      <c r="B111" s="542" t="s">
        <v>141</v>
      </c>
      <c r="C111" s="395">
        <v>0</v>
      </c>
      <c r="D111" s="395"/>
      <c r="E111" s="395"/>
      <c r="F111" s="395"/>
      <c r="G111" s="389">
        <f t="shared" si="37"/>
        <v>0</v>
      </c>
      <c r="H111" s="390">
        <v>0</v>
      </c>
      <c r="I111" s="390">
        <v>0</v>
      </c>
      <c r="J111" s="390">
        <v>0</v>
      </c>
      <c r="K111" s="389">
        <f t="shared" si="21"/>
        <v>0</v>
      </c>
      <c r="L111" s="389"/>
      <c r="M111" s="389"/>
      <c r="N111" s="395">
        <v>3000</v>
      </c>
      <c r="O111" s="390"/>
      <c r="P111" s="390"/>
      <c r="Q111" s="390"/>
      <c r="R111" s="389">
        <f t="shared" si="31"/>
        <v>3000</v>
      </c>
      <c r="S111" s="390"/>
      <c r="T111" s="390"/>
      <c r="U111" s="390"/>
      <c r="V111" s="390"/>
      <c r="W111" s="390"/>
      <c r="X111" s="390"/>
      <c r="Y111" s="390"/>
      <c r="Z111" s="390"/>
      <c r="AA111" s="390"/>
      <c r="AB111" s="386">
        <f t="shared" si="22"/>
        <v>3000</v>
      </c>
      <c r="AC111" s="1"/>
    </row>
    <row r="112" spans="1:29" ht="17.25" thickBot="1" x14ac:dyDescent="0.35">
      <c r="A112" s="392">
        <v>56305</v>
      </c>
      <c r="B112" s="542" t="s">
        <v>142</v>
      </c>
      <c r="C112" s="390"/>
      <c r="D112" s="390"/>
      <c r="E112" s="390"/>
      <c r="F112" s="390"/>
      <c r="G112" s="389">
        <f t="shared" si="37"/>
        <v>0</v>
      </c>
      <c r="H112" s="390">
        <v>0</v>
      </c>
      <c r="I112" s="390">
        <v>0</v>
      </c>
      <c r="J112" s="390">
        <v>0</v>
      </c>
      <c r="K112" s="389">
        <f t="shared" si="21"/>
        <v>0</v>
      </c>
      <c r="L112" s="390"/>
      <c r="M112" s="389"/>
      <c r="N112" s="390"/>
      <c r="O112" s="390"/>
      <c r="P112" s="390"/>
      <c r="Q112" s="390"/>
      <c r="R112" s="389">
        <f t="shared" si="31"/>
        <v>0</v>
      </c>
      <c r="S112" s="390"/>
      <c r="T112" s="390"/>
      <c r="U112" s="390"/>
      <c r="V112" s="390"/>
      <c r="W112" s="390"/>
      <c r="X112" s="390"/>
      <c r="Y112" s="390"/>
      <c r="Z112" s="390"/>
      <c r="AA112" s="390"/>
      <c r="AB112" s="386">
        <f t="shared" si="22"/>
        <v>0</v>
      </c>
      <c r="AC112" s="1"/>
    </row>
    <row r="113" spans="1:29" ht="17.25" thickBot="1" x14ac:dyDescent="0.35">
      <c r="A113" s="392"/>
      <c r="B113" s="542"/>
      <c r="C113" s="390"/>
      <c r="D113" s="390"/>
      <c r="E113" s="390"/>
      <c r="F113" s="390"/>
      <c r="G113" s="389"/>
      <c r="H113" s="390"/>
      <c r="I113" s="390"/>
      <c r="J113" s="390"/>
      <c r="K113" s="389"/>
      <c r="L113" s="389"/>
      <c r="M113" s="389"/>
      <c r="N113" s="390"/>
      <c r="O113" s="390"/>
      <c r="P113" s="390"/>
      <c r="Q113" s="390"/>
      <c r="R113" s="389"/>
      <c r="S113" s="390"/>
      <c r="T113" s="390"/>
      <c r="U113" s="390"/>
      <c r="V113" s="390"/>
      <c r="W113" s="390"/>
      <c r="X113" s="390"/>
      <c r="Y113" s="390"/>
      <c r="Z113" s="390"/>
      <c r="AA113" s="390"/>
      <c r="AB113" s="386">
        <f t="shared" si="22"/>
        <v>0</v>
      </c>
      <c r="AC113" s="1"/>
    </row>
    <row r="114" spans="1:29" ht="17.25" thickBot="1" x14ac:dyDescent="0.35">
      <c r="A114" s="393" t="s">
        <v>395</v>
      </c>
      <c r="B114" s="541" t="s">
        <v>143</v>
      </c>
      <c r="C114" s="388">
        <f>+C115+C120+C124+C129</f>
        <v>0</v>
      </c>
      <c r="D114" s="388">
        <f t="shared" ref="D114:G114" si="39">+D115+D120+D124+D129</f>
        <v>0</v>
      </c>
      <c r="E114" s="388">
        <f t="shared" si="39"/>
        <v>0</v>
      </c>
      <c r="F114" s="388">
        <f t="shared" si="39"/>
        <v>0</v>
      </c>
      <c r="G114" s="388">
        <f t="shared" si="39"/>
        <v>0</v>
      </c>
      <c r="H114" s="389">
        <f>+H115+H124+H129</f>
        <v>234223.4</v>
      </c>
      <c r="I114" s="389">
        <f>+I115+I120+I124+I129</f>
        <v>1224972.25</v>
      </c>
      <c r="J114" s="389">
        <f>+J115+J129</f>
        <v>0</v>
      </c>
      <c r="K114" s="389">
        <f t="shared" si="21"/>
        <v>1459195.65</v>
      </c>
      <c r="L114" s="389">
        <f>+L124+L129</f>
        <v>831641</v>
      </c>
      <c r="M114" s="389">
        <f>+M129</f>
        <v>251198.54</v>
      </c>
      <c r="N114" s="389">
        <f>+N115+N120+N124+N129</f>
        <v>7000</v>
      </c>
      <c r="O114" s="389">
        <f>+O115+O120+O124+O129</f>
        <v>3000</v>
      </c>
      <c r="P114" s="389">
        <f>+P115+P120+P124+P129</f>
        <v>500</v>
      </c>
      <c r="Q114" s="389">
        <f>+Q115+Q120+Q124+Q129</f>
        <v>7000</v>
      </c>
      <c r="R114" s="389">
        <f t="shared" si="31"/>
        <v>17500</v>
      </c>
      <c r="S114" s="389">
        <f t="shared" ref="S114:AA114" si="40">+S115+S120+S124+S129</f>
        <v>0</v>
      </c>
      <c r="T114" s="389">
        <f t="shared" si="40"/>
        <v>0</v>
      </c>
      <c r="U114" s="389">
        <f t="shared" si="40"/>
        <v>0</v>
      </c>
      <c r="V114" s="389">
        <f t="shared" si="40"/>
        <v>0</v>
      </c>
      <c r="W114" s="389">
        <f t="shared" si="40"/>
        <v>0</v>
      </c>
      <c r="X114" s="389">
        <f t="shared" si="40"/>
        <v>0</v>
      </c>
      <c r="Y114" s="390">
        <f t="shared" si="40"/>
        <v>0</v>
      </c>
      <c r="Z114" s="390">
        <f t="shared" si="40"/>
        <v>0</v>
      </c>
      <c r="AA114" s="390">
        <f t="shared" si="40"/>
        <v>0</v>
      </c>
      <c r="AB114" s="386">
        <f t="shared" si="22"/>
        <v>2559535.19</v>
      </c>
      <c r="AC114" s="1"/>
    </row>
    <row r="115" spans="1:29" ht="17.25" thickBot="1" x14ac:dyDescent="0.35">
      <c r="A115" s="393" t="s">
        <v>396</v>
      </c>
      <c r="B115" s="541" t="s">
        <v>144</v>
      </c>
      <c r="C115" s="389">
        <f>SUM(C116:C119)</f>
        <v>0</v>
      </c>
      <c r="D115" s="389">
        <f t="shared" ref="D115:F115" si="41">SUM(D116:D119)</f>
        <v>0</v>
      </c>
      <c r="E115" s="389">
        <f t="shared" si="41"/>
        <v>0</v>
      </c>
      <c r="F115" s="389">
        <f t="shared" si="41"/>
        <v>0</v>
      </c>
      <c r="G115" s="389">
        <f>SUM(C115:F115)</f>
        <v>0</v>
      </c>
      <c r="H115" s="389">
        <f>SUM(H116:H119)</f>
        <v>0</v>
      </c>
      <c r="I115" s="389">
        <f>SUM(I116:I119)</f>
        <v>0</v>
      </c>
      <c r="J115" s="390">
        <f>SUM(J116:J119)</f>
        <v>0</v>
      </c>
      <c r="K115" s="389">
        <f t="shared" si="21"/>
        <v>0</v>
      </c>
      <c r="L115" s="389"/>
      <c r="M115" s="389"/>
      <c r="N115" s="389">
        <f>SUM(N116:N119)</f>
        <v>7000</v>
      </c>
      <c r="O115" s="389">
        <f>SUM(O116:O119)</f>
        <v>3000</v>
      </c>
      <c r="P115" s="389">
        <f>SUM(P116:P119)</f>
        <v>500</v>
      </c>
      <c r="Q115" s="389">
        <f>SUM(Q116:Q119)</f>
        <v>7000</v>
      </c>
      <c r="R115" s="389">
        <f t="shared" si="31"/>
        <v>17500</v>
      </c>
      <c r="S115" s="390"/>
      <c r="T115" s="390"/>
      <c r="U115" s="390"/>
      <c r="V115" s="390"/>
      <c r="W115" s="390"/>
      <c r="X115" s="390"/>
      <c r="Y115" s="390"/>
      <c r="Z115" s="390"/>
      <c r="AA115" s="390"/>
      <c r="AB115" s="386">
        <f t="shared" si="22"/>
        <v>17500</v>
      </c>
      <c r="AC115" s="1"/>
    </row>
    <row r="116" spans="1:29" ht="17.25" thickBot="1" x14ac:dyDescent="0.35">
      <c r="A116" s="391" t="s">
        <v>397</v>
      </c>
      <c r="B116" s="540" t="s">
        <v>398</v>
      </c>
      <c r="C116" s="400">
        <v>0</v>
      </c>
      <c r="D116" s="390"/>
      <c r="E116" s="390">
        <v>0</v>
      </c>
      <c r="F116" s="390">
        <v>0</v>
      </c>
      <c r="G116" s="389">
        <f t="shared" ref="G116:G136" si="42">SUM(C116:F116)</f>
        <v>0</v>
      </c>
      <c r="H116" s="390"/>
      <c r="I116" s="390"/>
      <c r="J116" s="390"/>
      <c r="K116" s="389">
        <f t="shared" si="21"/>
        <v>0</v>
      </c>
      <c r="L116" s="389"/>
      <c r="M116" s="389"/>
      <c r="N116" s="400">
        <v>5000</v>
      </c>
      <c r="O116" s="390">
        <v>2000</v>
      </c>
      <c r="P116" s="390">
        <v>500</v>
      </c>
      <c r="Q116" s="390">
        <v>5000</v>
      </c>
      <c r="R116" s="389">
        <f t="shared" si="31"/>
        <v>12500</v>
      </c>
      <c r="S116" s="390"/>
      <c r="T116" s="390"/>
      <c r="U116" s="390"/>
      <c r="V116" s="390"/>
      <c r="W116" s="390"/>
      <c r="X116" s="390"/>
      <c r="Y116" s="390"/>
      <c r="Z116" s="390"/>
      <c r="AA116" s="390"/>
      <c r="AB116" s="386">
        <f t="shared" si="22"/>
        <v>12500</v>
      </c>
      <c r="AC116" s="1"/>
    </row>
    <row r="117" spans="1:29" ht="17.25" thickBot="1" x14ac:dyDescent="0.35">
      <c r="A117" s="391" t="s">
        <v>399</v>
      </c>
      <c r="B117" s="540" t="s">
        <v>400</v>
      </c>
      <c r="C117" s="400">
        <v>0</v>
      </c>
      <c r="D117" s="390">
        <v>0</v>
      </c>
      <c r="E117" s="390">
        <v>0</v>
      </c>
      <c r="F117" s="390">
        <v>0</v>
      </c>
      <c r="G117" s="389">
        <f t="shared" si="42"/>
        <v>0</v>
      </c>
      <c r="H117" s="390"/>
      <c r="I117" s="390"/>
      <c r="J117" s="390"/>
      <c r="K117" s="389">
        <f t="shared" si="21"/>
        <v>0</v>
      </c>
      <c r="L117" s="389"/>
      <c r="M117" s="389"/>
      <c r="N117" s="400">
        <v>1000</v>
      </c>
      <c r="O117" s="390">
        <v>1000</v>
      </c>
      <c r="P117" s="390"/>
      <c r="Q117" s="390">
        <v>1000</v>
      </c>
      <c r="R117" s="389">
        <f t="shared" si="31"/>
        <v>3000</v>
      </c>
      <c r="S117" s="390"/>
      <c r="T117" s="390"/>
      <c r="U117" s="390"/>
      <c r="V117" s="390"/>
      <c r="W117" s="390"/>
      <c r="X117" s="390"/>
      <c r="Y117" s="390"/>
      <c r="Z117" s="390"/>
      <c r="AA117" s="390"/>
      <c r="AB117" s="386">
        <f t="shared" si="22"/>
        <v>3000</v>
      </c>
      <c r="AC117" s="1"/>
    </row>
    <row r="118" spans="1:29" ht="17.25" thickBot="1" x14ac:dyDescent="0.35">
      <c r="A118" s="391" t="s">
        <v>403</v>
      </c>
      <c r="B118" s="540" t="s">
        <v>147</v>
      </c>
      <c r="C118" s="400">
        <v>0</v>
      </c>
      <c r="D118" s="390"/>
      <c r="E118" s="390">
        <v>0</v>
      </c>
      <c r="F118" s="390">
        <v>0</v>
      </c>
      <c r="G118" s="389">
        <f t="shared" si="42"/>
        <v>0</v>
      </c>
      <c r="H118" s="390"/>
      <c r="I118" s="390"/>
      <c r="J118" s="390"/>
      <c r="K118" s="389">
        <f t="shared" si="21"/>
        <v>0</v>
      </c>
      <c r="L118" s="389"/>
      <c r="M118" s="389"/>
      <c r="N118" s="400">
        <v>1000</v>
      </c>
      <c r="O118" s="390"/>
      <c r="P118" s="390"/>
      <c r="Q118" s="390">
        <v>1000</v>
      </c>
      <c r="R118" s="389">
        <f t="shared" si="31"/>
        <v>2000</v>
      </c>
      <c r="S118" s="390"/>
      <c r="T118" s="390"/>
      <c r="U118" s="390"/>
      <c r="V118" s="390"/>
      <c r="W118" s="390"/>
      <c r="X118" s="390"/>
      <c r="Y118" s="390"/>
      <c r="Z118" s="390"/>
      <c r="AA118" s="390"/>
      <c r="AB118" s="386">
        <f t="shared" si="22"/>
        <v>2000</v>
      </c>
      <c r="AC118" s="1"/>
    </row>
    <row r="119" spans="1:29" ht="17.25" thickBot="1" x14ac:dyDescent="0.35">
      <c r="A119" s="391" t="s">
        <v>404</v>
      </c>
      <c r="B119" s="540" t="s">
        <v>163</v>
      </c>
      <c r="C119" s="400" t="s">
        <v>8</v>
      </c>
      <c r="D119" s="390"/>
      <c r="E119" s="390"/>
      <c r="F119" s="400">
        <v>0</v>
      </c>
      <c r="G119" s="389">
        <f t="shared" si="42"/>
        <v>0</v>
      </c>
      <c r="H119" s="390"/>
      <c r="I119" s="390"/>
      <c r="J119" s="390"/>
      <c r="K119" s="389">
        <f t="shared" si="21"/>
        <v>0</v>
      </c>
      <c r="L119" s="389"/>
      <c r="M119" s="389"/>
      <c r="N119" s="400">
        <v>0</v>
      </c>
      <c r="O119" s="390">
        <v>0</v>
      </c>
      <c r="P119" s="390">
        <v>0</v>
      </c>
      <c r="Q119" s="400">
        <v>0</v>
      </c>
      <c r="R119" s="389">
        <f t="shared" si="31"/>
        <v>0</v>
      </c>
      <c r="S119" s="390"/>
      <c r="T119" s="390"/>
      <c r="U119" s="390"/>
      <c r="V119" s="390"/>
      <c r="W119" s="390"/>
      <c r="X119" s="390"/>
      <c r="Y119" s="390"/>
      <c r="Z119" s="390"/>
      <c r="AA119" s="390"/>
      <c r="AB119" s="386">
        <f t="shared" si="22"/>
        <v>0</v>
      </c>
      <c r="AC119" s="1"/>
    </row>
    <row r="120" spans="1:29" ht="17.25" thickBot="1" x14ac:dyDescent="0.35">
      <c r="A120" s="393" t="s">
        <v>465</v>
      </c>
      <c r="B120" s="541" t="s">
        <v>148</v>
      </c>
      <c r="C120" s="389">
        <f>SUM(C121:C123)</f>
        <v>0</v>
      </c>
      <c r="D120" s="389">
        <f t="shared" ref="D120:F120" si="43">SUM(D121:D123)</f>
        <v>0</v>
      </c>
      <c r="E120" s="389">
        <f t="shared" si="43"/>
        <v>0</v>
      </c>
      <c r="F120" s="389">
        <f t="shared" si="43"/>
        <v>0</v>
      </c>
      <c r="G120" s="389">
        <f t="shared" ref="G120:G129" si="44">+C120+D120+E120</f>
        <v>0</v>
      </c>
      <c r="H120" s="390"/>
      <c r="I120" s="389">
        <f t="shared" ref="I120" si="45">SUM(I121:I123)</f>
        <v>0</v>
      </c>
      <c r="J120" s="390"/>
      <c r="K120" s="389">
        <f t="shared" si="21"/>
        <v>0</v>
      </c>
      <c r="L120" s="389"/>
      <c r="M120" s="389"/>
      <c r="N120" s="390"/>
      <c r="O120" s="390"/>
      <c r="P120" s="390"/>
      <c r="Q120" s="390"/>
      <c r="R120" s="389">
        <f t="shared" si="31"/>
        <v>0</v>
      </c>
      <c r="S120" s="390"/>
      <c r="T120" s="390"/>
      <c r="U120" s="390"/>
      <c r="V120" s="390"/>
      <c r="W120" s="390"/>
      <c r="X120" s="390"/>
      <c r="Y120" s="390"/>
      <c r="Z120" s="390"/>
      <c r="AA120" s="390"/>
      <c r="AB120" s="386">
        <f t="shared" si="22"/>
        <v>0</v>
      </c>
      <c r="AC120" s="1"/>
    </row>
    <row r="121" spans="1:29" ht="17.25" thickBot="1" x14ac:dyDescent="0.35">
      <c r="A121" s="391" t="s">
        <v>466</v>
      </c>
      <c r="B121" s="540" t="s">
        <v>149</v>
      </c>
      <c r="C121" s="390">
        <v>0</v>
      </c>
      <c r="D121" s="390"/>
      <c r="E121" s="390"/>
      <c r="F121" s="390"/>
      <c r="G121" s="389">
        <f t="shared" si="42"/>
        <v>0</v>
      </c>
      <c r="H121" s="390"/>
      <c r="I121" s="390"/>
      <c r="J121" s="390"/>
      <c r="K121" s="389">
        <f t="shared" si="21"/>
        <v>0</v>
      </c>
      <c r="L121" s="390"/>
      <c r="M121" s="389"/>
      <c r="N121" s="390"/>
      <c r="O121" s="390"/>
      <c r="P121" s="390"/>
      <c r="Q121" s="390"/>
      <c r="R121" s="389">
        <f t="shared" si="31"/>
        <v>0</v>
      </c>
      <c r="S121" s="390"/>
      <c r="T121" s="390"/>
      <c r="U121" s="390"/>
      <c r="V121" s="390"/>
      <c r="W121" s="390"/>
      <c r="X121" s="390"/>
      <c r="Y121" s="390"/>
      <c r="Z121" s="390"/>
      <c r="AA121" s="390"/>
      <c r="AB121" s="386">
        <f t="shared" si="22"/>
        <v>0</v>
      </c>
      <c r="AC121" s="1"/>
    </row>
    <row r="122" spans="1:29" ht="17.25" thickBot="1" x14ac:dyDescent="0.35">
      <c r="A122" s="391" t="s">
        <v>467</v>
      </c>
      <c r="B122" s="540" t="s">
        <v>468</v>
      </c>
      <c r="C122" s="390"/>
      <c r="D122" s="390"/>
      <c r="E122" s="390"/>
      <c r="F122" s="390"/>
      <c r="G122" s="389">
        <f t="shared" si="42"/>
        <v>0</v>
      </c>
      <c r="H122" s="390"/>
      <c r="I122" s="390"/>
      <c r="J122" s="390"/>
      <c r="K122" s="389">
        <f t="shared" si="21"/>
        <v>0</v>
      </c>
      <c r="L122" s="389"/>
      <c r="M122" s="389"/>
      <c r="N122" s="390"/>
      <c r="O122" s="390"/>
      <c r="P122" s="390"/>
      <c r="Q122" s="390"/>
      <c r="R122" s="389">
        <f t="shared" si="31"/>
        <v>0</v>
      </c>
      <c r="S122" s="390"/>
      <c r="T122" s="390"/>
      <c r="U122" s="390"/>
      <c r="V122" s="390"/>
      <c r="W122" s="390"/>
      <c r="X122" s="390"/>
      <c r="Y122" s="390"/>
      <c r="Z122" s="390"/>
      <c r="AA122" s="390"/>
      <c r="AB122" s="386">
        <f t="shared" si="22"/>
        <v>0</v>
      </c>
      <c r="AC122" s="1"/>
    </row>
    <row r="123" spans="1:29" ht="17.25" thickBot="1" x14ac:dyDescent="0.35">
      <c r="A123" s="391" t="s">
        <v>469</v>
      </c>
      <c r="B123" s="540" t="s">
        <v>470</v>
      </c>
      <c r="C123" s="390"/>
      <c r="D123" s="390"/>
      <c r="E123" s="390"/>
      <c r="F123" s="390"/>
      <c r="G123" s="389">
        <f t="shared" si="42"/>
        <v>0</v>
      </c>
      <c r="H123" s="390"/>
      <c r="I123" s="390"/>
      <c r="J123" s="390"/>
      <c r="K123" s="389">
        <f t="shared" si="21"/>
        <v>0</v>
      </c>
      <c r="L123" s="389"/>
      <c r="M123" s="389"/>
      <c r="N123" s="390"/>
      <c r="O123" s="390"/>
      <c r="P123" s="390"/>
      <c r="Q123" s="390"/>
      <c r="R123" s="389">
        <f t="shared" si="31"/>
        <v>0</v>
      </c>
      <c r="S123" s="390"/>
      <c r="T123" s="390"/>
      <c r="U123" s="390"/>
      <c r="V123" s="390"/>
      <c r="W123" s="390"/>
      <c r="X123" s="390"/>
      <c r="Y123" s="390"/>
      <c r="Z123" s="390"/>
      <c r="AA123" s="390"/>
      <c r="AB123" s="386">
        <f t="shared" si="22"/>
        <v>0</v>
      </c>
      <c r="AC123" s="1"/>
    </row>
    <row r="124" spans="1:29" ht="17.25" thickBot="1" x14ac:dyDescent="0.35">
      <c r="A124" s="387">
        <v>615</v>
      </c>
      <c r="B124" s="541" t="s">
        <v>150</v>
      </c>
      <c r="C124" s="389">
        <f>SUM(C125:C128)</f>
        <v>0</v>
      </c>
      <c r="D124" s="389">
        <f t="shared" ref="D124:F124" si="46">SUM(D125:D128)</f>
        <v>0</v>
      </c>
      <c r="E124" s="389">
        <f t="shared" si="46"/>
        <v>0</v>
      </c>
      <c r="F124" s="389">
        <f t="shared" si="46"/>
        <v>0</v>
      </c>
      <c r="G124" s="389">
        <f t="shared" si="42"/>
        <v>0</v>
      </c>
      <c r="H124" s="389">
        <f>+H128</f>
        <v>0</v>
      </c>
      <c r="I124" s="389">
        <f>+I128</f>
        <v>7000</v>
      </c>
      <c r="J124" s="390"/>
      <c r="K124" s="389">
        <f t="shared" si="21"/>
        <v>7000</v>
      </c>
      <c r="L124" s="389">
        <f>L128</f>
        <v>15977.81</v>
      </c>
      <c r="M124" s="389"/>
      <c r="N124" s="390"/>
      <c r="O124" s="390"/>
      <c r="P124" s="390"/>
      <c r="Q124" s="390"/>
      <c r="R124" s="389">
        <f t="shared" si="31"/>
        <v>0</v>
      </c>
      <c r="S124" s="390"/>
      <c r="T124" s="390"/>
      <c r="U124" s="390"/>
      <c r="V124" s="390"/>
      <c r="W124" s="390"/>
      <c r="X124" s="390"/>
      <c r="Y124" s="390"/>
      <c r="Z124" s="390"/>
      <c r="AA124" s="390"/>
      <c r="AB124" s="386">
        <f t="shared" si="22"/>
        <v>22977.809999999998</v>
      </c>
      <c r="AC124" s="1"/>
    </row>
    <row r="125" spans="1:29" ht="17.25" thickBot="1" x14ac:dyDescent="0.35">
      <c r="A125" s="392">
        <v>61501</v>
      </c>
      <c r="B125" s="540" t="s">
        <v>264</v>
      </c>
      <c r="C125" s="390"/>
      <c r="D125" s="390"/>
      <c r="E125" s="390"/>
      <c r="F125" s="390"/>
      <c r="G125" s="389">
        <f t="shared" si="42"/>
        <v>0</v>
      </c>
      <c r="H125" s="390"/>
      <c r="I125" s="390"/>
      <c r="J125" s="390"/>
      <c r="K125" s="389">
        <f t="shared" si="21"/>
        <v>0</v>
      </c>
      <c r="L125" s="389"/>
      <c r="M125" s="389"/>
      <c r="N125" s="390"/>
      <c r="O125" s="390"/>
      <c r="P125" s="390"/>
      <c r="Q125" s="390"/>
      <c r="R125" s="389">
        <f t="shared" si="31"/>
        <v>0</v>
      </c>
      <c r="S125" s="390"/>
      <c r="T125" s="390"/>
      <c r="U125" s="390"/>
      <c r="V125" s="390"/>
      <c r="W125" s="390"/>
      <c r="X125" s="390"/>
      <c r="Y125" s="390"/>
      <c r="Z125" s="390"/>
      <c r="AA125" s="390"/>
      <c r="AB125" s="386">
        <f t="shared" si="22"/>
        <v>0</v>
      </c>
      <c r="AC125" s="1"/>
    </row>
    <row r="126" spans="1:29" ht="17.25" thickBot="1" x14ac:dyDescent="0.35">
      <c r="A126" s="392">
        <v>61502</v>
      </c>
      <c r="B126" s="540" t="s">
        <v>265</v>
      </c>
      <c r="C126" s="390"/>
      <c r="D126" s="390"/>
      <c r="E126" s="390"/>
      <c r="F126" s="390"/>
      <c r="G126" s="389">
        <f t="shared" si="42"/>
        <v>0</v>
      </c>
      <c r="H126" s="390"/>
      <c r="I126" s="390"/>
      <c r="J126" s="390"/>
      <c r="K126" s="389">
        <f t="shared" si="21"/>
        <v>0</v>
      </c>
      <c r="L126" s="389"/>
      <c r="M126" s="389"/>
      <c r="N126" s="390"/>
      <c r="O126" s="390"/>
      <c r="P126" s="390"/>
      <c r="Q126" s="390"/>
      <c r="R126" s="389">
        <f t="shared" si="31"/>
        <v>0</v>
      </c>
      <c r="S126" s="390"/>
      <c r="T126" s="390"/>
      <c r="U126" s="390"/>
      <c r="V126" s="390"/>
      <c r="W126" s="390"/>
      <c r="X126" s="390"/>
      <c r="Y126" s="390"/>
      <c r="Z126" s="390"/>
      <c r="AA126" s="390"/>
      <c r="AB126" s="386">
        <f t="shared" si="22"/>
        <v>0</v>
      </c>
      <c r="AC126" s="1"/>
    </row>
    <row r="127" spans="1:29" ht="17.25" thickBot="1" x14ac:dyDescent="0.35">
      <c r="A127" s="392">
        <v>61503</v>
      </c>
      <c r="B127" s="540" t="s">
        <v>471</v>
      </c>
      <c r="C127" s="390"/>
      <c r="D127" s="390"/>
      <c r="E127" s="390"/>
      <c r="F127" s="390"/>
      <c r="G127" s="389">
        <f t="shared" si="42"/>
        <v>0</v>
      </c>
      <c r="H127" s="390"/>
      <c r="I127" s="390"/>
      <c r="J127" s="390"/>
      <c r="K127" s="389">
        <f t="shared" si="21"/>
        <v>0</v>
      </c>
      <c r="L127" s="389"/>
      <c r="M127" s="389"/>
      <c r="N127" s="390"/>
      <c r="O127" s="390"/>
      <c r="P127" s="390"/>
      <c r="Q127" s="390"/>
      <c r="R127" s="389">
        <f t="shared" si="31"/>
        <v>0</v>
      </c>
      <c r="S127" s="390"/>
      <c r="T127" s="390"/>
      <c r="U127" s="390"/>
      <c r="V127" s="390"/>
      <c r="W127" s="390"/>
      <c r="X127" s="390"/>
      <c r="Y127" s="390"/>
      <c r="Z127" s="390"/>
      <c r="AA127" s="390"/>
      <c r="AB127" s="386">
        <f t="shared" si="22"/>
        <v>0</v>
      </c>
      <c r="AC127" s="1"/>
    </row>
    <row r="128" spans="1:29" ht="27" thickBot="1" x14ac:dyDescent="0.35">
      <c r="A128" s="392">
        <v>61599</v>
      </c>
      <c r="B128" s="540" t="s">
        <v>266</v>
      </c>
      <c r="C128" s="390"/>
      <c r="D128" s="390"/>
      <c r="E128" s="390">
        <v>0</v>
      </c>
      <c r="F128" s="390"/>
      <c r="G128" s="389">
        <f t="shared" si="42"/>
        <v>0</v>
      </c>
      <c r="H128" s="390"/>
      <c r="I128" s="390">
        <v>7000</v>
      </c>
      <c r="J128" s="390"/>
      <c r="K128" s="389">
        <f t="shared" si="21"/>
        <v>7000</v>
      </c>
      <c r="L128" s="390">
        <v>15977.81</v>
      </c>
      <c r="M128" s="389"/>
      <c r="N128" s="390"/>
      <c r="O128" s="390"/>
      <c r="P128" s="390"/>
      <c r="Q128" s="390"/>
      <c r="R128" s="389">
        <f t="shared" si="31"/>
        <v>0</v>
      </c>
      <c r="S128" s="390"/>
      <c r="T128" s="390"/>
      <c r="U128" s="390"/>
      <c r="V128" s="390"/>
      <c r="W128" s="390"/>
      <c r="X128" s="390"/>
      <c r="Y128" s="390"/>
      <c r="Z128" s="390"/>
      <c r="AA128" s="390"/>
      <c r="AB128" s="386">
        <f t="shared" si="22"/>
        <v>22977.809999999998</v>
      </c>
      <c r="AC128" s="1"/>
    </row>
    <row r="129" spans="1:29" ht="17.25" thickBot="1" x14ac:dyDescent="0.35">
      <c r="A129" s="387">
        <v>616</v>
      </c>
      <c r="B129" s="541" t="s">
        <v>152</v>
      </c>
      <c r="C129" s="389">
        <f>SUM(C130:C136)</f>
        <v>0</v>
      </c>
      <c r="D129" s="389"/>
      <c r="E129" s="389">
        <f>SUM(E130:E136)</f>
        <v>0</v>
      </c>
      <c r="F129" s="389"/>
      <c r="G129" s="389">
        <f t="shared" si="44"/>
        <v>0</v>
      </c>
      <c r="H129" s="389">
        <f t="shared" ref="H129:P129" si="47">SUM(H130:H136)</f>
        <v>234223.4</v>
      </c>
      <c r="I129" s="389">
        <f t="shared" si="47"/>
        <v>1217972.25</v>
      </c>
      <c r="J129" s="390">
        <f t="shared" si="47"/>
        <v>0</v>
      </c>
      <c r="K129" s="389">
        <f t="shared" si="47"/>
        <v>1452195.65</v>
      </c>
      <c r="L129" s="389">
        <f t="shared" si="47"/>
        <v>815663.19</v>
      </c>
      <c r="M129" s="389">
        <f t="shared" si="47"/>
        <v>251198.54</v>
      </c>
      <c r="N129" s="390">
        <f t="shared" si="47"/>
        <v>0</v>
      </c>
      <c r="O129" s="390">
        <f t="shared" si="47"/>
        <v>0</v>
      </c>
      <c r="P129" s="390">
        <f t="shared" si="47"/>
        <v>0</v>
      </c>
      <c r="Q129" s="390"/>
      <c r="R129" s="389">
        <f t="shared" si="31"/>
        <v>0</v>
      </c>
      <c r="S129" s="389">
        <f t="shared" ref="S129:AA129" si="48">SUM(S130:S136)</f>
        <v>0</v>
      </c>
      <c r="T129" s="390">
        <f t="shared" si="48"/>
        <v>0</v>
      </c>
      <c r="U129" s="389">
        <f t="shared" si="48"/>
        <v>0</v>
      </c>
      <c r="V129" s="389">
        <f t="shared" si="48"/>
        <v>0</v>
      </c>
      <c r="W129" s="389">
        <f t="shared" si="48"/>
        <v>0</v>
      </c>
      <c r="X129" s="389">
        <f t="shared" si="48"/>
        <v>0</v>
      </c>
      <c r="Y129" s="390">
        <f t="shared" si="48"/>
        <v>0</v>
      </c>
      <c r="Z129" s="390">
        <f t="shared" si="48"/>
        <v>0</v>
      </c>
      <c r="AA129" s="390">
        <f t="shared" si="48"/>
        <v>0</v>
      </c>
      <c r="AB129" s="386">
        <f t="shared" si="22"/>
        <v>2519057.38</v>
      </c>
      <c r="AC129" s="1"/>
    </row>
    <row r="130" spans="1:29" ht="17.25" thickBot="1" x14ac:dyDescent="0.35">
      <c r="A130" s="392">
        <v>61601</v>
      </c>
      <c r="B130" s="540" t="s">
        <v>153</v>
      </c>
      <c r="C130" s="390"/>
      <c r="D130" s="390"/>
      <c r="E130" s="400">
        <v>0</v>
      </c>
      <c r="F130" s="390"/>
      <c r="G130" s="389">
        <f t="shared" si="42"/>
        <v>0</v>
      </c>
      <c r="H130" s="390"/>
      <c r="I130" s="390">
        <v>735066.13</v>
      </c>
      <c r="J130" s="390"/>
      <c r="K130" s="389">
        <f t="shared" si="21"/>
        <v>735066.13</v>
      </c>
      <c r="L130" s="390">
        <f>+'Proy. Inv. Econ.'!G16</f>
        <v>560960.82999999996</v>
      </c>
      <c r="M130" s="390"/>
      <c r="N130" s="390"/>
      <c r="O130" s="390"/>
      <c r="P130" s="390"/>
      <c r="Q130" s="390"/>
      <c r="R130" s="389">
        <f t="shared" si="31"/>
        <v>0</v>
      </c>
      <c r="S130" s="390"/>
      <c r="T130" s="390"/>
      <c r="U130" s="389">
        <f>S130</f>
        <v>0</v>
      </c>
      <c r="V130" s="390"/>
      <c r="W130" s="390"/>
      <c r="X130" s="390"/>
      <c r="Y130" s="390"/>
      <c r="Z130" s="390"/>
      <c r="AA130" s="390"/>
      <c r="AB130" s="386">
        <f t="shared" si="22"/>
        <v>1296026.96</v>
      </c>
      <c r="AC130" s="1"/>
    </row>
    <row r="131" spans="1:29" ht="17.25" thickBot="1" x14ac:dyDescent="0.35">
      <c r="A131" s="392">
        <v>61602</v>
      </c>
      <c r="B131" s="540" t="s">
        <v>484</v>
      </c>
      <c r="C131" s="390"/>
      <c r="D131" s="390"/>
      <c r="E131" s="400"/>
      <c r="F131" s="390"/>
      <c r="G131" s="389"/>
      <c r="H131" s="390"/>
      <c r="I131" s="390">
        <f>+'Proy. Inv. Econ.'!D45</f>
        <v>7151.59</v>
      </c>
      <c r="J131" s="390"/>
      <c r="K131" s="389">
        <f t="shared" si="21"/>
        <v>7151.59</v>
      </c>
      <c r="L131" s="390"/>
      <c r="M131" s="390"/>
      <c r="N131" s="390"/>
      <c r="O131" s="390"/>
      <c r="P131" s="390"/>
      <c r="Q131" s="390"/>
      <c r="R131" s="389"/>
      <c r="S131" s="390"/>
      <c r="T131" s="390"/>
      <c r="U131" s="390"/>
      <c r="V131" s="390"/>
      <c r="W131" s="390"/>
      <c r="X131" s="390"/>
      <c r="Y131" s="390"/>
      <c r="Z131" s="390"/>
      <c r="AA131" s="390"/>
      <c r="AB131" s="386">
        <f t="shared" si="22"/>
        <v>7151.59</v>
      </c>
      <c r="AC131" s="1"/>
    </row>
    <row r="132" spans="1:29" ht="17.25" thickBot="1" x14ac:dyDescent="0.35">
      <c r="A132" s="392">
        <v>61603</v>
      </c>
      <c r="B132" s="540" t="s">
        <v>154</v>
      </c>
      <c r="C132" s="390"/>
      <c r="D132" s="390"/>
      <c r="E132" s="400">
        <v>0</v>
      </c>
      <c r="F132" s="390"/>
      <c r="G132" s="389">
        <f t="shared" si="42"/>
        <v>0</v>
      </c>
      <c r="H132" s="390">
        <f>+'Proy. Inv. Soc.'!D17</f>
        <v>234223.4</v>
      </c>
      <c r="I132" s="390">
        <f>+'Proy. Inv. Econ.'!D48</f>
        <v>15351.33</v>
      </c>
      <c r="J132" s="390"/>
      <c r="K132" s="389">
        <f t="shared" ref="K132:K151" si="49">+H132+I132+J132</f>
        <v>249574.72999999998</v>
      </c>
      <c r="L132" s="390">
        <f>+'Proy. Inv. Econ.'!G48</f>
        <v>13614.46</v>
      </c>
      <c r="M132" s="390">
        <v>11408.98</v>
      </c>
      <c r="N132" s="390"/>
      <c r="O132" s="390"/>
      <c r="P132" s="390"/>
      <c r="Q132" s="390"/>
      <c r="R132" s="389">
        <f t="shared" si="31"/>
        <v>0</v>
      </c>
      <c r="S132" s="390"/>
      <c r="T132" s="390"/>
      <c r="U132" s="390"/>
      <c r="V132" s="390"/>
      <c r="W132" s="390"/>
      <c r="X132" s="390">
        <f>SUM(V132:W132)</f>
        <v>0</v>
      </c>
      <c r="Y132" s="390"/>
      <c r="Z132" s="390"/>
      <c r="AA132" s="390"/>
      <c r="AB132" s="386">
        <f t="shared" si="22"/>
        <v>274598.17</v>
      </c>
      <c r="AC132" s="1"/>
    </row>
    <row r="133" spans="1:29" ht="17.25" thickBot="1" x14ac:dyDescent="0.35">
      <c r="A133" s="392">
        <v>61604</v>
      </c>
      <c r="B133" s="540" t="s">
        <v>155</v>
      </c>
      <c r="C133" s="390"/>
      <c r="D133" s="390"/>
      <c r="E133" s="400">
        <v>0</v>
      </c>
      <c r="F133" s="390"/>
      <c r="G133" s="389" t="s">
        <v>809</v>
      </c>
      <c r="H133" s="390">
        <f>+'Proy. Inv. Soc.'!D32</f>
        <v>0</v>
      </c>
      <c r="I133" s="390">
        <v>95883.66</v>
      </c>
      <c r="J133" s="390"/>
      <c r="K133" s="389">
        <f t="shared" si="49"/>
        <v>95883.66</v>
      </c>
      <c r="L133" s="390"/>
      <c r="M133" s="390"/>
      <c r="N133" s="390"/>
      <c r="O133" s="390"/>
      <c r="P133" s="390"/>
      <c r="Q133" s="390"/>
      <c r="R133" s="389">
        <f t="shared" si="31"/>
        <v>0</v>
      </c>
      <c r="S133" s="390"/>
      <c r="T133" s="390"/>
      <c r="U133" s="390"/>
      <c r="V133" s="390"/>
      <c r="W133" s="390"/>
      <c r="X133" s="390"/>
      <c r="Y133" s="390"/>
      <c r="Z133" s="390"/>
      <c r="AA133" s="390"/>
      <c r="AB133" s="386">
        <v>95883.66</v>
      </c>
      <c r="AC133" s="1"/>
    </row>
    <row r="134" spans="1:29" ht="17.25" thickBot="1" x14ac:dyDescent="0.35">
      <c r="A134" s="392">
        <v>61606</v>
      </c>
      <c r="B134" s="540" t="s">
        <v>159</v>
      </c>
      <c r="C134" s="390"/>
      <c r="D134" s="390"/>
      <c r="E134" s="400">
        <v>0</v>
      </c>
      <c r="F134" s="390"/>
      <c r="G134" s="389">
        <f t="shared" si="42"/>
        <v>0</v>
      </c>
      <c r="H134" s="390"/>
      <c r="I134" s="390">
        <f>+'Proy. Inv. Econ.'!D57</f>
        <v>20969</v>
      </c>
      <c r="J134" s="390"/>
      <c r="K134" s="389">
        <f t="shared" si="49"/>
        <v>20969</v>
      </c>
      <c r="L134" s="389"/>
      <c r="M134" s="389"/>
      <c r="N134" s="390"/>
      <c r="O134" s="390"/>
      <c r="P134" s="390"/>
      <c r="Q134" s="390"/>
      <c r="R134" s="389">
        <f t="shared" si="31"/>
        <v>0</v>
      </c>
      <c r="S134" s="390"/>
      <c r="T134" s="390"/>
      <c r="U134" s="390"/>
      <c r="V134" s="390"/>
      <c r="W134" s="390"/>
      <c r="X134" s="390"/>
      <c r="Y134" s="390"/>
      <c r="Z134" s="390"/>
      <c r="AA134" s="390"/>
      <c r="AB134" s="386">
        <f t="shared" si="22"/>
        <v>20969</v>
      </c>
      <c r="AC134" s="1"/>
    </row>
    <row r="135" spans="1:29" ht="17.25" thickBot="1" x14ac:dyDescent="0.35">
      <c r="A135" s="392">
        <v>61607</v>
      </c>
      <c r="B135" s="542" t="s">
        <v>156</v>
      </c>
      <c r="C135" s="390"/>
      <c r="D135" s="390"/>
      <c r="E135" s="400">
        <v>0</v>
      </c>
      <c r="F135" s="390"/>
      <c r="G135" s="389">
        <f t="shared" si="42"/>
        <v>0</v>
      </c>
      <c r="H135" s="390"/>
      <c r="I135" s="390">
        <v>74351.679999999993</v>
      </c>
      <c r="J135" s="390"/>
      <c r="K135" s="389">
        <f t="shared" si="49"/>
        <v>74351.679999999993</v>
      </c>
      <c r="L135" s="390">
        <f>+'Proy. Inv. Econ.'!G60</f>
        <v>230000</v>
      </c>
      <c r="M135" s="389"/>
      <c r="N135" s="390"/>
      <c r="O135" s="390"/>
      <c r="P135" s="390"/>
      <c r="Q135" s="390"/>
      <c r="R135" s="389">
        <f t="shared" si="31"/>
        <v>0</v>
      </c>
      <c r="S135" s="390"/>
      <c r="T135" s="390"/>
      <c r="U135" s="390"/>
      <c r="V135" s="390"/>
      <c r="W135" s="390"/>
      <c r="X135" s="390"/>
      <c r="Y135" s="390"/>
      <c r="Z135" s="390"/>
      <c r="AA135" s="390"/>
      <c r="AB135" s="386">
        <f t="shared" si="22"/>
        <v>304351.68</v>
      </c>
      <c r="AC135" s="1"/>
    </row>
    <row r="136" spans="1:29" ht="17.25" thickBot="1" x14ac:dyDescent="0.35">
      <c r="A136" s="392">
        <v>61699</v>
      </c>
      <c r="B136" s="542" t="s">
        <v>160</v>
      </c>
      <c r="C136" s="390"/>
      <c r="D136" s="390"/>
      <c r="E136" s="400">
        <v>0</v>
      </c>
      <c r="F136" s="390"/>
      <c r="G136" s="389">
        <f t="shared" si="42"/>
        <v>0</v>
      </c>
      <c r="H136" s="390">
        <f>+'Proy. Inv. Soc.'!D33</f>
        <v>0</v>
      </c>
      <c r="I136" s="390">
        <v>269198.86</v>
      </c>
      <c r="J136" s="390"/>
      <c r="K136" s="389">
        <f t="shared" si="49"/>
        <v>269198.86</v>
      </c>
      <c r="L136" s="390">
        <f>+'Proy. Inv. Econ.'!G70</f>
        <v>11087.9</v>
      </c>
      <c r="M136" s="389">
        <v>239789.56</v>
      </c>
      <c r="N136" s="390"/>
      <c r="O136" s="390"/>
      <c r="P136" s="390"/>
      <c r="Q136" s="390"/>
      <c r="R136" s="389">
        <f t="shared" si="31"/>
        <v>0</v>
      </c>
      <c r="S136" s="390"/>
      <c r="T136" s="390"/>
      <c r="U136" s="389">
        <f>S136</f>
        <v>0</v>
      </c>
      <c r="V136" s="390">
        <v>0</v>
      </c>
      <c r="W136" s="390"/>
      <c r="X136" s="390">
        <f>SUM(V136:W136)</f>
        <v>0</v>
      </c>
      <c r="Y136" s="390"/>
      <c r="Z136" s="390"/>
      <c r="AA136" s="390"/>
      <c r="AB136" s="386">
        <f t="shared" si="22"/>
        <v>520076.32</v>
      </c>
      <c r="AC136" s="1"/>
    </row>
    <row r="137" spans="1:29" ht="17.25" thickBot="1" x14ac:dyDescent="0.35">
      <c r="A137" s="392"/>
      <c r="B137" s="542"/>
      <c r="C137" s="390"/>
      <c r="D137" s="390"/>
      <c r="E137" s="400"/>
      <c r="F137" s="390"/>
      <c r="G137" s="389"/>
      <c r="H137" s="390"/>
      <c r="I137" s="390"/>
      <c r="J137" s="390"/>
      <c r="K137" s="389"/>
      <c r="L137" s="389"/>
      <c r="M137" s="389"/>
      <c r="N137" s="390"/>
      <c r="O137" s="390"/>
      <c r="P137" s="390"/>
      <c r="Q137" s="390"/>
      <c r="R137" s="389"/>
      <c r="S137" s="390"/>
      <c r="T137" s="390"/>
      <c r="U137" s="390"/>
      <c r="V137" s="390"/>
      <c r="W137" s="390"/>
      <c r="X137" s="390"/>
      <c r="Y137" s="390"/>
      <c r="Z137" s="390"/>
      <c r="AA137" s="390"/>
      <c r="AB137" s="386">
        <f t="shared" si="22"/>
        <v>0</v>
      </c>
      <c r="AC137" s="1"/>
    </row>
    <row r="138" spans="1:29" ht="27" thickBot="1" x14ac:dyDescent="0.35">
      <c r="A138" s="387">
        <v>71</v>
      </c>
      <c r="B138" s="543" t="s">
        <v>183</v>
      </c>
      <c r="C138" s="390">
        <f>+C139</f>
        <v>0</v>
      </c>
      <c r="D138" s="389">
        <f t="shared" ref="D138:F138" si="50">+D139</f>
        <v>0</v>
      </c>
      <c r="E138" s="390">
        <f t="shared" si="50"/>
        <v>0</v>
      </c>
      <c r="F138" s="390">
        <f t="shared" si="50"/>
        <v>0</v>
      </c>
      <c r="G138" s="389">
        <f>+G139</f>
        <v>0</v>
      </c>
      <c r="H138" s="390"/>
      <c r="I138" s="390"/>
      <c r="J138" s="389">
        <f>+J139</f>
        <v>578973.36</v>
      </c>
      <c r="K138" s="389">
        <f t="shared" si="49"/>
        <v>578973.36</v>
      </c>
      <c r="L138" s="389">
        <f>L139</f>
        <v>0</v>
      </c>
      <c r="M138" s="389">
        <f>M139</f>
        <v>0</v>
      </c>
      <c r="N138" s="390"/>
      <c r="O138" s="389">
        <f>+O139</f>
        <v>0</v>
      </c>
      <c r="P138" s="390"/>
      <c r="Q138" s="390"/>
      <c r="R138" s="389">
        <f t="shared" si="31"/>
        <v>0</v>
      </c>
      <c r="S138" s="390"/>
      <c r="T138" s="390"/>
      <c r="U138" s="390"/>
      <c r="V138" s="390"/>
      <c r="W138" s="390"/>
      <c r="X138" s="390"/>
      <c r="Y138" s="390"/>
      <c r="Z138" s="390"/>
      <c r="AA138" s="390"/>
      <c r="AB138" s="386">
        <f t="shared" ref="AB138:AB150" si="51">+G138+K138+L138+M138+R138+U138+X138+AA138</f>
        <v>578973.36</v>
      </c>
      <c r="AC138" s="1"/>
    </row>
    <row r="139" spans="1:29" ht="27" thickBot="1" x14ac:dyDescent="0.35">
      <c r="A139" s="387">
        <v>713</v>
      </c>
      <c r="B139" s="543" t="s">
        <v>158</v>
      </c>
      <c r="C139" s="389">
        <f>SUM(C140:C142)</f>
        <v>0</v>
      </c>
      <c r="D139" s="389">
        <f t="shared" ref="D139:F139" si="52">SUM(D140:D142)</f>
        <v>0</v>
      </c>
      <c r="E139" s="389">
        <f t="shared" si="52"/>
        <v>0</v>
      </c>
      <c r="F139" s="389">
        <f t="shared" si="52"/>
        <v>0</v>
      </c>
      <c r="G139" s="389">
        <f>SUM(C139:F139)</f>
        <v>0</v>
      </c>
      <c r="H139" s="390"/>
      <c r="I139" s="390"/>
      <c r="J139" s="389">
        <f>SUM(J140:J142)</f>
        <v>578973.36</v>
      </c>
      <c r="K139" s="389">
        <f t="shared" si="49"/>
        <v>578973.36</v>
      </c>
      <c r="L139" s="389">
        <f>L141</f>
        <v>0</v>
      </c>
      <c r="M139" s="389">
        <f>M141</f>
        <v>0</v>
      </c>
      <c r="N139" s="390"/>
      <c r="O139" s="389">
        <f>SUM(O140:O142)</f>
        <v>0</v>
      </c>
      <c r="P139" s="390"/>
      <c r="Q139" s="390"/>
      <c r="R139" s="389">
        <f t="shared" si="31"/>
        <v>0</v>
      </c>
      <c r="S139" s="390"/>
      <c r="T139" s="390"/>
      <c r="U139" s="390"/>
      <c r="V139" s="390"/>
      <c r="W139" s="390"/>
      <c r="X139" s="390"/>
      <c r="Y139" s="390"/>
      <c r="Z139" s="390"/>
      <c r="AA139" s="390"/>
      <c r="AB139" s="386">
        <f t="shared" si="51"/>
        <v>578973.36</v>
      </c>
      <c r="AC139" s="1"/>
    </row>
    <row r="140" spans="1:29" ht="17.25" thickBot="1" x14ac:dyDescent="0.35">
      <c r="A140" s="392">
        <v>71303</v>
      </c>
      <c r="B140" s="542" t="s">
        <v>233</v>
      </c>
      <c r="C140" s="390"/>
      <c r="D140" s="390"/>
      <c r="E140" s="390"/>
      <c r="F140" s="390"/>
      <c r="G140" s="389">
        <f t="shared" ref="G140:G142" si="53">SUM(C140:F140)</f>
        <v>0</v>
      </c>
      <c r="H140" s="390"/>
      <c r="I140" s="390"/>
      <c r="J140" s="390"/>
      <c r="K140" s="389">
        <f t="shared" si="49"/>
        <v>0</v>
      </c>
      <c r="L140" s="389"/>
      <c r="M140" s="389"/>
      <c r="N140" s="390"/>
      <c r="O140" s="390"/>
      <c r="P140" s="390"/>
      <c r="Q140" s="390"/>
      <c r="R140" s="389">
        <f t="shared" si="31"/>
        <v>0</v>
      </c>
      <c r="S140" s="390"/>
      <c r="T140" s="390"/>
      <c r="U140" s="390"/>
      <c r="V140" s="390"/>
      <c r="W140" s="390"/>
      <c r="X140" s="390"/>
      <c r="Y140" s="390"/>
      <c r="Z140" s="390"/>
      <c r="AA140" s="390"/>
      <c r="AB140" s="386">
        <f t="shared" si="51"/>
        <v>0</v>
      </c>
      <c r="AC140" s="1"/>
    </row>
    <row r="141" spans="1:29" ht="17.25" thickBot="1" x14ac:dyDescent="0.35">
      <c r="A141" s="392">
        <v>71304</v>
      </c>
      <c r="B141" s="542" t="s">
        <v>63</v>
      </c>
      <c r="C141" s="390"/>
      <c r="D141" s="390">
        <v>0</v>
      </c>
      <c r="E141" s="390"/>
      <c r="F141" s="390"/>
      <c r="G141" s="389">
        <f t="shared" si="53"/>
        <v>0</v>
      </c>
      <c r="H141" s="390"/>
      <c r="I141" s="390"/>
      <c r="J141" s="390">
        <v>482973.36</v>
      </c>
      <c r="K141" s="389">
        <f t="shared" si="49"/>
        <v>482973.36</v>
      </c>
      <c r="L141" s="390"/>
      <c r="M141" s="390"/>
      <c r="N141" s="390"/>
      <c r="O141" s="390">
        <v>0</v>
      </c>
      <c r="P141" s="390"/>
      <c r="Q141" s="390"/>
      <c r="R141" s="389">
        <f t="shared" si="31"/>
        <v>0</v>
      </c>
      <c r="S141" s="390"/>
      <c r="T141" s="390"/>
      <c r="U141" s="390"/>
      <c r="V141" s="390"/>
      <c r="W141" s="390"/>
      <c r="X141" s="390"/>
      <c r="Y141" s="390"/>
      <c r="Z141" s="390"/>
      <c r="AA141" s="390"/>
      <c r="AB141" s="386">
        <f t="shared" si="51"/>
        <v>482973.36</v>
      </c>
      <c r="AC141" s="1"/>
    </row>
    <row r="142" spans="1:29" ht="17.25" thickBot="1" x14ac:dyDescent="0.35">
      <c r="A142" s="392">
        <v>71307</v>
      </c>
      <c r="B142" s="542" t="s">
        <v>61</v>
      </c>
      <c r="C142" s="390"/>
      <c r="D142" s="390"/>
      <c r="E142" s="390"/>
      <c r="F142" s="390"/>
      <c r="G142" s="389">
        <f t="shared" si="53"/>
        <v>0</v>
      </c>
      <c r="H142" s="390"/>
      <c r="I142" s="390"/>
      <c r="J142" s="390">
        <v>96000</v>
      </c>
      <c r="K142" s="389">
        <f t="shared" si="49"/>
        <v>96000</v>
      </c>
      <c r="L142" s="389"/>
      <c r="M142" s="389"/>
      <c r="N142" s="390"/>
      <c r="O142" s="390"/>
      <c r="P142" s="390"/>
      <c r="Q142" s="390"/>
      <c r="R142" s="389">
        <f t="shared" si="31"/>
        <v>0</v>
      </c>
      <c r="S142" s="390"/>
      <c r="T142" s="390"/>
      <c r="U142" s="390"/>
      <c r="V142" s="390"/>
      <c r="W142" s="390"/>
      <c r="X142" s="390"/>
      <c r="Y142" s="390"/>
      <c r="Z142" s="390"/>
      <c r="AA142" s="390"/>
      <c r="AB142" s="386">
        <f t="shared" si="51"/>
        <v>96000</v>
      </c>
      <c r="AC142" s="1"/>
    </row>
    <row r="143" spans="1:29" ht="17.25" thickBot="1" x14ac:dyDescent="0.35">
      <c r="A143" s="392"/>
      <c r="B143" s="542"/>
      <c r="C143" s="390"/>
      <c r="D143" s="390"/>
      <c r="E143" s="390"/>
      <c r="F143" s="390"/>
      <c r="G143" s="389"/>
      <c r="H143" s="390"/>
      <c r="I143" s="390"/>
      <c r="J143" s="390"/>
      <c r="K143" s="389"/>
      <c r="L143" s="389"/>
      <c r="M143" s="389"/>
      <c r="N143" s="390"/>
      <c r="O143" s="390"/>
      <c r="P143" s="390"/>
      <c r="Q143" s="390"/>
      <c r="R143" s="389"/>
      <c r="S143" s="390"/>
      <c r="T143" s="390"/>
      <c r="U143" s="390"/>
      <c r="V143" s="390"/>
      <c r="W143" s="390"/>
      <c r="X143" s="390"/>
      <c r="Y143" s="390"/>
      <c r="Z143" s="390"/>
      <c r="AA143" s="390"/>
      <c r="AB143" s="386">
        <f t="shared" si="51"/>
        <v>0</v>
      </c>
      <c r="AC143" s="1"/>
    </row>
    <row r="144" spans="1:29" ht="17.25" thickBot="1" x14ac:dyDescent="0.35">
      <c r="A144" s="387">
        <v>72</v>
      </c>
      <c r="B144" s="543" t="s">
        <v>182</v>
      </c>
      <c r="C144" s="390"/>
      <c r="D144" s="390"/>
      <c r="E144" s="390"/>
      <c r="F144" s="390"/>
      <c r="G144" s="389">
        <f t="shared" ref="G144:G150" si="54">+C144+D144+E144</f>
        <v>0</v>
      </c>
      <c r="H144" s="390"/>
      <c r="I144" s="390"/>
      <c r="J144" s="390"/>
      <c r="K144" s="389">
        <f t="shared" si="49"/>
        <v>0</v>
      </c>
      <c r="L144" s="389"/>
      <c r="M144" s="389"/>
      <c r="N144" s="390"/>
      <c r="O144" s="390"/>
      <c r="P144" s="390"/>
      <c r="Q144" s="390"/>
      <c r="R144" s="389">
        <f t="shared" si="31"/>
        <v>0</v>
      </c>
      <c r="S144" s="390"/>
      <c r="T144" s="390"/>
      <c r="U144" s="390"/>
      <c r="V144" s="390"/>
      <c r="W144" s="390"/>
      <c r="X144" s="390"/>
      <c r="Y144" s="390"/>
      <c r="Z144" s="390"/>
      <c r="AA144" s="390"/>
      <c r="AB144" s="386">
        <f t="shared" si="51"/>
        <v>0</v>
      </c>
      <c r="AC144" s="1"/>
    </row>
    <row r="145" spans="1:29" ht="27" thickBot="1" x14ac:dyDescent="0.35">
      <c r="A145" s="387">
        <v>721</v>
      </c>
      <c r="B145" s="543" t="s">
        <v>511</v>
      </c>
      <c r="C145" s="390"/>
      <c r="D145" s="390"/>
      <c r="E145" s="390"/>
      <c r="F145" s="390"/>
      <c r="G145" s="389">
        <f t="shared" si="54"/>
        <v>0</v>
      </c>
      <c r="H145" s="390"/>
      <c r="I145" s="390"/>
      <c r="J145" s="390"/>
      <c r="K145" s="389">
        <f t="shared" si="49"/>
        <v>0</v>
      </c>
      <c r="L145" s="389"/>
      <c r="M145" s="389"/>
      <c r="N145" s="390"/>
      <c r="O145" s="390"/>
      <c r="P145" s="390"/>
      <c r="Q145" s="390"/>
      <c r="R145" s="389">
        <f t="shared" si="31"/>
        <v>0</v>
      </c>
      <c r="S145" s="390"/>
      <c r="T145" s="390"/>
      <c r="U145" s="390"/>
      <c r="V145" s="390"/>
      <c r="W145" s="390"/>
      <c r="X145" s="390"/>
      <c r="Y145" s="390"/>
      <c r="Z145" s="390"/>
      <c r="AA145" s="390"/>
      <c r="AB145" s="386">
        <f t="shared" si="51"/>
        <v>0</v>
      </c>
      <c r="AC145" s="1"/>
    </row>
    <row r="146" spans="1:29" ht="27" thickBot="1" x14ac:dyDescent="0.35">
      <c r="A146" s="392">
        <v>72101</v>
      </c>
      <c r="B146" s="542" t="s">
        <v>511</v>
      </c>
      <c r="C146" s="390"/>
      <c r="D146" s="390"/>
      <c r="E146" s="390"/>
      <c r="F146" s="390"/>
      <c r="G146" s="389">
        <f t="shared" si="54"/>
        <v>0</v>
      </c>
      <c r="H146" s="390"/>
      <c r="I146" s="390"/>
      <c r="J146" s="390"/>
      <c r="K146" s="389">
        <f t="shared" si="49"/>
        <v>0</v>
      </c>
      <c r="L146" s="389"/>
      <c r="M146" s="389"/>
      <c r="N146" s="390"/>
      <c r="O146" s="390"/>
      <c r="P146" s="390"/>
      <c r="Q146" s="390"/>
      <c r="R146" s="389">
        <f t="shared" si="31"/>
        <v>0</v>
      </c>
      <c r="S146" s="390"/>
      <c r="T146" s="390"/>
      <c r="U146" s="390"/>
      <c r="V146" s="390"/>
      <c r="W146" s="390"/>
      <c r="X146" s="390"/>
      <c r="Y146" s="390"/>
      <c r="Z146" s="390"/>
      <c r="AA146" s="390"/>
      <c r="AB146" s="386">
        <f t="shared" si="51"/>
        <v>0</v>
      </c>
      <c r="AC146" s="1"/>
    </row>
    <row r="147" spans="1:29" ht="17.25" thickBot="1" x14ac:dyDescent="0.35">
      <c r="A147" s="392"/>
      <c r="B147" s="542"/>
      <c r="C147" s="390"/>
      <c r="D147" s="390"/>
      <c r="E147" s="390"/>
      <c r="F147" s="390"/>
      <c r="G147" s="389"/>
      <c r="H147" s="390"/>
      <c r="I147" s="390"/>
      <c r="J147" s="390"/>
      <c r="K147" s="389"/>
      <c r="L147" s="389"/>
      <c r="M147" s="389"/>
      <c r="N147" s="390"/>
      <c r="O147" s="390"/>
      <c r="P147" s="390"/>
      <c r="Q147" s="390"/>
      <c r="R147" s="389"/>
      <c r="S147" s="390"/>
      <c r="T147" s="390"/>
      <c r="U147" s="390"/>
      <c r="V147" s="390"/>
      <c r="W147" s="390"/>
      <c r="X147" s="390"/>
      <c r="Y147" s="390"/>
      <c r="Z147" s="390"/>
      <c r="AA147" s="390"/>
      <c r="AB147" s="386">
        <f t="shared" si="51"/>
        <v>0</v>
      </c>
      <c r="AC147" s="1"/>
    </row>
    <row r="148" spans="1:29" ht="17.25" thickBot="1" x14ac:dyDescent="0.35">
      <c r="A148" s="387">
        <v>99</v>
      </c>
      <c r="B148" s="543" t="s">
        <v>413</v>
      </c>
      <c r="C148" s="390"/>
      <c r="D148" s="390"/>
      <c r="E148" s="390"/>
      <c r="F148" s="390"/>
      <c r="G148" s="389">
        <f t="shared" si="54"/>
        <v>0</v>
      </c>
      <c r="H148" s="390"/>
      <c r="I148" s="390"/>
      <c r="J148" s="390"/>
      <c r="K148" s="389">
        <f t="shared" si="49"/>
        <v>0</v>
      </c>
      <c r="L148" s="389"/>
      <c r="M148" s="389"/>
      <c r="N148" s="390"/>
      <c r="O148" s="390"/>
      <c r="P148" s="390"/>
      <c r="Q148" s="390"/>
      <c r="R148" s="389">
        <f t="shared" si="31"/>
        <v>0</v>
      </c>
      <c r="S148" s="390"/>
      <c r="T148" s="390"/>
      <c r="U148" s="390"/>
      <c r="V148" s="390"/>
      <c r="W148" s="390"/>
      <c r="X148" s="390"/>
      <c r="Y148" s="390"/>
      <c r="Z148" s="390"/>
      <c r="AA148" s="390"/>
      <c r="AB148" s="386">
        <f t="shared" si="51"/>
        <v>0</v>
      </c>
      <c r="AC148" s="1"/>
    </row>
    <row r="149" spans="1:29" ht="27" thickBot="1" x14ac:dyDescent="0.35">
      <c r="A149" s="387">
        <v>991</v>
      </c>
      <c r="B149" s="543" t="s">
        <v>414</v>
      </c>
      <c r="C149" s="390"/>
      <c r="D149" s="390"/>
      <c r="E149" s="390"/>
      <c r="F149" s="390"/>
      <c r="G149" s="389">
        <f t="shared" si="54"/>
        <v>0</v>
      </c>
      <c r="H149" s="390"/>
      <c r="I149" s="390"/>
      <c r="J149" s="390"/>
      <c r="K149" s="389">
        <f t="shared" si="49"/>
        <v>0</v>
      </c>
      <c r="L149" s="389"/>
      <c r="M149" s="389"/>
      <c r="N149" s="390"/>
      <c r="O149" s="390"/>
      <c r="P149" s="390"/>
      <c r="Q149" s="390"/>
      <c r="R149" s="389">
        <f t="shared" si="31"/>
        <v>0</v>
      </c>
      <c r="S149" s="390"/>
      <c r="T149" s="390"/>
      <c r="U149" s="390"/>
      <c r="V149" s="390"/>
      <c r="W149" s="390"/>
      <c r="X149" s="390"/>
      <c r="Y149" s="390"/>
      <c r="Z149" s="390"/>
      <c r="AA149" s="390"/>
      <c r="AB149" s="386">
        <f t="shared" si="51"/>
        <v>0</v>
      </c>
      <c r="AC149" s="1"/>
    </row>
    <row r="150" spans="1:29" ht="27" thickBot="1" x14ac:dyDescent="0.35">
      <c r="A150" s="401">
        <v>99101</v>
      </c>
      <c r="B150" s="546" t="s">
        <v>414</v>
      </c>
      <c r="C150" s="402"/>
      <c r="D150" s="402"/>
      <c r="E150" s="402"/>
      <c r="F150" s="402"/>
      <c r="G150" s="403">
        <f t="shared" si="54"/>
        <v>0</v>
      </c>
      <c r="H150" s="402"/>
      <c r="I150" s="402"/>
      <c r="J150" s="402"/>
      <c r="K150" s="403">
        <f t="shared" si="49"/>
        <v>0</v>
      </c>
      <c r="L150" s="403"/>
      <c r="M150" s="403"/>
      <c r="N150" s="402"/>
      <c r="O150" s="402"/>
      <c r="P150" s="402"/>
      <c r="Q150" s="402"/>
      <c r="R150" s="389">
        <f t="shared" si="31"/>
        <v>0</v>
      </c>
      <c r="S150" s="402"/>
      <c r="T150" s="402"/>
      <c r="U150" s="402"/>
      <c r="V150" s="402"/>
      <c r="W150" s="402"/>
      <c r="X150" s="402"/>
      <c r="Y150" s="402"/>
      <c r="Z150" s="402"/>
      <c r="AA150" s="402"/>
      <c r="AB150" s="386">
        <f t="shared" si="51"/>
        <v>0</v>
      </c>
      <c r="AC150" s="1"/>
    </row>
    <row r="151" spans="1:29" ht="17.25" thickBot="1" x14ac:dyDescent="0.35">
      <c r="A151" s="404"/>
      <c r="B151" s="547" t="s">
        <v>1</v>
      </c>
      <c r="C151" s="405">
        <f>+C9+C32+C91+C106+C114+C138+C144+C148</f>
        <v>138449</v>
      </c>
      <c r="D151" s="405">
        <f t="shared" ref="D151:J151" si="55">+D9+D32+D91+D106+D114+D138+D144+D148</f>
        <v>244785.63999999998</v>
      </c>
      <c r="E151" s="405">
        <f t="shared" si="55"/>
        <v>7002.4</v>
      </c>
      <c r="F151" s="405">
        <f t="shared" si="55"/>
        <v>75165.759999999995</v>
      </c>
      <c r="G151" s="405">
        <f t="shared" si="55"/>
        <v>465402.79999999993</v>
      </c>
      <c r="H151" s="405">
        <f t="shared" si="55"/>
        <v>234423.4</v>
      </c>
      <c r="I151" s="405">
        <f t="shared" si="55"/>
        <v>1310343.18</v>
      </c>
      <c r="J151" s="405">
        <f t="shared" si="55"/>
        <v>635196.84</v>
      </c>
      <c r="K151" s="406">
        <f t="shared" si="49"/>
        <v>2179963.42</v>
      </c>
      <c r="L151" s="407">
        <f>SUM(L91+L114+L138)</f>
        <v>831641</v>
      </c>
      <c r="M151" s="407">
        <f>SUM(M91+M114+M138)</f>
        <v>251198.54</v>
      </c>
      <c r="N151" s="405">
        <f>+N9+N32+N91+N106+N114+N138+N144+N148</f>
        <v>280356.82</v>
      </c>
      <c r="O151" s="405">
        <f>+O9+O32+O91+O106+O114+O138+O144+O148</f>
        <v>386887.57999999996</v>
      </c>
      <c r="P151" s="405">
        <f>+P9+P32+P91+P106+P114+P138+P144+P148</f>
        <v>56450.34</v>
      </c>
      <c r="Q151" s="405">
        <f>+Q9+Q32+Q91+Q106+Q114+Q138+Q144+Q148</f>
        <v>1241462.4339999999</v>
      </c>
      <c r="R151" s="408">
        <f>+N151+O151+P151+Q151</f>
        <v>1965157.1739999996</v>
      </c>
      <c r="S151" s="536">
        <f>S114</f>
        <v>0</v>
      </c>
      <c r="T151" s="536">
        <f>T114</f>
        <v>0</v>
      </c>
      <c r="U151" s="536">
        <f>U114</f>
        <v>0</v>
      </c>
      <c r="V151" s="408">
        <f>+V114</f>
        <v>0</v>
      </c>
      <c r="W151" s="408">
        <f>+W114</f>
        <v>0</v>
      </c>
      <c r="X151" s="408">
        <f>+V151+W151</f>
        <v>0</v>
      </c>
      <c r="Y151" s="409">
        <f t="shared" ref="Y151:AA151" si="56">SUM(Y9:Y150)</f>
        <v>0</v>
      </c>
      <c r="Z151" s="409">
        <f t="shared" si="56"/>
        <v>0</v>
      </c>
      <c r="AA151" s="409">
        <f t="shared" si="56"/>
        <v>0</v>
      </c>
      <c r="AB151" s="410">
        <f>+AB9+AB32+AB91+AB106+AB114+AB138+AB144+AB148</f>
        <v>5693362.9340000004</v>
      </c>
      <c r="AC151" s="1"/>
    </row>
    <row r="152" spans="1:29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437"/>
      <c r="L152" s="1"/>
      <c r="M152" s="1"/>
      <c r="N152" s="1"/>
      <c r="O152" s="1"/>
      <c r="P152" s="1"/>
      <c r="Q152" s="1"/>
      <c r="R152" s="437"/>
      <c r="S152" s="1"/>
      <c r="T152" s="1"/>
      <c r="U152" s="1"/>
      <c r="V152" s="1"/>
      <c r="W152" s="1"/>
      <c r="X152" s="437"/>
      <c r="Y152" s="437"/>
      <c r="Z152" s="437"/>
      <c r="AA152" s="437"/>
      <c r="AB152" s="437"/>
      <c r="AC152" s="435"/>
    </row>
    <row r="153" spans="1:29" ht="16.5" x14ac:dyDescent="0.3">
      <c r="A153" s="1"/>
      <c r="B153" s="1"/>
      <c r="C153" s="1"/>
      <c r="D153" s="1"/>
      <c r="E153" s="1"/>
      <c r="F153" s="1"/>
      <c r="H153" s="1"/>
      <c r="I153" s="1"/>
      <c r="J153" s="1"/>
      <c r="K153" s="437" t="s">
        <v>8</v>
      </c>
      <c r="L153" s="1"/>
      <c r="M153" s="1"/>
      <c r="N153" s="1"/>
      <c r="O153" s="1"/>
      <c r="P153" s="1"/>
      <c r="Q153" s="1"/>
      <c r="R153" s="437" t="s">
        <v>8</v>
      </c>
      <c r="S153" s="1"/>
      <c r="T153" s="1"/>
      <c r="U153" s="1"/>
      <c r="V153" s="1"/>
      <c r="W153" s="1"/>
      <c r="X153" s="437"/>
      <c r="Y153" s="437"/>
      <c r="Z153" s="437"/>
      <c r="AA153" s="437"/>
      <c r="AB153" s="458" t="s">
        <v>8</v>
      </c>
      <c r="AC153" s="435"/>
    </row>
    <row r="154" spans="1:29" ht="16.5" x14ac:dyDescent="0.3">
      <c r="A154" s="1"/>
      <c r="B154" s="1"/>
      <c r="C154" s="1"/>
      <c r="D154" s="1"/>
      <c r="E154" s="1"/>
      <c r="F154" s="1"/>
      <c r="H154" s="1"/>
      <c r="I154" s="1"/>
      <c r="J154" s="1"/>
      <c r="K154" s="439" t="s">
        <v>8</v>
      </c>
      <c r="L154" s="1"/>
      <c r="M154" s="1"/>
      <c r="N154" s="1"/>
      <c r="O154" s="1"/>
      <c r="P154" s="1"/>
      <c r="Q154" s="1"/>
      <c r="R154" s="439" t="s">
        <v>8</v>
      </c>
      <c r="S154" s="1"/>
      <c r="T154" s="1"/>
      <c r="U154" s="1"/>
      <c r="V154" s="1"/>
      <c r="W154" s="1"/>
      <c r="X154" s="437"/>
      <c r="Y154" s="437"/>
      <c r="Z154" s="437"/>
      <c r="AA154" s="437"/>
      <c r="AB154" s="439" t="s">
        <v>8</v>
      </c>
      <c r="AC154" s="435"/>
    </row>
    <row r="155" spans="1:29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437"/>
      <c r="L155" s="1"/>
      <c r="M155" s="1"/>
      <c r="N155" s="1"/>
      <c r="O155" s="1"/>
      <c r="P155" s="1"/>
      <c r="Q155" s="1"/>
      <c r="R155" s="437"/>
      <c r="S155" s="1"/>
      <c r="T155" s="1"/>
      <c r="U155" s="1"/>
      <c r="V155" s="1"/>
      <c r="W155" s="1"/>
      <c r="X155" s="437"/>
      <c r="Y155" s="437"/>
      <c r="Z155" s="437"/>
      <c r="AA155" s="437"/>
      <c r="AB155" s="437" t="s">
        <v>8</v>
      </c>
      <c r="AC155" s="435"/>
    </row>
    <row r="156" spans="1:29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437"/>
      <c r="L156" s="1"/>
      <c r="M156" s="1"/>
      <c r="N156" s="1"/>
      <c r="O156" s="1"/>
      <c r="P156" s="1"/>
      <c r="Q156" s="1"/>
      <c r="R156" s="437"/>
      <c r="S156" s="1"/>
      <c r="T156" s="1"/>
      <c r="U156" s="1"/>
      <c r="V156" s="1"/>
      <c r="W156" s="1"/>
      <c r="X156" s="437"/>
      <c r="Y156" s="437"/>
      <c r="Z156" s="437"/>
      <c r="AA156" s="437"/>
      <c r="AB156" s="437"/>
      <c r="AC156" s="435"/>
    </row>
    <row r="157" spans="1:29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37"/>
      <c r="Y157" s="437"/>
      <c r="Z157" s="437"/>
      <c r="AA157" s="437"/>
      <c r="AB157" s="437"/>
      <c r="AC157" s="435"/>
    </row>
    <row r="158" spans="1:29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37"/>
      <c r="Y158" s="437"/>
      <c r="Z158" s="437"/>
      <c r="AA158" s="437"/>
      <c r="AB158" s="437"/>
      <c r="AC158" s="435"/>
    </row>
    <row r="159" spans="1:29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37"/>
      <c r="Y159" s="437"/>
      <c r="Z159" s="437"/>
      <c r="AA159" s="437"/>
      <c r="AB159" s="437"/>
      <c r="AC159" s="1"/>
    </row>
    <row r="160" spans="1:29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37"/>
      <c r="Y160" s="437"/>
      <c r="Z160" s="437"/>
      <c r="AA160" s="437"/>
      <c r="AB160" s="437"/>
      <c r="AC160" s="1"/>
    </row>
    <row r="161" spans="1:29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</sheetData>
  <mergeCells count="25">
    <mergeCell ref="A2:AB2"/>
    <mergeCell ref="A1:AB1"/>
    <mergeCell ref="X5:X8"/>
    <mergeCell ref="AA5:AA8"/>
    <mergeCell ref="C6:G6"/>
    <mergeCell ref="N6:R6"/>
    <mergeCell ref="G7:G8"/>
    <mergeCell ref="R7:R8"/>
    <mergeCell ref="Y3:AA3"/>
    <mergeCell ref="C4:G4"/>
    <mergeCell ref="H4:K4"/>
    <mergeCell ref="N4:R4"/>
    <mergeCell ref="S4:T4"/>
    <mergeCell ref="V4:W4"/>
    <mergeCell ref="Y4:Z4"/>
    <mergeCell ref="V3:X3"/>
    <mergeCell ref="A3:A8"/>
    <mergeCell ref="B3:B8"/>
    <mergeCell ref="C3:K3"/>
    <mergeCell ref="N3:R3"/>
    <mergeCell ref="S3:U3"/>
    <mergeCell ref="C5:G5"/>
    <mergeCell ref="K5:K8"/>
    <mergeCell ref="N5:R5"/>
    <mergeCell ref="U5:U8"/>
  </mergeCells>
  <pageMargins left="0.87" right="0.7" top="0.75" bottom="0.75" header="0.3" footer="0.3"/>
  <pageSetup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B25" zoomScale="120" zoomScaleNormal="120" workbookViewId="0">
      <selection activeCell="E8" sqref="E8"/>
    </sheetView>
  </sheetViews>
  <sheetFormatPr baseColWidth="10" defaultRowHeight="15" x14ac:dyDescent="0.25"/>
  <cols>
    <col min="2" max="2" width="9" customWidth="1"/>
    <col min="3" max="3" width="43.42578125" bestFit="1" customWidth="1"/>
    <col min="4" max="4" width="14.85546875" customWidth="1"/>
  </cols>
  <sheetData>
    <row r="1" spans="1:8" ht="16.5" x14ac:dyDescent="0.3">
      <c r="A1" s="1"/>
      <c r="B1" s="592" t="s">
        <v>175</v>
      </c>
      <c r="C1" s="592"/>
      <c r="D1" s="592"/>
      <c r="E1" s="1"/>
      <c r="F1" s="1"/>
      <c r="G1" s="1"/>
      <c r="H1" s="1"/>
    </row>
    <row r="2" spans="1:8" ht="16.5" x14ac:dyDescent="0.3">
      <c r="A2" s="1"/>
      <c r="B2" s="592" t="s">
        <v>176</v>
      </c>
      <c r="C2" s="592"/>
      <c r="D2" s="592"/>
      <c r="E2" s="1"/>
      <c r="F2" s="1"/>
      <c r="G2" s="1"/>
      <c r="H2" s="1"/>
    </row>
    <row r="3" spans="1:8" ht="16.5" x14ac:dyDescent="0.3">
      <c r="A3" s="1"/>
      <c r="B3" s="591" t="s">
        <v>811</v>
      </c>
      <c r="C3" s="591"/>
      <c r="D3" s="591"/>
      <c r="E3" s="1"/>
      <c r="F3" s="1"/>
      <c r="G3" s="1"/>
      <c r="H3" s="1"/>
    </row>
    <row r="4" spans="1:8" ht="17.25" thickBot="1" x14ac:dyDescent="0.35">
      <c r="A4" s="1"/>
      <c r="B4" s="1"/>
      <c r="C4" s="1"/>
      <c r="D4" s="1"/>
      <c r="E4" s="1"/>
      <c r="F4" s="1"/>
      <c r="G4" s="1"/>
      <c r="H4" s="1"/>
    </row>
    <row r="5" spans="1:8" ht="16.5" x14ac:dyDescent="0.3">
      <c r="A5" s="1"/>
      <c r="B5" s="673" t="s">
        <v>177</v>
      </c>
      <c r="C5" s="674"/>
      <c r="D5" s="675"/>
      <c r="E5" s="1"/>
      <c r="F5" s="1"/>
      <c r="G5" s="1"/>
      <c r="H5" s="1"/>
    </row>
    <row r="6" spans="1:8" ht="16.5" x14ac:dyDescent="0.3">
      <c r="A6" s="1"/>
      <c r="B6" s="671" t="s">
        <v>178</v>
      </c>
      <c r="C6" s="611"/>
      <c r="D6" s="672"/>
      <c r="E6" s="1"/>
      <c r="F6" s="1"/>
      <c r="G6" s="1"/>
      <c r="H6" s="1"/>
    </row>
    <row r="7" spans="1:8" ht="16.5" x14ac:dyDescent="0.3">
      <c r="A7" s="1"/>
      <c r="B7" s="671" t="s">
        <v>180</v>
      </c>
      <c r="C7" s="611"/>
      <c r="D7" s="672"/>
      <c r="E7" s="1"/>
      <c r="F7" s="1"/>
      <c r="G7" s="1"/>
      <c r="H7" s="1"/>
    </row>
    <row r="8" spans="1:8" ht="17.25" thickBot="1" x14ac:dyDescent="0.35">
      <c r="A8" s="1"/>
      <c r="B8" s="660" t="s">
        <v>166</v>
      </c>
      <c r="C8" s="661"/>
      <c r="D8" s="662"/>
      <c r="E8" s="1"/>
      <c r="F8" s="1"/>
      <c r="G8" s="1"/>
      <c r="H8" s="1"/>
    </row>
    <row r="9" spans="1:8" ht="17.25" thickBot="1" x14ac:dyDescent="0.35">
      <c r="A9" s="1"/>
      <c r="B9" s="12" t="s">
        <v>172</v>
      </c>
      <c r="C9" s="43" t="s">
        <v>173</v>
      </c>
      <c r="D9" s="44" t="s">
        <v>174</v>
      </c>
      <c r="E9" s="1"/>
      <c r="F9" s="1"/>
      <c r="G9" s="1"/>
      <c r="H9" s="1"/>
    </row>
    <row r="10" spans="1:8" ht="24.95" customHeight="1" x14ac:dyDescent="0.3">
      <c r="A10" s="1"/>
      <c r="B10" s="45">
        <v>11</v>
      </c>
      <c r="C10" s="42" t="s">
        <v>9</v>
      </c>
      <c r="D10" s="46">
        <f>+Ingresos!F9</f>
        <v>510571.36999999994</v>
      </c>
      <c r="E10" s="1"/>
      <c r="F10" s="1"/>
      <c r="G10" s="1"/>
      <c r="H10" s="1"/>
    </row>
    <row r="11" spans="1:8" ht="24.95" customHeight="1" x14ac:dyDescent="0.3">
      <c r="A11" s="1"/>
      <c r="B11" s="6">
        <v>12</v>
      </c>
      <c r="C11" s="7" t="s">
        <v>3</v>
      </c>
      <c r="D11" s="47">
        <f>+Ingresos!F29</f>
        <v>922107.39</v>
      </c>
      <c r="E11" s="1"/>
      <c r="F11" s="1"/>
      <c r="G11" s="1"/>
      <c r="H11" s="1"/>
    </row>
    <row r="12" spans="1:8" ht="24.95" customHeight="1" x14ac:dyDescent="0.3">
      <c r="A12" s="1"/>
      <c r="B12" s="6">
        <v>13</v>
      </c>
      <c r="C12" s="7" t="s">
        <v>184</v>
      </c>
      <c r="D12" s="47">
        <v>0</v>
      </c>
      <c r="E12" s="1"/>
      <c r="F12" s="1"/>
      <c r="G12" s="1"/>
      <c r="H12" s="1"/>
    </row>
    <row r="13" spans="1:8" ht="24.95" customHeight="1" x14ac:dyDescent="0.3">
      <c r="A13" s="1"/>
      <c r="B13" s="6">
        <v>14</v>
      </c>
      <c r="C13" s="7" t="s">
        <v>185</v>
      </c>
      <c r="D13" s="47">
        <f>+Ingresos!F49</f>
        <v>333897.8</v>
      </c>
      <c r="E13" s="1"/>
      <c r="F13" s="1"/>
      <c r="G13" s="1"/>
      <c r="H13" s="1"/>
    </row>
    <row r="14" spans="1:8" ht="24.95" customHeight="1" x14ac:dyDescent="0.3">
      <c r="A14" s="1"/>
      <c r="B14" s="6">
        <v>15</v>
      </c>
      <c r="C14" s="7" t="s">
        <v>4</v>
      </c>
      <c r="D14" s="47">
        <f>+Ingresos!F54</f>
        <v>147317</v>
      </c>
      <c r="E14" s="1"/>
      <c r="F14" s="1"/>
      <c r="G14" s="1"/>
      <c r="H14" s="1"/>
    </row>
    <row r="15" spans="1:8" ht="24.95" customHeight="1" x14ac:dyDescent="0.3">
      <c r="A15" s="1"/>
      <c r="B15" s="6">
        <v>16</v>
      </c>
      <c r="C15" s="7" t="s">
        <v>57</v>
      </c>
      <c r="D15" s="47">
        <f>+Ingresos!F65</f>
        <v>465305.41</v>
      </c>
      <c r="E15" s="1"/>
      <c r="F15" s="1"/>
      <c r="G15" s="1"/>
      <c r="H15" s="1"/>
    </row>
    <row r="16" spans="1:8" ht="24.95" customHeight="1" x14ac:dyDescent="0.3">
      <c r="A16" s="1"/>
      <c r="B16" s="6">
        <v>22</v>
      </c>
      <c r="C16" s="7" t="s">
        <v>6</v>
      </c>
      <c r="D16" s="47">
        <f>+Ingresos!F69</f>
        <v>1872259.68</v>
      </c>
      <c r="E16" s="1"/>
      <c r="F16" s="1"/>
      <c r="G16" s="1"/>
      <c r="H16" s="1"/>
    </row>
    <row r="17" spans="1:8" ht="24.95" customHeight="1" x14ac:dyDescent="0.3">
      <c r="A17" s="1"/>
      <c r="B17" s="6">
        <v>31</v>
      </c>
      <c r="C17" s="7" t="s">
        <v>7</v>
      </c>
      <c r="D17" s="47">
        <f>+Ingresos!F77</f>
        <v>601535.31000000006</v>
      </c>
      <c r="E17" s="1"/>
      <c r="F17" s="1"/>
      <c r="G17" s="1"/>
      <c r="H17" s="1"/>
    </row>
    <row r="18" spans="1:8" ht="24.95" customHeight="1" thickBot="1" x14ac:dyDescent="0.35">
      <c r="A18" s="1"/>
      <c r="B18" s="6">
        <v>32</v>
      </c>
      <c r="C18" s="7" t="s">
        <v>182</v>
      </c>
      <c r="D18" s="47">
        <f>+Ingresos!F81</f>
        <v>840368.97</v>
      </c>
      <c r="E18" s="1"/>
      <c r="F18" s="1"/>
      <c r="G18" s="1"/>
      <c r="H18" s="1"/>
    </row>
    <row r="19" spans="1:8" ht="24.95" customHeight="1" thickBot="1" x14ac:dyDescent="0.35">
      <c r="A19" s="1"/>
      <c r="B19" s="60"/>
      <c r="C19" s="43" t="s">
        <v>1</v>
      </c>
      <c r="D19" s="61">
        <f>SUM(D10:D18)</f>
        <v>5693362.9300000006</v>
      </c>
      <c r="E19" s="1"/>
      <c r="F19" s="1"/>
      <c r="G19" s="1"/>
      <c r="H19" s="1"/>
    </row>
    <row r="20" spans="1:8" ht="17.25" thickBot="1" x14ac:dyDescent="0.35">
      <c r="A20" s="1"/>
      <c r="B20" s="1"/>
      <c r="C20" s="1"/>
      <c r="D20" s="1"/>
      <c r="E20" s="1"/>
      <c r="F20" s="1"/>
      <c r="G20" s="1"/>
      <c r="H20" s="1"/>
    </row>
    <row r="21" spans="1:8" ht="16.5" x14ac:dyDescent="0.3">
      <c r="A21" s="1"/>
      <c r="B21" s="663" t="s">
        <v>177</v>
      </c>
      <c r="C21" s="664"/>
      <c r="D21" s="665"/>
      <c r="E21" s="1"/>
      <c r="F21" s="1"/>
      <c r="G21" s="1"/>
      <c r="H21" s="1"/>
    </row>
    <row r="22" spans="1:8" ht="16.5" x14ac:dyDescent="0.3">
      <c r="A22" s="1"/>
      <c r="B22" s="666" t="s">
        <v>179</v>
      </c>
      <c r="C22" s="592"/>
      <c r="D22" s="667"/>
      <c r="E22" s="1"/>
      <c r="F22" s="1"/>
      <c r="G22" s="1"/>
      <c r="H22" s="1"/>
    </row>
    <row r="23" spans="1:8" ht="16.5" x14ac:dyDescent="0.3">
      <c r="A23" s="1"/>
      <c r="B23" s="666" t="s">
        <v>181</v>
      </c>
      <c r="C23" s="592"/>
      <c r="D23" s="667"/>
      <c r="E23" s="1"/>
      <c r="F23" s="1"/>
      <c r="G23" s="1"/>
      <c r="H23" s="1"/>
    </row>
    <row r="24" spans="1:8" ht="17.25" thickBot="1" x14ac:dyDescent="0.35">
      <c r="A24" s="1"/>
      <c r="B24" s="668" t="s">
        <v>166</v>
      </c>
      <c r="C24" s="669"/>
      <c r="D24" s="670"/>
      <c r="E24" s="1"/>
      <c r="F24" s="1"/>
      <c r="G24" s="1"/>
      <c r="H24" s="1"/>
    </row>
    <row r="25" spans="1:8" ht="17.25" thickBot="1" x14ac:dyDescent="0.35">
      <c r="A25" s="1"/>
      <c r="B25" s="12" t="s">
        <v>172</v>
      </c>
      <c r="C25" s="43" t="s">
        <v>173</v>
      </c>
      <c r="D25" s="44" t="s">
        <v>174</v>
      </c>
      <c r="E25" s="1"/>
      <c r="F25" s="1"/>
      <c r="G25" s="1"/>
      <c r="H25" s="1"/>
    </row>
    <row r="26" spans="1:8" ht="24.95" customHeight="1" x14ac:dyDescent="0.3">
      <c r="A26" s="1"/>
      <c r="B26" s="45">
        <v>51</v>
      </c>
      <c r="C26" s="42" t="s">
        <v>71</v>
      </c>
      <c r="D26" s="46">
        <f>+Egresos!F9</f>
        <v>1745798.66</v>
      </c>
      <c r="E26" s="1"/>
      <c r="F26" s="1"/>
      <c r="G26" s="1"/>
      <c r="H26" s="1"/>
    </row>
    <row r="27" spans="1:8" ht="24.95" customHeight="1" x14ac:dyDescent="0.3">
      <c r="A27" s="1"/>
      <c r="B27" s="6">
        <v>54</v>
      </c>
      <c r="C27" s="7" t="s">
        <v>88</v>
      </c>
      <c r="D27" s="46">
        <f>+Egresos!F31</f>
        <v>714872.59999999986</v>
      </c>
      <c r="E27" s="1"/>
      <c r="F27" s="1"/>
      <c r="G27" s="1"/>
      <c r="H27" s="1"/>
    </row>
    <row r="28" spans="1:8" ht="24.95" customHeight="1" x14ac:dyDescent="0.3">
      <c r="A28" s="1"/>
      <c r="B28" s="6">
        <v>55</v>
      </c>
      <c r="C28" s="7" t="s">
        <v>129</v>
      </c>
      <c r="D28" s="46">
        <f>+Egresos!F78</f>
        <v>75868.960000000006</v>
      </c>
      <c r="E28" s="1"/>
      <c r="F28" s="1"/>
      <c r="G28" s="1"/>
      <c r="H28" s="1"/>
    </row>
    <row r="29" spans="1:8" ht="24.95" customHeight="1" x14ac:dyDescent="0.3">
      <c r="A29" s="1"/>
      <c r="B29" s="6">
        <v>56</v>
      </c>
      <c r="C29" s="7" t="s">
        <v>57</v>
      </c>
      <c r="D29" s="47">
        <f>+Egresos!F90</f>
        <v>18314.16</v>
      </c>
      <c r="E29" s="1"/>
      <c r="F29" s="1"/>
      <c r="G29" s="1"/>
      <c r="H29" s="1"/>
    </row>
    <row r="30" spans="1:8" ht="24.95" customHeight="1" x14ac:dyDescent="0.3">
      <c r="A30" s="1"/>
      <c r="B30" s="6">
        <v>61</v>
      </c>
      <c r="C30" s="7" t="s">
        <v>143</v>
      </c>
      <c r="D30" s="47">
        <f>+Egresos!F98</f>
        <v>2559535.19</v>
      </c>
      <c r="E30" s="1"/>
      <c r="F30" s="1"/>
      <c r="G30" s="1"/>
      <c r="H30" s="1"/>
    </row>
    <row r="31" spans="1:8" ht="24.95" customHeight="1" x14ac:dyDescent="0.3">
      <c r="A31" s="1"/>
      <c r="B31" s="6">
        <v>71</v>
      </c>
      <c r="C31" s="7" t="s">
        <v>183</v>
      </c>
      <c r="D31" s="47">
        <f>+Egresos!F116</f>
        <v>578973.36</v>
      </c>
      <c r="E31" s="1"/>
      <c r="F31" s="1"/>
      <c r="G31" s="1"/>
      <c r="H31" s="1"/>
    </row>
    <row r="32" spans="1:8" ht="24.95" customHeight="1" thickBot="1" x14ac:dyDescent="0.35">
      <c r="A32" s="1"/>
      <c r="B32" s="6"/>
      <c r="C32" s="7"/>
      <c r="D32" s="39"/>
      <c r="E32" s="1"/>
      <c r="F32" s="1"/>
      <c r="G32" s="1"/>
      <c r="H32" s="1"/>
    </row>
    <row r="33" spans="1:8" ht="24.95" customHeight="1" thickBot="1" x14ac:dyDescent="0.35">
      <c r="A33" s="1"/>
      <c r="B33" s="60"/>
      <c r="C33" s="43" t="s">
        <v>1</v>
      </c>
      <c r="D33" s="61">
        <f>SUM(D26:D32)</f>
        <v>5693362.9300000006</v>
      </c>
      <c r="E33" s="1"/>
      <c r="F33" s="1"/>
      <c r="G33" s="1"/>
      <c r="H33" s="1"/>
    </row>
    <row r="34" spans="1:8" ht="16.5" x14ac:dyDescent="0.3">
      <c r="A34" s="1"/>
      <c r="E34" s="1"/>
      <c r="F34" s="1"/>
      <c r="G34" s="1"/>
      <c r="H34" s="1"/>
    </row>
    <row r="35" spans="1:8" ht="16.5" x14ac:dyDescent="0.3">
      <c r="A35" s="1"/>
      <c r="B35" s="1"/>
      <c r="C35" s="1"/>
      <c r="D35" s="15" t="s">
        <v>8</v>
      </c>
      <c r="E35" s="1"/>
      <c r="F35" s="1"/>
      <c r="G35" s="1"/>
      <c r="H35" s="1"/>
    </row>
    <row r="36" spans="1:8" ht="16.5" x14ac:dyDescent="0.3">
      <c r="A36" s="1"/>
      <c r="B36" s="1"/>
      <c r="C36" s="1"/>
      <c r="D36" s="1"/>
      <c r="E36" s="1"/>
      <c r="F36" s="1"/>
      <c r="G36" s="1"/>
      <c r="H36" s="1"/>
    </row>
    <row r="37" spans="1:8" ht="16.5" x14ac:dyDescent="0.3">
      <c r="A37" s="1"/>
      <c r="B37" s="1"/>
      <c r="C37" s="1"/>
      <c r="D37" s="1"/>
      <c r="E37" s="1"/>
      <c r="F37" s="1"/>
      <c r="G37" s="1"/>
      <c r="H37" s="1"/>
    </row>
    <row r="38" spans="1:8" ht="16.5" x14ac:dyDescent="0.3">
      <c r="A38" s="1"/>
      <c r="B38" s="1"/>
      <c r="C38" s="1"/>
      <c r="D38" s="1"/>
      <c r="E38" s="1"/>
      <c r="F38" s="1"/>
      <c r="G38" s="1"/>
      <c r="H38" s="1"/>
    </row>
    <row r="39" spans="1:8" ht="16.5" x14ac:dyDescent="0.3">
      <c r="A39" s="1"/>
      <c r="B39" s="1"/>
      <c r="C39" s="1"/>
      <c r="D39" s="1"/>
      <c r="E39" s="1"/>
      <c r="F39" s="1"/>
      <c r="G39" s="1"/>
      <c r="H39" s="1"/>
    </row>
    <row r="40" spans="1:8" ht="16.5" x14ac:dyDescent="0.3">
      <c r="A40" s="1"/>
      <c r="B40" s="1"/>
      <c r="C40" s="1"/>
      <c r="D40" s="1"/>
      <c r="E40" s="1"/>
      <c r="F40" s="1"/>
      <c r="G40" s="1"/>
      <c r="H40" s="1"/>
    </row>
    <row r="41" spans="1:8" ht="16.5" x14ac:dyDescent="0.3">
      <c r="A41" s="1"/>
      <c r="B41" s="1"/>
      <c r="C41" s="1"/>
      <c r="D41" s="1"/>
      <c r="E41" s="1"/>
      <c r="F41" s="1"/>
      <c r="G41" s="1"/>
      <c r="H41" s="1"/>
    </row>
    <row r="42" spans="1:8" ht="16.5" x14ac:dyDescent="0.3">
      <c r="A42" s="1"/>
      <c r="B42" s="1"/>
      <c r="C42" s="1"/>
      <c r="D42" s="1"/>
      <c r="E42" s="1"/>
      <c r="F42" s="1"/>
      <c r="G42" s="1"/>
      <c r="H42" s="1"/>
    </row>
    <row r="43" spans="1:8" ht="16.5" x14ac:dyDescent="0.3">
      <c r="A43" s="1"/>
      <c r="B43" s="1"/>
      <c r="C43" s="1"/>
      <c r="D43" s="1"/>
      <c r="E43" s="1"/>
      <c r="F43" s="1"/>
      <c r="G43" s="1"/>
      <c r="H43" s="1"/>
    </row>
    <row r="44" spans="1:8" ht="16.5" x14ac:dyDescent="0.3">
      <c r="A44" s="1"/>
      <c r="B44" s="1"/>
      <c r="C44" s="1"/>
      <c r="D44" s="1"/>
      <c r="E44" s="1"/>
      <c r="F44" s="1"/>
      <c r="G44" s="1"/>
      <c r="H44" s="1"/>
    </row>
  </sheetData>
  <mergeCells count="11">
    <mergeCell ref="B7:D7"/>
    <mergeCell ref="B1:D1"/>
    <mergeCell ref="B2:D2"/>
    <mergeCell ref="B3:D3"/>
    <mergeCell ref="B5:D5"/>
    <mergeCell ref="B6:D6"/>
    <mergeCell ref="B8:D8"/>
    <mergeCell ref="B21:D21"/>
    <mergeCell ref="B22:D22"/>
    <mergeCell ref="B23:D23"/>
    <mergeCell ref="B24:D24"/>
  </mergeCells>
  <pageMargins left="1.18" right="0.7" top="0.75" bottom="0.75" header="0.3" footer="0.3"/>
  <pageSetup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I12" sqref="I12"/>
    </sheetView>
  </sheetViews>
  <sheetFormatPr baseColWidth="10" defaultRowHeight="15" x14ac:dyDescent="0.25"/>
  <cols>
    <col min="1" max="1" width="7.5703125" bestFit="1" customWidth="1"/>
    <col min="2" max="2" width="4.85546875" bestFit="1" customWidth="1"/>
    <col min="3" max="3" width="7.5703125" bestFit="1" customWidth="1"/>
    <col min="4" max="4" width="45.42578125" bestFit="1" customWidth="1"/>
    <col min="5" max="5" width="14.140625" customWidth="1"/>
    <col min="6" max="6" width="13.85546875" customWidth="1"/>
    <col min="7" max="7" width="14.140625" customWidth="1"/>
    <col min="8" max="8" width="0.140625" customWidth="1"/>
    <col min="9" max="9" width="18.7109375" bestFit="1" customWidth="1"/>
    <col min="12" max="13" width="10.7109375" bestFit="1" customWidth="1"/>
  </cols>
  <sheetData>
    <row r="1" spans="1:7" ht="15.75" x14ac:dyDescent="0.25">
      <c r="A1" s="684" t="s">
        <v>175</v>
      </c>
      <c r="B1" s="684"/>
      <c r="C1" s="684"/>
      <c r="D1" s="684"/>
      <c r="E1" s="684"/>
      <c r="F1" s="684"/>
      <c r="G1" s="684"/>
    </row>
    <row r="2" spans="1:7" ht="15.75" x14ac:dyDescent="0.25">
      <c r="A2" s="685" t="s">
        <v>285</v>
      </c>
      <c r="B2" s="685"/>
      <c r="C2" s="685"/>
      <c r="D2" s="685"/>
      <c r="E2" s="685"/>
      <c r="F2" s="685"/>
      <c r="G2" s="685"/>
    </row>
    <row r="3" spans="1:7" ht="15.75" x14ac:dyDescent="0.25">
      <c r="A3" s="685" t="s">
        <v>811</v>
      </c>
      <c r="B3" s="685"/>
      <c r="C3" s="685"/>
      <c r="D3" s="685"/>
      <c r="E3" s="685"/>
      <c r="F3" s="685"/>
      <c r="G3" s="685"/>
    </row>
    <row r="4" spans="1:7" x14ac:dyDescent="0.25">
      <c r="A4" s="686"/>
      <c r="B4" s="686"/>
      <c r="C4" s="686"/>
      <c r="D4" s="686"/>
      <c r="E4" s="686"/>
      <c r="F4" s="89"/>
    </row>
    <row r="5" spans="1:7" ht="15.75" x14ac:dyDescent="0.25">
      <c r="A5" s="684" t="s">
        <v>177</v>
      </c>
      <c r="B5" s="684"/>
      <c r="C5" s="684"/>
      <c r="D5" s="684"/>
      <c r="E5" s="684"/>
      <c r="F5" s="684"/>
      <c r="G5" s="684"/>
    </row>
    <row r="6" spans="1:7" ht="16.5" thickBot="1" x14ac:dyDescent="0.3">
      <c r="A6" s="683" t="s">
        <v>286</v>
      </c>
      <c r="B6" s="683"/>
      <c r="C6" s="683"/>
      <c r="D6" s="683"/>
      <c r="E6" s="683"/>
      <c r="F6" s="683"/>
      <c r="G6" s="683"/>
    </row>
    <row r="7" spans="1:7" x14ac:dyDescent="0.25">
      <c r="A7" s="164" t="s">
        <v>287</v>
      </c>
      <c r="B7" s="165" t="s">
        <v>288</v>
      </c>
      <c r="C7" s="166" t="s">
        <v>289</v>
      </c>
      <c r="D7" s="676" t="s">
        <v>173</v>
      </c>
      <c r="E7" s="678" t="s">
        <v>356</v>
      </c>
      <c r="F7" s="678" t="s">
        <v>356</v>
      </c>
      <c r="G7" s="678" t="s">
        <v>1</v>
      </c>
    </row>
    <row r="8" spans="1:7" ht="20.25" customHeight="1" thickBot="1" x14ac:dyDescent="0.3">
      <c r="A8" s="167" t="s">
        <v>290</v>
      </c>
      <c r="B8" s="168" t="s">
        <v>291</v>
      </c>
      <c r="C8" s="169" t="s">
        <v>292</v>
      </c>
      <c r="D8" s="677"/>
      <c r="E8" s="679"/>
      <c r="F8" s="679"/>
      <c r="G8" s="679"/>
    </row>
    <row r="9" spans="1:7" ht="24.95" customHeight="1" x14ac:dyDescent="0.25">
      <c r="A9" s="91" t="s">
        <v>293</v>
      </c>
      <c r="B9" s="153"/>
      <c r="C9" s="154"/>
      <c r="D9" s="92" t="s">
        <v>294</v>
      </c>
      <c r="E9" s="360"/>
      <c r="F9" s="360"/>
      <c r="G9" s="360">
        <f>+F10</f>
        <v>2430559.9739999999</v>
      </c>
    </row>
    <row r="10" spans="1:7" ht="24.95" customHeight="1" x14ac:dyDescent="0.25">
      <c r="A10" s="155"/>
      <c r="B10" s="156" t="s">
        <v>295</v>
      </c>
      <c r="C10" s="157"/>
      <c r="D10" s="93" t="s">
        <v>296</v>
      </c>
      <c r="E10" s="361"/>
      <c r="F10" s="361">
        <f>SUM(E11:E14)</f>
        <v>2430559.9739999999</v>
      </c>
      <c r="G10" s="361"/>
    </row>
    <row r="11" spans="1:7" ht="24.95" customHeight="1" x14ac:dyDescent="0.25">
      <c r="A11" s="155"/>
      <c r="B11" s="158"/>
      <c r="C11" s="157" t="s">
        <v>194</v>
      </c>
      <c r="D11" s="93" t="s">
        <v>297</v>
      </c>
      <c r="E11" s="361">
        <f>+CONSOLIDADO!C151+CONSOLIDADO!N151</f>
        <v>418805.82</v>
      </c>
      <c r="F11" s="361"/>
      <c r="G11" s="361"/>
    </row>
    <row r="12" spans="1:7" ht="24.95" customHeight="1" x14ac:dyDescent="0.25">
      <c r="A12" s="155"/>
      <c r="B12" s="158"/>
      <c r="C12" s="157" t="s">
        <v>195</v>
      </c>
      <c r="D12" s="93" t="s">
        <v>298</v>
      </c>
      <c r="E12" s="361">
        <f>+CONSOLIDADO!D151+CONSOLIDADO!O151</f>
        <v>631673.22</v>
      </c>
      <c r="F12" s="361"/>
      <c r="G12" s="361"/>
    </row>
    <row r="13" spans="1:7" ht="24.95" customHeight="1" x14ac:dyDescent="0.25">
      <c r="A13" s="155"/>
      <c r="B13" s="158"/>
      <c r="C13" s="157" t="s">
        <v>196</v>
      </c>
      <c r="D13" s="93" t="s">
        <v>423</v>
      </c>
      <c r="E13" s="361">
        <f>+CONSOLIDADO!E151+CONSOLIDADO!P151</f>
        <v>63452.74</v>
      </c>
      <c r="F13" s="361"/>
      <c r="G13" s="361"/>
    </row>
    <row r="14" spans="1:7" ht="24.95" customHeight="1" thickBot="1" x14ac:dyDescent="0.3">
      <c r="A14" s="159"/>
      <c r="B14" s="160"/>
      <c r="C14" s="161" t="s">
        <v>349</v>
      </c>
      <c r="D14" s="94" t="s">
        <v>424</v>
      </c>
      <c r="E14" s="362">
        <f>+CONSOLIDADO!F151+CONSOLIDADO!Q151</f>
        <v>1316628.1939999999</v>
      </c>
      <c r="F14" s="362"/>
      <c r="G14" s="362"/>
    </row>
    <row r="15" spans="1:7" ht="24.95" customHeight="1" x14ac:dyDescent="0.25">
      <c r="A15" s="95">
        <v>3</v>
      </c>
      <c r="B15" s="156"/>
      <c r="C15" s="157"/>
      <c r="D15" s="96" t="s">
        <v>300</v>
      </c>
      <c r="E15" s="361"/>
      <c r="F15" s="361"/>
      <c r="G15" s="361">
        <f>+F16</f>
        <v>234423.4</v>
      </c>
    </row>
    <row r="16" spans="1:7" ht="24.95" customHeight="1" x14ac:dyDescent="0.25">
      <c r="A16" s="95"/>
      <c r="B16" s="156" t="s">
        <v>301</v>
      </c>
      <c r="C16" s="157"/>
      <c r="D16" s="93" t="s">
        <v>302</v>
      </c>
      <c r="E16" s="361" t="s">
        <v>8</v>
      </c>
      <c r="F16" s="361">
        <f>+E17</f>
        <v>234423.4</v>
      </c>
      <c r="G16" s="361"/>
    </row>
    <row r="17" spans="1:7" ht="24.95" customHeight="1" thickBot="1" x14ac:dyDescent="0.3">
      <c r="A17" s="97"/>
      <c r="B17" s="162"/>
      <c r="C17" s="161" t="s">
        <v>303</v>
      </c>
      <c r="D17" s="94" t="s">
        <v>304</v>
      </c>
      <c r="E17" s="362">
        <f>+CONSOLIDADO!H151+CONSOLIDADO!U151</f>
        <v>234423.4</v>
      </c>
      <c r="F17" s="362"/>
      <c r="G17" s="362"/>
    </row>
    <row r="18" spans="1:7" ht="24.95" customHeight="1" x14ac:dyDescent="0.25">
      <c r="A18" s="95">
        <v>3</v>
      </c>
      <c r="B18" s="156"/>
      <c r="C18" s="157"/>
      <c r="D18" s="96" t="s">
        <v>305</v>
      </c>
      <c r="E18" s="361"/>
      <c r="F18" s="361"/>
      <c r="G18" s="361">
        <f>+F19</f>
        <v>2393182.7199999997</v>
      </c>
    </row>
    <row r="19" spans="1:7" ht="24.95" customHeight="1" x14ac:dyDescent="0.25">
      <c r="A19" s="95"/>
      <c r="B19" s="156" t="s">
        <v>301</v>
      </c>
      <c r="C19" s="157"/>
      <c r="D19" s="93" t="s">
        <v>306</v>
      </c>
      <c r="E19" s="361"/>
      <c r="F19" s="361">
        <f>+E20</f>
        <v>2393182.7199999997</v>
      </c>
      <c r="G19" s="361"/>
    </row>
    <row r="20" spans="1:7" ht="24.95" customHeight="1" thickBot="1" x14ac:dyDescent="0.3">
      <c r="A20" s="97"/>
      <c r="B20" s="162"/>
      <c r="C20" s="161" t="s">
        <v>307</v>
      </c>
      <c r="D20" s="94" t="s">
        <v>308</v>
      </c>
      <c r="E20" s="362">
        <f>+CONSOLIDADO!I151+CONSOLIDADO!L151+CONSOLIDADO!M151</f>
        <v>2393182.7199999997</v>
      </c>
      <c r="F20" s="362"/>
      <c r="G20" s="362"/>
    </row>
    <row r="21" spans="1:7" ht="24.95" customHeight="1" x14ac:dyDescent="0.25">
      <c r="A21" s="95">
        <v>5</v>
      </c>
      <c r="B21" s="156"/>
      <c r="C21" s="157"/>
      <c r="D21" s="93" t="s">
        <v>309</v>
      </c>
      <c r="E21" s="361"/>
      <c r="F21" s="361"/>
      <c r="G21" s="361">
        <f>+F22</f>
        <v>635196.84</v>
      </c>
    </row>
    <row r="22" spans="1:7" ht="24.95" customHeight="1" x14ac:dyDescent="0.25">
      <c r="A22" s="163"/>
      <c r="B22" s="156" t="s">
        <v>310</v>
      </c>
      <c r="C22" s="157"/>
      <c r="D22" s="93" t="s">
        <v>311</v>
      </c>
      <c r="E22" s="361"/>
      <c r="F22" s="361">
        <f>+E23</f>
        <v>635196.84</v>
      </c>
      <c r="G22" s="361"/>
    </row>
    <row r="23" spans="1:7" ht="24.95" customHeight="1" thickBot="1" x14ac:dyDescent="0.3">
      <c r="A23" s="163"/>
      <c r="B23" s="156"/>
      <c r="C23" s="157" t="s">
        <v>312</v>
      </c>
      <c r="D23" s="93" t="s">
        <v>313</v>
      </c>
      <c r="E23" s="362">
        <f>+CONSOLIDADO!J151</f>
        <v>635196.84</v>
      </c>
      <c r="F23" s="361"/>
      <c r="G23" s="361"/>
    </row>
    <row r="24" spans="1:7" ht="30.75" customHeight="1" thickBot="1" x14ac:dyDescent="0.3">
      <c r="A24" s="680" t="s">
        <v>1</v>
      </c>
      <c r="B24" s="681"/>
      <c r="C24" s="681"/>
      <c r="D24" s="682"/>
      <c r="E24" s="363">
        <f>SUM(E9:E23)</f>
        <v>5693362.9339999994</v>
      </c>
      <c r="F24" s="363">
        <f>SUM(F9:F23)</f>
        <v>5693362.9339999994</v>
      </c>
      <c r="G24" s="363">
        <f>SUM(G9:G23)</f>
        <v>5693362.9339999994</v>
      </c>
    </row>
    <row r="25" spans="1:7" x14ac:dyDescent="0.25">
      <c r="B25" s="98"/>
      <c r="C25" s="98"/>
    </row>
    <row r="26" spans="1:7" x14ac:dyDescent="0.25">
      <c r="B26" s="98"/>
      <c r="C26" s="98"/>
      <c r="G26" t="s">
        <v>8</v>
      </c>
    </row>
    <row r="27" spans="1:7" x14ac:dyDescent="0.25">
      <c r="G27" s="59" t="s">
        <v>8</v>
      </c>
    </row>
  </sheetData>
  <mergeCells count="11">
    <mergeCell ref="A6:G6"/>
    <mergeCell ref="A1:G1"/>
    <mergeCell ref="A2:G2"/>
    <mergeCell ref="A3:G3"/>
    <mergeCell ref="A4:E4"/>
    <mergeCell ref="A5:G5"/>
    <mergeCell ref="D7:D8"/>
    <mergeCell ref="E7:E8"/>
    <mergeCell ref="F7:F8"/>
    <mergeCell ref="G7:G8"/>
    <mergeCell ref="A24:D24"/>
  </mergeCells>
  <pageMargins left="0.88" right="0.70866141732283472" top="0.74803149606299213" bottom="0.74803149606299213" header="0.31496062992125984" footer="0.31496062992125984"/>
  <pageSetup scale="81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topLeftCell="B19" workbookViewId="0">
      <selection activeCell="M13" sqref="M13"/>
    </sheetView>
  </sheetViews>
  <sheetFormatPr baseColWidth="10" defaultRowHeight="15" x14ac:dyDescent="0.25"/>
  <cols>
    <col min="2" max="2" width="7.5703125" bestFit="1" customWidth="1"/>
    <col min="3" max="3" width="45.42578125" bestFit="1" customWidth="1"/>
    <col min="4" max="5" width="14" customWidth="1"/>
    <col min="6" max="6" width="5.7109375" bestFit="1" customWidth="1"/>
    <col min="7" max="7" width="14.140625" customWidth="1"/>
    <col min="8" max="8" width="12.42578125" customWidth="1"/>
    <col min="9" max="9" width="13.85546875" customWidth="1"/>
  </cols>
  <sheetData>
    <row r="1" spans="2:10" ht="15.75" x14ac:dyDescent="0.25">
      <c r="B1" s="693" t="s">
        <v>175</v>
      </c>
      <c r="C1" s="693"/>
      <c r="D1" s="693"/>
      <c r="E1" s="693"/>
      <c r="F1" s="693"/>
      <c r="G1" s="693"/>
      <c r="H1" s="693"/>
      <c r="I1" s="693"/>
      <c r="J1" s="53"/>
    </row>
    <row r="2" spans="2:10" ht="15.75" x14ac:dyDescent="0.25">
      <c r="B2" s="694" t="s">
        <v>486</v>
      </c>
      <c r="C2" s="694"/>
      <c r="D2" s="694"/>
      <c r="E2" s="694"/>
      <c r="F2" s="694"/>
      <c r="G2" s="694"/>
      <c r="H2" s="694"/>
      <c r="I2" s="694"/>
      <c r="J2" s="53"/>
    </row>
    <row r="3" spans="2:10" ht="15.75" x14ac:dyDescent="0.25">
      <c r="B3" s="694" t="s">
        <v>812</v>
      </c>
      <c r="C3" s="694"/>
      <c r="D3" s="694"/>
      <c r="E3" s="694"/>
      <c r="F3" s="694"/>
      <c r="G3" s="694"/>
      <c r="H3" s="694"/>
      <c r="I3" s="694"/>
      <c r="J3" s="53"/>
    </row>
    <row r="4" spans="2:10" ht="15.75" x14ac:dyDescent="0.25">
      <c r="B4" s="54"/>
      <c r="C4" s="54"/>
      <c r="D4" s="54"/>
      <c r="E4" s="54"/>
      <c r="F4" s="54"/>
      <c r="G4" s="54"/>
      <c r="H4" s="54"/>
      <c r="I4" s="54"/>
      <c r="J4" s="53"/>
    </row>
    <row r="5" spans="2:10" ht="15.75" x14ac:dyDescent="0.25">
      <c r="B5" s="693" t="s">
        <v>177</v>
      </c>
      <c r="C5" s="693"/>
      <c r="D5" s="693"/>
      <c r="E5" s="693"/>
      <c r="F5" s="693"/>
      <c r="G5" s="693"/>
      <c r="H5" s="693"/>
      <c r="I5" s="693"/>
      <c r="J5" s="53"/>
    </row>
    <row r="6" spans="2:10" ht="16.5" thickBot="1" x14ac:dyDescent="0.3">
      <c r="B6" s="695" t="s">
        <v>487</v>
      </c>
      <c r="C6" s="695"/>
      <c r="D6" s="695"/>
      <c r="E6" s="695"/>
      <c r="F6" s="695"/>
      <c r="G6" s="695"/>
      <c r="H6" s="695"/>
      <c r="I6" s="694"/>
      <c r="J6" s="53"/>
    </row>
    <row r="7" spans="2:10" ht="15.75" x14ac:dyDescent="0.25">
      <c r="B7" s="348" t="s">
        <v>488</v>
      </c>
      <c r="C7" s="689" t="s">
        <v>331</v>
      </c>
      <c r="D7" s="696" t="s">
        <v>319</v>
      </c>
      <c r="E7" s="696" t="s">
        <v>201</v>
      </c>
      <c r="F7" s="696" t="s">
        <v>320</v>
      </c>
      <c r="G7" s="696" t="s">
        <v>321</v>
      </c>
      <c r="H7" s="687" t="s">
        <v>322</v>
      </c>
      <c r="I7" s="689" t="s">
        <v>1</v>
      </c>
      <c r="J7" s="53"/>
    </row>
    <row r="8" spans="2:10" ht="16.5" thickBot="1" x14ac:dyDescent="0.3">
      <c r="B8" s="349"/>
      <c r="C8" s="690"/>
      <c r="D8" s="697"/>
      <c r="E8" s="697"/>
      <c r="F8" s="697"/>
      <c r="G8" s="697"/>
      <c r="H8" s="688"/>
      <c r="I8" s="690"/>
      <c r="J8" s="53"/>
    </row>
    <row r="9" spans="2:10" ht="32.1" customHeight="1" x14ac:dyDescent="0.25">
      <c r="B9" s="350" t="s">
        <v>293</v>
      </c>
      <c r="C9" s="351" t="s">
        <v>294</v>
      </c>
      <c r="D9" s="354"/>
      <c r="E9" s="354"/>
      <c r="F9" s="354"/>
      <c r="G9" s="354"/>
      <c r="H9" s="355"/>
      <c r="I9" s="354"/>
      <c r="J9" s="53"/>
    </row>
    <row r="10" spans="2:10" ht="32.1" customHeight="1" x14ac:dyDescent="0.25">
      <c r="B10" s="350" t="s">
        <v>295</v>
      </c>
      <c r="C10" s="352" t="s">
        <v>296</v>
      </c>
      <c r="D10" s="354"/>
      <c r="E10" s="354"/>
      <c r="F10" s="354"/>
      <c r="G10" s="354"/>
      <c r="H10" s="355"/>
      <c r="I10" s="354"/>
      <c r="J10" s="53"/>
    </row>
    <row r="11" spans="2:10" ht="32.1" customHeight="1" x14ac:dyDescent="0.25">
      <c r="B11" s="350" t="s">
        <v>194</v>
      </c>
      <c r="C11" s="352" t="s">
        <v>297</v>
      </c>
      <c r="D11" s="354">
        <f>+CONSOLIDADO!C151</f>
        <v>138449</v>
      </c>
      <c r="E11" s="354">
        <f>+CONSOLIDADO!N151</f>
        <v>280356.82</v>
      </c>
      <c r="F11" s="354"/>
      <c r="G11" s="354"/>
      <c r="H11" s="355"/>
      <c r="I11" s="354">
        <f>+D11+E11</f>
        <v>418805.82</v>
      </c>
      <c r="J11" s="53"/>
    </row>
    <row r="12" spans="2:10" ht="32.1" customHeight="1" x14ac:dyDescent="0.25">
      <c r="B12" s="350" t="s">
        <v>195</v>
      </c>
      <c r="C12" s="352" t="s">
        <v>298</v>
      </c>
      <c r="D12" s="354">
        <f>+CONSOLIDADO!D151</f>
        <v>244785.63999999998</v>
      </c>
      <c r="E12" s="354">
        <f>+CONSOLIDADO!O151</f>
        <v>386887.57999999996</v>
      </c>
      <c r="F12" s="354"/>
      <c r="G12" s="354"/>
      <c r="H12" s="355"/>
      <c r="I12" s="354">
        <f t="shared" ref="I12:I23" si="0">+D12+E12</f>
        <v>631673.22</v>
      </c>
      <c r="J12" s="53"/>
    </row>
    <row r="13" spans="2:10" ht="32.1" customHeight="1" x14ac:dyDescent="0.25">
      <c r="B13" s="350" t="s">
        <v>196</v>
      </c>
      <c r="C13" s="352" t="s">
        <v>423</v>
      </c>
      <c r="D13" s="354">
        <f>+CONSOLIDADO!E151</f>
        <v>7002.4</v>
      </c>
      <c r="E13" s="354">
        <f>+CONSOLIDADO!P151</f>
        <v>56450.34</v>
      </c>
      <c r="F13" s="354"/>
      <c r="G13" s="354"/>
      <c r="H13" s="355"/>
      <c r="I13" s="354">
        <f t="shared" si="0"/>
        <v>63452.74</v>
      </c>
      <c r="J13" s="53"/>
    </row>
    <row r="14" spans="2:10" ht="32.1" customHeight="1" thickBot="1" x14ac:dyDescent="0.3">
      <c r="B14" s="349" t="s">
        <v>349</v>
      </c>
      <c r="C14" s="353" t="s">
        <v>424</v>
      </c>
      <c r="D14" s="356">
        <f>+CONSOLIDADO!F151</f>
        <v>75165.759999999995</v>
      </c>
      <c r="E14" s="356">
        <f>+CONSOLIDADO!Q151</f>
        <v>1241462.4339999999</v>
      </c>
      <c r="F14" s="356"/>
      <c r="G14" s="356"/>
      <c r="H14" s="357"/>
      <c r="I14" s="356">
        <f t="shared" si="0"/>
        <v>1316628.1939999999</v>
      </c>
      <c r="J14" s="53"/>
    </row>
    <row r="15" spans="2:10" ht="32.1" customHeight="1" x14ac:dyDescent="0.25">
      <c r="B15" s="350" t="s">
        <v>340</v>
      </c>
      <c r="C15" s="351" t="s">
        <v>300</v>
      </c>
      <c r="D15" s="354"/>
      <c r="E15" s="354"/>
      <c r="F15" s="354"/>
      <c r="G15" s="354"/>
      <c r="H15" s="354"/>
      <c r="I15" s="354">
        <f t="shared" si="0"/>
        <v>0</v>
      </c>
      <c r="J15" s="53"/>
    </row>
    <row r="16" spans="2:10" ht="32.1" customHeight="1" x14ac:dyDescent="0.25">
      <c r="B16" s="350" t="s">
        <v>301</v>
      </c>
      <c r="C16" s="352" t="s">
        <v>302</v>
      </c>
      <c r="D16" s="354">
        <v>0</v>
      </c>
      <c r="E16" s="354"/>
      <c r="F16" s="354"/>
      <c r="G16" s="354"/>
      <c r="H16" s="354"/>
      <c r="I16" s="354">
        <f t="shared" si="0"/>
        <v>0</v>
      </c>
      <c r="J16" s="53"/>
    </row>
    <row r="17" spans="2:10" ht="32.1" customHeight="1" thickBot="1" x14ac:dyDescent="0.3">
      <c r="B17" s="349" t="s">
        <v>489</v>
      </c>
      <c r="C17" s="353" t="s">
        <v>304</v>
      </c>
      <c r="D17" s="356">
        <f>+CONSOLIDADO!H151</f>
        <v>234423.4</v>
      </c>
      <c r="E17" s="356"/>
      <c r="F17" s="356"/>
      <c r="G17" s="356">
        <f>+CONSOLIDADO!L151</f>
        <v>831641</v>
      </c>
      <c r="H17" s="356"/>
      <c r="I17" s="356">
        <f>+D17+G17+H17</f>
        <v>1066064.3999999999</v>
      </c>
      <c r="J17" s="53"/>
    </row>
    <row r="18" spans="2:10" ht="32.1" customHeight="1" x14ac:dyDescent="0.25">
      <c r="B18" s="350" t="s">
        <v>340</v>
      </c>
      <c r="C18" s="351" t="s">
        <v>305</v>
      </c>
      <c r="D18" s="354"/>
      <c r="E18" s="354"/>
      <c r="F18" s="354"/>
      <c r="G18" s="354"/>
      <c r="H18" s="354"/>
      <c r="I18" s="358">
        <f t="shared" si="0"/>
        <v>0</v>
      </c>
      <c r="J18" s="53"/>
    </row>
    <row r="19" spans="2:10" ht="32.1" customHeight="1" x14ac:dyDescent="0.25">
      <c r="B19" s="350" t="s">
        <v>345</v>
      </c>
      <c r="C19" s="352" t="s">
        <v>306</v>
      </c>
      <c r="D19" s="354"/>
      <c r="E19" s="354"/>
      <c r="F19" s="354"/>
      <c r="G19" s="354"/>
      <c r="H19" s="354"/>
      <c r="I19" s="354">
        <f t="shared" si="0"/>
        <v>0</v>
      </c>
      <c r="J19" s="53"/>
    </row>
    <row r="20" spans="2:10" ht="32.1" customHeight="1" thickBot="1" x14ac:dyDescent="0.3">
      <c r="B20" s="349" t="s">
        <v>490</v>
      </c>
      <c r="C20" s="353" t="s">
        <v>308</v>
      </c>
      <c r="D20" s="356">
        <f>+CONSOLIDADO!I151</f>
        <v>1310343.18</v>
      </c>
      <c r="E20" s="356">
        <v>0</v>
      </c>
      <c r="F20" s="356">
        <v>0</v>
      </c>
      <c r="G20" s="356">
        <f>+CONSOLIDADO!M151</f>
        <v>251198.54</v>
      </c>
      <c r="H20" s="356">
        <f>+CONSOLIDADO!U151</f>
        <v>0</v>
      </c>
      <c r="I20" s="356">
        <f>+D20+E20+F20+G20+H20</f>
        <v>1561541.72</v>
      </c>
      <c r="J20" s="53"/>
    </row>
    <row r="21" spans="2:10" ht="32.1" customHeight="1" x14ac:dyDescent="0.25">
      <c r="B21" s="350" t="s">
        <v>491</v>
      </c>
      <c r="C21" s="352" t="s">
        <v>309</v>
      </c>
      <c r="D21" s="354"/>
      <c r="E21" s="354"/>
      <c r="F21" s="354"/>
      <c r="G21" s="354"/>
      <c r="H21" s="354"/>
      <c r="I21" s="358">
        <f t="shared" si="0"/>
        <v>0</v>
      </c>
      <c r="J21" s="53"/>
    </row>
    <row r="22" spans="2:10" ht="32.1" customHeight="1" x14ac:dyDescent="0.25">
      <c r="B22" s="350" t="s">
        <v>310</v>
      </c>
      <c r="C22" s="352" t="s">
        <v>311</v>
      </c>
      <c r="D22" s="354"/>
      <c r="E22" s="354"/>
      <c r="F22" s="354"/>
      <c r="G22" s="354"/>
      <c r="H22" s="354"/>
      <c r="I22" s="354">
        <f t="shared" si="0"/>
        <v>0</v>
      </c>
      <c r="J22" s="53"/>
    </row>
    <row r="23" spans="2:10" ht="32.1" customHeight="1" thickBot="1" x14ac:dyDescent="0.3">
      <c r="B23" s="350" t="s">
        <v>312</v>
      </c>
      <c r="C23" s="352" t="s">
        <v>313</v>
      </c>
      <c r="D23" s="356">
        <f>+CONSOLIDADO!J151</f>
        <v>635196.84</v>
      </c>
      <c r="E23" s="354"/>
      <c r="F23" s="354"/>
      <c r="G23" s="354"/>
      <c r="H23" s="354"/>
      <c r="I23" s="356">
        <f t="shared" si="0"/>
        <v>635196.84</v>
      </c>
      <c r="J23" s="53"/>
    </row>
    <row r="24" spans="2:10" ht="32.1" customHeight="1" thickBot="1" x14ac:dyDescent="0.3">
      <c r="B24" s="691"/>
      <c r="C24" s="692"/>
      <c r="D24" s="359">
        <f>+D11+D12+D13+D14+D17+D20+D23</f>
        <v>2645366.2199999997</v>
      </c>
      <c r="E24" s="359">
        <f t="shared" ref="E24:H24" si="1">+E11+E12+E13+E14+E17+E20+E23</f>
        <v>1965157.1739999996</v>
      </c>
      <c r="F24" s="359">
        <f t="shared" si="1"/>
        <v>0</v>
      </c>
      <c r="G24" s="359">
        <f t="shared" si="1"/>
        <v>1082839.54</v>
      </c>
      <c r="H24" s="359">
        <f t="shared" si="1"/>
        <v>0</v>
      </c>
      <c r="I24" s="359">
        <f>+D24+E24+F24+G24+H24</f>
        <v>5693362.9339999994</v>
      </c>
      <c r="J24" s="53"/>
    </row>
    <row r="25" spans="2:10" ht="15.75" x14ac:dyDescent="0.25">
      <c r="B25" s="343"/>
      <c r="C25" s="53"/>
      <c r="D25" s="53"/>
      <c r="E25" s="53"/>
      <c r="F25" s="53"/>
      <c r="G25" s="53"/>
      <c r="H25" s="53"/>
      <c r="I25" s="53"/>
      <c r="J25" s="53"/>
    </row>
    <row r="26" spans="2:10" ht="15.75" x14ac:dyDescent="0.25">
      <c r="B26" s="343"/>
      <c r="C26" s="53"/>
      <c r="D26" s="53"/>
      <c r="E26" s="53"/>
      <c r="F26" s="53"/>
      <c r="G26" s="53"/>
      <c r="H26" s="53"/>
      <c r="I26" t="s">
        <v>8</v>
      </c>
      <c r="J26" s="53"/>
    </row>
    <row r="27" spans="2:10" ht="15.75" x14ac:dyDescent="0.25">
      <c r="B27" s="53"/>
      <c r="C27" s="53"/>
      <c r="D27" s="53"/>
      <c r="E27" s="53"/>
      <c r="F27" s="53"/>
      <c r="G27" s="53"/>
      <c r="H27" s="53"/>
      <c r="I27" s="55" t="s">
        <v>8</v>
      </c>
      <c r="J27" s="53"/>
    </row>
  </sheetData>
  <mergeCells count="13">
    <mergeCell ref="H7:H8"/>
    <mergeCell ref="I7:I8"/>
    <mergeCell ref="B24:C24"/>
    <mergeCell ref="B1:I1"/>
    <mergeCell ref="B2:I2"/>
    <mergeCell ref="B3:I3"/>
    <mergeCell ref="B5:I5"/>
    <mergeCell ref="B6:I6"/>
    <mergeCell ref="C7:C8"/>
    <mergeCell ref="D7:D8"/>
    <mergeCell ref="E7:E8"/>
    <mergeCell ref="F7:F8"/>
    <mergeCell ref="G7:G8"/>
  </mergeCells>
  <pageMargins left="0.75" right="0.7" top="0.75" bottom="0.75" header="0.3" footer="0.3"/>
  <pageSetup scale="64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workbookViewId="0">
      <selection activeCell="H41" sqref="H41"/>
    </sheetView>
  </sheetViews>
  <sheetFormatPr baseColWidth="10" defaultRowHeight="15" x14ac:dyDescent="0.25"/>
  <cols>
    <col min="1" max="1" width="15.85546875" customWidth="1"/>
    <col min="2" max="2" width="7.5703125" bestFit="1" customWidth="1"/>
    <col min="3" max="3" width="44.42578125" customWidth="1"/>
    <col min="4" max="4" width="14" customWidth="1"/>
    <col min="5" max="5" width="14.28515625" customWidth="1"/>
    <col min="6" max="6" width="12.7109375" bestFit="1" customWidth="1"/>
    <col min="7" max="7" width="13.85546875" customWidth="1"/>
    <col min="8" max="8" width="11" bestFit="1" customWidth="1"/>
    <col min="9" max="9" width="14.42578125" customWidth="1"/>
  </cols>
  <sheetData>
    <row r="1" spans="2:9" ht="16.5" x14ac:dyDescent="0.3">
      <c r="B1" s="589" t="s">
        <v>175</v>
      </c>
      <c r="C1" s="589"/>
      <c r="D1" s="589"/>
      <c r="E1" s="589"/>
      <c r="F1" s="589"/>
      <c r="G1" s="589"/>
      <c r="H1" s="589"/>
      <c r="I1" s="589"/>
    </row>
    <row r="2" spans="2:9" ht="16.5" x14ac:dyDescent="0.3">
      <c r="B2" s="703" t="s">
        <v>492</v>
      </c>
      <c r="C2" s="703"/>
      <c r="D2" s="703"/>
      <c r="E2" s="703"/>
      <c r="F2" s="703"/>
      <c r="G2" s="703"/>
      <c r="H2" s="703"/>
      <c r="I2" s="703"/>
    </row>
    <row r="3" spans="2:9" ht="16.5" x14ac:dyDescent="0.3">
      <c r="B3" s="703" t="s">
        <v>811</v>
      </c>
      <c r="C3" s="703"/>
      <c r="D3" s="703"/>
      <c r="E3" s="703"/>
      <c r="F3" s="703"/>
      <c r="G3" s="703"/>
      <c r="H3" s="703"/>
      <c r="I3" s="703"/>
    </row>
    <row r="4" spans="2:9" ht="16.5" x14ac:dyDescent="0.3">
      <c r="B4" s="100"/>
      <c r="C4" s="100"/>
      <c r="D4" s="100"/>
      <c r="E4" s="100"/>
      <c r="F4" s="100"/>
      <c r="G4" s="100"/>
      <c r="H4" s="100"/>
      <c r="I4" s="100"/>
    </row>
    <row r="5" spans="2:9" ht="16.5" x14ac:dyDescent="0.3">
      <c r="B5" s="589" t="s">
        <v>493</v>
      </c>
      <c r="C5" s="589"/>
      <c r="D5" s="589"/>
      <c r="E5" s="589"/>
      <c r="F5" s="589"/>
      <c r="G5" s="589"/>
      <c r="H5" s="589"/>
      <c r="I5" s="589"/>
    </row>
    <row r="6" spans="2:9" ht="16.5" x14ac:dyDescent="0.3">
      <c r="B6" s="703" t="s">
        <v>494</v>
      </c>
      <c r="C6" s="703"/>
      <c r="D6" s="703"/>
      <c r="E6" s="703"/>
      <c r="F6" s="703"/>
      <c r="G6" s="703"/>
      <c r="H6" s="703"/>
      <c r="I6" s="703"/>
    </row>
    <row r="7" spans="2:9" ht="17.25" thickBot="1" x14ac:dyDescent="0.35">
      <c r="B7" s="1"/>
      <c r="C7" s="1"/>
      <c r="D7" s="1"/>
      <c r="E7" s="1"/>
      <c r="F7" s="1"/>
      <c r="G7" s="1"/>
      <c r="H7" s="1"/>
      <c r="I7" s="1"/>
    </row>
    <row r="8" spans="2:9" ht="17.25" thickBot="1" x14ac:dyDescent="0.35">
      <c r="B8" s="698" t="s">
        <v>495</v>
      </c>
      <c r="C8" s="699"/>
      <c r="D8" s="700" t="s">
        <v>258</v>
      </c>
      <c r="E8" s="701"/>
      <c r="F8" s="701"/>
      <c r="G8" s="701"/>
      <c r="H8" s="702"/>
      <c r="I8" s="619" t="s">
        <v>1</v>
      </c>
    </row>
    <row r="9" spans="2:9" ht="17.25" thickBot="1" x14ac:dyDescent="0.35">
      <c r="B9" s="320" t="s">
        <v>496</v>
      </c>
      <c r="C9" s="321" t="s">
        <v>497</v>
      </c>
      <c r="D9" s="321" t="s">
        <v>319</v>
      </c>
      <c r="E9" s="321" t="s">
        <v>201</v>
      </c>
      <c r="F9" s="321" t="s">
        <v>320</v>
      </c>
      <c r="G9" s="321" t="s">
        <v>321</v>
      </c>
      <c r="H9" s="322" t="s">
        <v>322</v>
      </c>
      <c r="I9" s="615"/>
    </row>
    <row r="10" spans="2:9" ht="16.5" x14ac:dyDescent="0.3">
      <c r="B10" s="323">
        <v>11</v>
      </c>
      <c r="C10" s="281" t="s">
        <v>498</v>
      </c>
      <c r="D10" s="440"/>
      <c r="E10" s="440">
        <f>+'Ingresos F.F.'!D10</f>
        <v>510571.36999999994</v>
      </c>
      <c r="F10" s="440"/>
      <c r="G10" s="440"/>
      <c r="H10" s="440"/>
      <c r="I10" s="441">
        <f>SUM(D10:H10)</f>
        <v>510571.36999999994</v>
      </c>
    </row>
    <row r="11" spans="2:9" ht="16.5" x14ac:dyDescent="0.3">
      <c r="B11" s="6"/>
      <c r="C11" s="7"/>
      <c r="D11" s="37"/>
      <c r="E11" s="37"/>
      <c r="F11" s="37"/>
      <c r="G11" s="37"/>
      <c r="H11" s="37"/>
      <c r="I11" s="442">
        <f t="shared" ref="I11:I24" si="0">SUM(D11:H11)</f>
        <v>0</v>
      </c>
    </row>
    <row r="12" spans="2:9" ht="16.5" x14ac:dyDescent="0.3">
      <c r="B12" s="324">
        <v>12</v>
      </c>
      <c r="C12" s="258" t="s">
        <v>3</v>
      </c>
      <c r="D12" s="37"/>
      <c r="E12" s="37">
        <f>+'Ingresos F.F.'!D30</f>
        <v>922107.39</v>
      </c>
      <c r="F12" s="37"/>
      <c r="G12" s="37"/>
      <c r="H12" s="37"/>
      <c r="I12" s="442">
        <f t="shared" si="0"/>
        <v>922107.39</v>
      </c>
    </row>
    <row r="13" spans="2:9" ht="16.5" x14ac:dyDescent="0.3">
      <c r="B13" s="324"/>
      <c r="C13" s="258"/>
      <c r="D13" s="37"/>
      <c r="E13" s="37"/>
      <c r="F13" s="37"/>
      <c r="G13" s="37"/>
      <c r="H13" s="37"/>
      <c r="I13" s="442">
        <f t="shared" si="0"/>
        <v>0</v>
      </c>
    </row>
    <row r="14" spans="2:9" ht="16.5" x14ac:dyDescent="0.3">
      <c r="B14" s="324">
        <v>14</v>
      </c>
      <c r="C14" s="258" t="s">
        <v>499</v>
      </c>
      <c r="D14" s="37"/>
      <c r="E14" s="37">
        <f>+'Ingresos F.F.'!D50</f>
        <v>333897.8</v>
      </c>
      <c r="F14" s="37"/>
      <c r="G14" s="37"/>
      <c r="H14" s="37"/>
      <c r="I14" s="442">
        <f t="shared" si="0"/>
        <v>333897.8</v>
      </c>
    </row>
    <row r="15" spans="2:9" ht="16.5" x14ac:dyDescent="0.3">
      <c r="B15" s="6"/>
      <c r="C15" s="7"/>
      <c r="D15" s="37"/>
      <c r="E15" s="37"/>
      <c r="F15" s="37"/>
      <c r="G15" s="37"/>
      <c r="H15" s="37"/>
      <c r="I15" s="442">
        <f t="shared" si="0"/>
        <v>0</v>
      </c>
    </row>
    <row r="16" spans="2:9" ht="16.5" x14ac:dyDescent="0.3">
      <c r="B16" s="324">
        <v>15</v>
      </c>
      <c r="C16" s="258" t="s">
        <v>4</v>
      </c>
      <c r="D16" s="37"/>
      <c r="E16" s="37">
        <f>+'Ingresos F.F.'!D55</f>
        <v>147317</v>
      </c>
      <c r="F16" s="37"/>
      <c r="G16" s="37"/>
      <c r="H16" s="37"/>
      <c r="I16" s="442">
        <f t="shared" si="0"/>
        <v>147317</v>
      </c>
    </row>
    <row r="17" spans="2:9" ht="16.5" x14ac:dyDescent="0.3">
      <c r="B17" s="6"/>
      <c r="C17" s="7"/>
      <c r="D17" s="37"/>
      <c r="E17" s="37"/>
      <c r="F17" s="37"/>
      <c r="G17" s="37"/>
      <c r="H17" s="37"/>
      <c r="I17" s="442">
        <f t="shared" si="0"/>
        <v>0</v>
      </c>
    </row>
    <row r="18" spans="2:9" ht="16.5" x14ac:dyDescent="0.3">
      <c r="B18" s="324">
        <v>16</v>
      </c>
      <c r="C18" s="258" t="s">
        <v>500</v>
      </c>
      <c r="D18" s="37">
        <f>+'Ingresos F.F.'!C66</f>
        <v>465305.41</v>
      </c>
      <c r="E18" s="37"/>
      <c r="F18" s="37"/>
      <c r="G18" s="37"/>
      <c r="H18" s="37"/>
      <c r="I18" s="442">
        <f t="shared" si="0"/>
        <v>465305.41</v>
      </c>
    </row>
    <row r="19" spans="2:9" ht="16.5" x14ac:dyDescent="0.3">
      <c r="B19" s="6"/>
      <c r="C19" s="7"/>
      <c r="D19" s="37"/>
      <c r="E19" s="37"/>
      <c r="F19" s="37"/>
      <c r="G19" s="37"/>
      <c r="H19" s="37"/>
      <c r="I19" s="442">
        <f t="shared" si="0"/>
        <v>0</v>
      </c>
    </row>
    <row r="20" spans="2:9" ht="16.5" x14ac:dyDescent="0.3">
      <c r="B20" s="324">
        <v>22</v>
      </c>
      <c r="C20" s="258" t="s">
        <v>6</v>
      </c>
      <c r="D20" s="37">
        <f>+'Ingresos F.F.'!C70</f>
        <v>1863235.68</v>
      </c>
      <c r="E20" s="37"/>
      <c r="F20" s="37"/>
      <c r="G20" s="37"/>
      <c r="H20" s="37">
        <v>9024</v>
      </c>
      <c r="I20" s="442">
        <f t="shared" si="0"/>
        <v>1872259.68</v>
      </c>
    </row>
    <row r="21" spans="2:9" ht="16.5" x14ac:dyDescent="0.3">
      <c r="B21" s="6"/>
      <c r="C21" s="7"/>
      <c r="D21" s="37"/>
      <c r="E21" s="37"/>
      <c r="F21" s="37"/>
      <c r="G21" s="37"/>
      <c r="H21" s="37"/>
      <c r="I21" s="442">
        <f t="shared" si="0"/>
        <v>0</v>
      </c>
    </row>
    <row r="22" spans="2:9" ht="16.5" x14ac:dyDescent="0.3">
      <c r="B22" s="324">
        <v>31</v>
      </c>
      <c r="C22" s="258" t="s">
        <v>7</v>
      </c>
      <c r="D22" s="37"/>
      <c r="E22" s="37"/>
      <c r="F22" s="37"/>
      <c r="G22" s="37"/>
      <c r="H22" s="37"/>
      <c r="I22" s="442">
        <f t="shared" si="0"/>
        <v>0</v>
      </c>
    </row>
    <row r="23" spans="2:9" ht="17.25" thickBot="1" x14ac:dyDescent="0.35">
      <c r="B23" s="324">
        <v>31</v>
      </c>
      <c r="C23" s="258" t="s">
        <v>7</v>
      </c>
      <c r="D23" s="37"/>
      <c r="E23" s="37"/>
      <c r="F23" s="37"/>
      <c r="G23" s="318">
        <f>+'Ingresos F.F.'!F80</f>
        <v>601535.31000000006</v>
      </c>
      <c r="H23" s="37"/>
      <c r="I23" s="442">
        <f t="shared" si="0"/>
        <v>601535.31000000006</v>
      </c>
    </row>
    <row r="24" spans="2:9" ht="17.25" thickBot="1" x14ac:dyDescent="0.35">
      <c r="B24" s="325">
        <v>32</v>
      </c>
      <c r="C24" s="326" t="s">
        <v>182</v>
      </c>
      <c r="D24" s="37">
        <f>+'Ingresos F.F.'!C82</f>
        <v>316825.13</v>
      </c>
      <c r="E24" s="318">
        <f>+'Ingresos F.F.'!D82</f>
        <v>51263.61</v>
      </c>
      <c r="F24" s="318">
        <f>+'Ingresos F.F.'!E82</f>
        <v>239789.56</v>
      </c>
      <c r="G24" s="318">
        <f>+'Ingresos F.F.'!F82</f>
        <v>230105.69</v>
      </c>
      <c r="H24" s="318">
        <f>+'Ingresos F.F.'!G82</f>
        <v>2384.98</v>
      </c>
      <c r="I24" s="443">
        <f t="shared" si="0"/>
        <v>840368.97</v>
      </c>
    </row>
    <row r="25" spans="2:9" ht="17.25" thickBot="1" x14ac:dyDescent="0.35">
      <c r="B25" s="327"/>
      <c r="C25" s="328" t="s">
        <v>1</v>
      </c>
      <c r="D25" s="444">
        <f>SUM(D10:D24)</f>
        <v>2645366.2199999997</v>
      </c>
      <c r="E25" s="444">
        <f t="shared" ref="E25:I25" si="1">SUM(E10:E24)</f>
        <v>1965157.1700000002</v>
      </c>
      <c r="F25" s="444">
        <f t="shared" si="1"/>
        <v>239789.56</v>
      </c>
      <c r="G25" s="444">
        <f t="shared" si="1"/>
        <v>831641</v>
      </c>
      <c r="H25" s="444">
        <f t="shared" si="1"/>
        <v>11408.98</v>
      </c>
      <c r="I25" s="444">
        <f t="shared" si="1"/>
        <v>5693362.9300000006</v>
      </c>
    </row>
    <row r="26" spans="2:9" ht="17.25" thickBot="1" x14ac:dyDescent="0.35">
      <c r="B26" s="1"/>
      <c r="C26" s="1"/>
      <c r="D26" s="1"/>
      <c r="E26" s="1"/>
      <c r="F26" s="1"/>
      <c r="G26" s="1"/>
      <c r="H26" s="1"/>
      <c r="I26" s="1"/>
    </row>
    <row r="27" spans="2:9" ht="17.25" thickBot="1" x14ac:dyDescent="0.35">
      <c r="B27" s="698" t="s">
        <v>501</v>
      </c>
      <c r="C27" s="699"/>
      <c r="D27" s="700" t="s">
        <v>258</v>
      </c>
      <c r="E27" s="701"/>
      <c r="F27" s="701"/>
      <c r="G27" s="701"/>
      <c r="H27" s="702"/>
      <c r="I27" s="619" t="s">
        <v>1</v>
      </c>
    </row>
    <row r="28" spans="2:9" ht="17.25" thickBot="1" x14ac:dyDescent="0.35">
      <c r="B28" s="320" t="s">
        <v>496</v>
      </c>
      <c r="C28" s="321" t="s">
        <v>497</v>
      </c>
      <c r="D28" s="329" t="s">
        <v>319</v>
      </c>
      <c r="E28" s="321" t="s">
        <v>201</v>
      </c>
      <c r="F28" s="321" t="s">
        <v>320</v>
      </c>
      <c r="G28" s="321" t="s">
        <v>321</v>
      </c>
      <c r="H28" s="322" t="s">
        <v>322</v>
      </c>
      <c r="I28" s="615"/>
    </row>
    <row r="29" spans="2:9" ht="17.25" thickBot="1" x14ac:dyDescent="0.35">
      <c r="B29" s="323">
        <v>51</v>
      </c>
      <c r="C29" s="330" t="s">
        <v>71</v>
      </c>
      <c r="D29" s="445">
        <f>+Remuneraciones!C11</f>
        <v>232701.4</v>
      </c>
      <c r="E29" s="445">
        <v>1513097.26</v>
      </c>
      <c r="F29" s="445"/>
      <c r="G29" s="445"/>
      <c r="H29" s="445"/>
      <c r="I29" s="446">
        <f>SUM(D29:H29)</f>
        <v>1745798.66</v>
      </c>
    </row>
    <row r="30" spans="2:9" ht="17.25" thickBot="1" x14ac:dyDescent="0.35">
      <c r="B30" s="324"/>
      <c r="C30" s="258"/>
      <c r="D30" s="445"/>
      <c r="E30" s="445"/>
      <c r="F30" s="447"/>
      <c r="G30" s="447"/>
      <c r="H30" s="447"/>
      <c r="I30" s="448">
        <f t="shared" ref="I30:I44" si="2">SUM(D30:H30)</f>
        <v>0</v>
      </c>
    </row>
    <row r="31" spans="2:9" ht="17.25" thickBot="1" x14ac:dyDescent="0.35">
      <c r="B31" s="324">
        <v>54</v>
      </c>
      <c r="C31" s="258" t="s">
        <v>88</v>
      </c>
      <c r="D31" s="445">
        <v>306758.17</v>
      </c>
      <c r="E31" s="445">
        <f>+Remuneraciones!D33</f>
        <v>408114.43</v>
      </c>
      <c r="F31" s="447"/>
      <c r="G31" s="447"/>
      <c r="H31" s="447"/>
      <c r="I31" s="448">
        <f t="shared" si="2"/>
        <v>714872.6</v>
      </c>
    </row>
    <row r="32" spans="2:9" ht="17.25" thickBot="1" x14ac:dyDescent="0.35">
      <c r="B32" s="324"/>
      <c r="C32" s="258"/>
      <c r="D32" s="445">
        <f>+Remuneraciones!C14</f>
        <v>0</v>
      </c>
      <c r="E32" s="445"/>
      <c r="F32" s="447"/>
      <c r="G32" s="447"/>
      <c r="H32" s="447"/>
      <c r="I32" s="448">
        <f t="shared" si="2"/>
        <v>0</v>
      </c>
    </row>
    <row r="33" spans="2:9" ht="17.25" thickBot="1" x14ac:dyDescent="0.35">
      <c r="B33" s="324">
        <v>55</v>
      </c>
      <c r="C33" s="258" t="s">
        <v>129</v>
      </c>
      <c r="D33" s="445">
        <v>56923.48</v>
      </c>
      <c r="E33" s="445">
        <f>+Remuneraciones!D93</f>
        <v>18945.48</v>
      </c>
      <c r="F33" s="447"/>
      <c r="G33" s="447"/>
      <c r="H33" s="447"/>
      <c r="I33" s="448">
        <f t="shared" si="2"/>
        <v>75868.960000000006</v>
      </c>
    </row>
    <row r="34" spans="2:9" ht="17.25" thickBot="1" x14ac:dyDescent="0.35">
      <c r="B34" s="324"/>
      <c r="C34" s="258"/>
      <c r="D34" s="445"/>
      <c r="E34" s="445"/>
      <c r="F34" s="447"/>
      <c r="G34" s="447"/>
      <c r="H34" s="447"/>
      <c r="I34" s="448">
        <f t="shared" si="2"/>
        <v>0</v>
      </c>
    </row>
    <row r="35" spans="2:9" ht="16.5" x14ac:dyDescent="0.3">
      <c r="B35" s="324">
        <v>56</v>
      </c>
      <c r="C35" s="258" t="s">
        <v>57</v>
      </c>
      <c r="D35" s="445">
        <f>+Remuneraciones!C108</f>
        <v>10814.16</v>
      </c>
      <c r="E35" s="445">
        <f>+Remuneraciones!D108</f>
        <v>7500</v>
      </c>
      <c r="F35" s="447"/>
      <c r="G35" s="447"/>
      <c r="H35" s="447"/>
      <c r="I35" s="448">
        <f t="shared" si="2"/>
        <v>18314.16</v>
      </c>
    </row>
    <row r="36" spans="2:9" ht="17.25" thickBot="1" x14ac:dyDescent="0.35">
      <c r="B36" s="324"/>
      <c r="C36" s="258"/>
      <c r="D36" s="447"/>
      <c r="E36" s="447"/>
      <c r="F36" s="447"/>
      <c r="G36" s="447"/>
      <c r="H36" s="447"/>
      <c r="I36" s="448">
        <f t="shared" si="2"/>
        <v>0</v>
      </c>
    </row>
    <row r="37" spans="2:9" ht="16.5" x14ac:dyDescent="0.3">
      <c r="B37" s="324" t="s">
        <v>395</v>
      </c>
      <c r="C37" s="258" t="s">
        <v>143</v>
      </c>
      <c r="D37" s="445">
        <v>1459195.65</v>
      </c>
      <c r="E37" s="445">
        <f>+Remuneraciones!D117</f>
        <v>17500</v>
      </c>
      <c r="F37" s="447">
        <v>239789.56</v>
      </c>
      <c r="G37" s="447">
        <v>831641</v>
      </c>
      <c r="H37" s="447">
        <v>11408.98</v>
      </c>
      <c r="I37" s="448">
        <f t="shared" si="2"/>
        <v>2559535.19</v>
      </c>
    </row>
    <row r="38" spans="2:9" ht="17.25" thickBot="1" x14ac:dyDescent="0.35">
      <c r="B38" s="324"/>
      <c r="C38" s="258"/>
      <c r="D38" s="447"/>
      <c r="E38" s="447"/>
      <c r="F38" s="447"/>
      <c r="G38" s="447"/>
      <c r="H38" s="447"/>
      <c r="I38" s="448">
        <f t="shared" si="2"/>
        <v>0</v>
      </c>
    </row>
    <row r="39" spans="2:9" ht="16.5" x14ac:dyDescent="0.3">
      <c r="B39" s="324">
        <v>71</v>
      </c>
      <c r="C39" s="258" t="s">
        <v>183</v>
      </c>
      <c r="D39" s="445">
        <v>578973.36</v>
      </c>
      <c r="E39" s="445"/>
      <c r="F39" s="447"/>
      <c r="G39" s="447"/>
      <c r="H39" s="447"/>
      <c r="I39" s="448">
        <f t="shared" si="2"/>
        <v>578973.36</v>
      </c>
    </row>
    <row r="40" spans="2:9" ht="17.25" thickBot="1" x14ac:dyDescent="0.35">
      <c r="B40" s="324"/>
      <c r="C40" s="258"/>
      <c r="D40" s="447"/>
      <c r="E40" s="447"/>
      <c r="F40" s="447"/>
      <c r="G40" s="447"/>
      <c r="H40" s="447"/>
      <c r="I40" s="448">
        <f t="shared" si="2"/>
        <v>0</v>
      </c>
    </row>
    <row r="41" spans="2:9" ht="16.5" x14ac:dyDescent="0.3">
      <c r="B41" s="324">
        <v>72</v>
      </c>
      <c r="C41" s="258" t="s">
        <v>182</v>
      </c>
      <c r="D41" s="447">
        <v>0</v>
      </c>
      <c r="E41" s="445"/>
      <c r="F41" s="447"/>
      <c r="G41" s="447"/>
      <c r="H41" s="447"/>
      <c r="I41" s="448">
        <f t="shared" si="2"/>
        <v>0</v>
      </c>
    </row>
    <row r="42" spans="2:9" ht="16.5" x14ac:dyDescent="0.3">
      <c r="B42" s="6"/>
      <c r="C42" s="258"/>
      <c r="D42" s="447"/>
      <c r="E42" s="447"/>
      <c r="F42" s="447"/>
      <c r="G42" s="447"/>
      <c r="H42" s="447"/>
      <c r="I42" s="448">
        <f t="shared" si="2"/>
        <v>0</v>
      </c>
    </row>
    <row r="43" spans="2:9" ht="17.25" thickBot="1" x14ac:dyDescent="0.35">
      <c r="B43" s="325">
        <v>99</v>
      </c>
      <c r="C43" s="326" t="s">
        <v>413</v>
      </c>
      <c r="D43" s="449"/>
      <c r="E43" s="449"/>
      <c r="F43" s="449"/>
      <c r="G43" s="449"/>
      <c r="H43" s="449"/>
      <c r="I43" s="450">
        <f t="shared" si="2"/>
        <v>0</v>
      </c>
    </row>
    <row r="44" spans="2:9" ht="17.25" thickBot="1" x14ac:dyDescent="0.35">
      <c r="B44" s="331"/>
      <c r="C44" s="328" t="s">
        <v>1</v>
      </c>
      <c r="D44" s="444">
        <f t="shared" ref="D44:H44" si="3">SUM(D29:D43)</f>
        <v>2645366.2199999997</v>
      </c>
      <c r="E44" s="451">
        <f t="shared" si="3"/>
        <v>1965157.17</v>
      </c>
      <c r="F44" s="444">
        <f t="shared" si="3"/>
        <v>239789.56</v>
      </c>
      <c r="G44" s="451">
        <f t="shared" si="3"/>
        <v>831641</v>
      </c>
      <c r="H44" s="444">
        <f t="shared" si="3"/>
        <v>11408.98</v>
      </c>
      <c r="I44" s="452">
        <f t="shared" si="2"/>
        <v>5693362.9299999997</v>
      </c>
    </row>
    <row r="45" spans="2:9" ht="16.5" x14ac:dyDescent="0.3">
      <c r="B45" s="1"/>
      <c r="C45" s="1"/>
      <c r="D45" s="1"/>
      <c r="E45" s="1"/>
      <c r="F45" s="1"/>
      <c r="G45" s="1"/>
      <c r="H45" s="1"/>
      <c r="I45" s="1"/>
    </row>
    <row r="46" spans="2:9" ht="16.5" x14ac:dyDescent="0.3">
      <c r="B46" s="1"/>
      <c r="C46" s="1"/>
      <c r="D46" s="1"/>
      <c r="E46" s="1"/>
      <c r="F46" s="1"/>
      <c r="G46" s="1"/>
      <c r="H46" s="1"/>
      <c r="I46" s="319" t="s">
        <v>8</v>
      </c>
    </row>
    <row r="47" spans="2:9" x14ac:dyDescent="0.25">
      <c r="I47" s="438"/>
    </row>
  </sheetData>
  <mergeCells count="11">
    <mergeCell ref="B27:C27"/>
    <mergeCell ref="D27:H27"/>
    <mergeCell ref="I27:I28"/>
    <mergeCell ref="B1:I1"/>
    <mergeCell ref="B2:I2"/>
    <mergeCell ref="B3:I3"/>
    <mergeCell ref="B5:I5"/>
    <mergeCell ref="B6:I6"/>
    <mergeCell ref="B8:C8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13" sqref="E13"/>
    </sheetView>
  </sheetViews>
  <sheetFormatPr baseColWidth="10" defaultRowHeight="15" x14ac:dyDescent="0.25"/>
  <cols>
    <col min="2" max="2" width="7.42578125" customWidth="1"/>
    <col min="3" max="3" width="27.7109375" customWidth="1"/>
    <col min="4" max="5" width="15.7109375" customWidth="1"/>
  </cols>
  <sheetData>
    <row r="1" spans="1:6" ht="15.75" x14ac:dyDescent="0.25">
      <c r="A1" s="53"/>
      <c r="B1" s="53"/>
      <c r="C1" s="53"/>
      <c r="D1" s="53"/>
      <c r="E1" s="53"/>
      <c r="F1" s="53"/>
    </row>
    <row r="2" spans="1:6" ht="15.75" x14ac:dyDescent="0.25">
      <c r="A2" s="53"/>
      <c r="B2" s="710" t="s">
        <v>509</v>
      </c>
      <c r="C2" s="710"/>
      <c r="D2" s="710"/>
      <c r="E2" s="710"/>
      <c r="F2" s="53"/>
    </row>
    <row r="3" spans="1:6" ht="15.75" x14ac:dyDescent="0.25">
      <c r="A3" s="53"/>
      <c r="B3" s="710" t="s">
        <v>169</v>
      </c>
      <c r="C3" s="710"/>
      <c r="D3" s="710"/>
      <c r="E3" s="710"/>
      <c r="F3" s="53"/>
    </row>
    <row r="4" spans="1:6" ht="15.75" x14ac:dyDescent="0.25">
      <c r="A4" s="53"/>
      <c r="B4" s="712" t="s">
        <v>813</v>
      </c>
      <c r="C4" s="712"/>
      <c r="D4" s="712"/>
      <c r="E4" s="712"/>
      <c r="F4" s="53"/>
    </row>
    <row r="5" spans="1:6" ht="16.5" thickBot="1" x14ac:dyDescent="0.3">
      <c r="A5" s="53"/>
      <c r="B5" s="711" t="s">
        <v>8</v>
      </c>
      <c r="C5" s="711"/>
      <c r="D5" s="711"/>
      <c r="E5" s="711"/>
      <c r="F5" s="53"/>
    </row>
    <row r="6" spans="1:6" ht="15.75" x14ac:dyDescent="0.25">
      <c r="A6" s="53"/>
      <c r="B6" s="704" t="s">
        <v>502</v>
      </c>
      <c r="C6" s="705"/>
      <c r="D6" s="705"/>
      <c r="E6" s="706"/>
      <c r="F6" s="53"/>
    </row>
    <row r="7" spans="1:6" ht="16.5" thickBot="1" x14ac:dyDescent="0.3">
      <c r="A7" s="53"/>
      <c r="B7" s="707" t="s">
        <v>503</v>
      </c>
      <c r="C7" s="708"/>
      <c r="D7" s="708"/>
      <c r="E7" s="709"/>
      <c r="F7" s="53"/>
    </row>
    <row r="8" spans="1:6" ht="16.5" thickBot="1" x14ac:dyDescent="0.3">
      <c r="A8" s="53"/>
      <c r="B8" s="333" t="s">
        <v>323</v>
      </c>
      <c r="C8" s="334" t="s">
        <v>504</v>
      </c>
      <c r="D8" s="335" t="s">
        <v>495</v>
      </c>
      <c r="E8" s="335" t="s">
        <v>501</v>
      </c>
      <c r="F8" s="53"/>
    </row>
    <row r="9" spans="1:6" ht="15.75" x14ac:dyDescent="0.25">
      <c r="A9" s="53"/>
      <c r="B9" s="336"/>
      <c r="C9" s="53"/>
      <c r="D9" s="337"/>
      <c r="E9" s="337"/>
      <c r="F9" s="53"/>
    </row>
    <row r="10" spans="1:6" ht="15.75" x14ac:dyDescent="0.25">
      <c r="A10" s="53"/>
      <c r="B10" s="338">
        <v>1</v>
      </c>
      <c r="C10" s="339" t="s">
        <v>505</v>
      </c>
      <c r="D10" s="345">
        <f>+'Ingresos F.F.'!C86</f>
        <v>2645366.2199999997</v>
      </c>
      <c r="E10" s="345">
        <v>2645366.2200000002</v>
      </c>
      <c r="F10" s="340"/>
    </row>
    <row r="11" spans="1:6" ht="15.75" x14ac:dyDescent="0.25">
      <c r="A11" s="53"/>
      <c r="B11" s="338"/>
      <c r="C11" s="339"/>
      <c r="D11" s="345"/>
      <c r="E11" s="345"/>
      <c r="F11" s="53"/>
    </row>
    <row r="12" spans="1:6" ht="15.75" x14ac:dyDescent="0.25">
      <c r="A12" s="53"/>
      <c r="B12" s="338">
        <v>2</v>
      </c>
      <c r="C12" s="339" t="s">
        <v>506</v>
      </c>
      <c r="D12" s="345">
        <f>+'Ingresos F.F.'!D86</f>
        <v>1965157.1700000002</v>
      </c>
      <c r="E12" s="345">
        <v>1965157.17</v>
      </c>
      <c r="F12" s="340"/>
    </row>
    <row r="13" spans="1:6" ht="15.75" x14ac:dyDescent="0.25">
      <c r="A13" s="53"/>
      <c r="B13" s="338"/>
      <c r="C13" s="339"/>
      <c r="D13" s="345"/>
      <c r="E13" s="346"/>
      <c r="F13" s="53"/>
    </row>
    <row r="14" spans="1:6" ht="15.75" x14ac:dyDescent="0.25">
      <c r="A14" s="53"/>
      <c r="B14" s="338">
        <v>3</v>
      </c>
      <c r="C14" s="339" t="s">
        <v>814</v>
      </c>
      <c r="D14" s="345">
        <f>+'Ingresos F.F.'!E86</f>
        <v>239789.56</v>
      </c>
      <c r="E14" s="345">
        <v>239789.56</v>
      </c>
      <c r="F14" s="53"/>
    </row>
    <row r="15" spans="1:6" ht="15.75" x14ac:dyDescent="0.25">
      <c r="A15" s="53"/>
      <c r="B15" s="338"/>
      <c r="C15" s="339"/>
      <c r="D15" s="345"/>
      <c r="E15" s="346"/>
      <c r="F15" s="53"/>
    </row>
    <row r="16" spans="1:6" ht="15.75" x14ac:dyDescent="0.25">
      <c r="A16" s="53"/>
      <c r="B16" s="338">
        <v>4</v>
      </c>
      <c r="C16" s="339" t="s">
        <v>507</v>
      </c>
      <c r="D16" s="345">
        <f>+'Ingresos F.F.'!F86</f>
        <v>831641</v>
      </c>
      <c r="E16" s="345">
        <v>831641</v>
      </c>
      <c r="F16" s="53"/>
    </row>
    <row r="17" spans="1:6" ht="15.75" x14ac:dyDescent="0.25">
      <c r="A17" s="53"/>
      <c r="B17" s="338"/>
      <c r="C17" s="339"/>
      <c r="D17" s="345"/>
      <c r="E17" s="346"/>
      <c r="F17" s="53"/>
    </row>
    <row r="18" spans="1:6" ht="15.75" x14ac:dyDescent="0.25">
      <c r="A18" s="53"/>
      <c r="B18" s="338">
        <v>5</v>
      </c>
      <c r="C18" s="339" t="s">
        <v>508</v>
      </c>
      <c r="D18" s="345">
        <f>+'Ingresos F.F.'!G86</f>
        <v>11408.98</v>
      </c>
      <c r="E18" s="345">
        <v>11408.98</v>
      </c>
      <c r="F18" s="53"/>
    </row>
    <row r="19" spans="1:6" ht="16.5" thickBot="1" x14ac:dyDescent="0.3">
      <c r="A19" s="53"/>
      <c r="B19" s="341"/>
      <c r="C19" s="53"/>
      <c r="D19" s="345"/>
      <c r="E19" s="346"/>
      <c r="F19" s="53"/>
    </row>
    <row r="20" spans="1:6" ht="16.5" thickBot="1" x14ac:dyDescent="0.3">
      <c r="A20" s="53"/>
      <c r="B20" s="342"/>
      <c r="C20" s="334" t="s">
        <v>67</v>
      </c>
      <c r="D20" s="347">
        <f>SUM(D10:D18)</f>
        <v>5693362.9299999997</v>
      </c>
      <c r="E20" s="347">
        <f>SUM(E10:E18)</f>
        <v>5693362.9300000006</v>
      </c>
      <c r="F20" s="53"/>
    </row>
    <row r="21" spans="1:6" ht="15.75" x14ac:dyDescent="0.25">
      <c r="A21" s="53"/>
      <c r="B21" s="53"/>
      <c r="C21" s="343"/>
      <c r="D21" s="343"/>
      <c r="E21" s="53"/>
      <c r="F21" s="53"/>
    </row>
    <row r="22" spans="1:6" ht="15.75" x14ac:dyDescent="0.25">
      <c r="A22" s="53"/>
      <c r="B22" s="53"/>
      <c r="C22" s="332"/>
      <c r="D22" s="344"/>
      <c r="E22" s="53"/>
      <c r="F22" s="53"/>
    </row>
    <row r="23" spans="1:6" ht="15.75" x14ac:dyDescent="0.25">
      <c r="A23" s="53"/>
      <c r="B23" s="53"/>
      <c r="C23" s="53"/>
      <c r="D23" s="53"/>
      <c r="E23" s="53"/>
      <c r="F23" s="53"/>
    </row>
    <row r="24" spans="1:6" ht="15.75" x14ac:dyDescent="0.25">
      <c r="A24" s="53"/>
      <c r="B24" s="53"/>
      <c r="C24" s="53"/>
      <c r="D24" s="53"/>
      <c r="E24" s="53"/>
      <c r="F24" s="53"/>
    </row>
    <row r="25" spans="1:6" ht="15.75" x14ac:dyDescent="0.25">
      <c r="A25" s="53"/>
      <c r="B25" s="53"/>
      <c r="C25" s="53"/>
      <c r="D25" s="53"/>
      <c r="E25" s="53"/>
      <c r="F25" s="53"/>
    </row>
  </sheetData>
  <mergeCells count="6">
    <mergeCell ref="B6:E6"/>
    <mergeCell ref="B7:E7"/>
    <mergeCell ref="B2:E2"/>
    <mergeCell ref="B3:E3"/>
    <mergeCell ref="B5:E5"/>
    <mergeCell ref="B4:E4"/>
  </mergeCells>
  <pageMargins left="0.70866141732283461" right="0.39370078740157483" top="0.74803149606299213" bottom="0.74803149606299213" header="0.31496062992125984" footer="0.31496062992125984"/>
  <pageSetup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B2" zoomScale="125" zoomScaleNormal="125" workbookViewId="0">
      <pane ySplit="7" topLeftCell="A84" activePane="bottomLeft" state="frozen"/>
      <selection activeCell="A2" sqref="A2"/>
      <selection pane="bottomLeft" activeCell="E39" sqref="E39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44.28515625" bestFit="1" customWidth="1"/>
    <col min="4" max="4" width="13.42578125" bestFit="1" customWidth="1"/>
    <col min="5" max="6" width="13" bestFit="1" customWidth="1"/>
    <col min="7" max="7" width="1.7109375" customWidth="1"/>
    <col min="8" max="8" width="13" customWidth="1"/>
    <col min="9" max="9" width="1.7109375" customWidth="1"/>
  </cols>
  <sheetData>
    <row r="1" spans="1:9" ht="16.5" x14ac:dyDescent="0.3">
      <c r="A1" s="1"/>
      <c r="B1" s="591" t="s">
        <v>164</v>
      </c>
      <c r="C1" s="591"/>
      <c r="D1" s="591"/>
      <c r="E1" s="591"/>
      <c r="F1" s="591"/>
      <c r="G1" s="1"/>
    </row>
    <row r="2" spans="1:9" ht="16.5" x14ac:dyDescent="0.3">
      <c r="A2" s="1"/>
      <c r="B2" s="592" t="s">
        <v>165</v>
      </c>
      <c r="C2" s="592"/>
      <c r="D2" s="592"/>
      <c r="E2" s="592"/>
      <c r="F2" s="592"/>
      <c r="G2" s="1"/>
    </row>
    <row r="3" spans="1:9" ht="16.5" x14ac:dyDescent="0.3">
      <c r="A3" s="1"/>
      <c r="B3" s="592" t="s">
        <v>166</v>
      </c>
      <c r="C3" s="592"/>
      <c r="D3" s="592"/>
      <c r="E3" s="592"/>
      <c r="F3" s="592"/>
      <c r="G3" s="1"/>
    </row>
    <row r="4" spans="1:9" ht="16.5" x14ac:dyDescent="0.3">
      <c r="B4" s="1" t="s">
        <v>168</v>
      </c>
      <c r="C4" s="1"/>
      <c r="D4" s="1" t="s">
        <v>169</v>
      </c>
      <c r="E4" s="1"/>
      <c r="F4" s="1"/>
      <c r="G4" s="1"/>
    </row>
    <row r="5" spans="1:9" ht="16.5" x14ac:dyDescent="0.3">
      <c r="B5" s="592" t="s">
        <v>694</v>
      </c>
      <c r="C5" s="592"/>
      <c r="D5" s="592"/>
      <c r="E5" s="592"/>
      <c r="F5" s="592"/>
      <c r="G5" s="1"/>
    </row>
    <row r="6" spans="1:9" ht="17.25" thickBot="1" x14ac:dyDescent="0.35">
      <c r="A6" s="1"/>
      <c r="B6" s="590" t="s">
        <v>167</v>
      </c>
      <c r="C6" s="590"/>
      <c r="D6" s="590"/>
      <c r="E6" s="590"/>
      <c r="F6" s="590"/>
      <c r="G6" s="1"/>
      <c r="H6" s="1"/>
      <c r="I6" s="1"/>
    </row>
    <row r="7" spans="1:9" ht="16.5" x14ac:dyDescent="0.3">
      <c r="A7" s="1"/>
      <c r="B7" s="2"/>
      <c r="C7" s="3"/>
      <c r="D7" s="25"/>
      <c r="E7" s="25"/>
      <c r="F7" s="26"/>
      <c r="G7" s="1"/>
      <c r="H7" s="1"/>
      <c r="I7" s="1"/>
    </row>
    <row r="8" spans="1:9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7" t="s">
        <v>1</v>
      </c>
      <c r="G8" s="1"/>
      <c r="H8" s="1"/>
      <c r="I8" s="1"/>
    </row>
    <row r="9" spans="1:9" ht="16.5" x14ac:dyDescent="0.3">
      <c r="A9" s="1"/>
      <c r="B9" s="21">
        <v>11</v>
      </c>
      <c r="C9" s="22" t="s">
        <v>9</v>
      </c>
      <c r="D9" s="23" t="s">
        <v>8</v>
      </c>
      <c r="E9" s="24" t="s">
        <v>8</v>
      </c>
      <c r="F9" s="38">
        <f>SUM(E10)</f>
        <v>510571.36999999994</v>
      </c>
      <c r="G9" s="1"/>
      <c r="H9" s="1"/>
      <c r="I9" s="1"/>
    </row>
    <row r="10" spans="1:9" ht="16.5" x14ac:dyDescent="0.3">
      <c r="A10" s="1"/>
      <c r="B10" s="4">
        <v>118</v>
      </c>
      <c r="C10" s="5" t="s">
        <v>2</v>
      </c>
      <c r="D10" s="17" t="s">
        <v>8</v>
      </c>
      <c r="E10" s="20">
        <f>SUM(D11:D27)</f>
        <v>510571.36999999994</v>
      </c>
      <c r="F10" s="39"/>
      <c r="G10" s="1"/>
      <c r="H10" s="1"/>
      <c r="I10" s="1"/>
    </row>
    <row r="11" spans="1:9" ht="16.5" x14ac:dyDescent="0.3">
      <c r="A11" s="1"/>
      <c r="B11" s="6">
        <v>11801</v>
      </c>
      <c r="C11" s="7" t="s">
        <v>10</v>
      </c>
      <c r="D11" s="18">
        <v>221544</v>
      </c>
      <c r="E11" s="7"/>
      <c r="F11" s="39"/>
      <c r="G11" s="1"/>
      <c r="H11" s="1"/>
      <c r="I11" s="1"/>
    </row>
    <row r="12" spans="1:9" ht="16.5" x14ac:dyDescent="0.3">
      <c r="A12" s="1"/>
      <c r="B12" s="6">
        <v>11802</v>
      </c>
      <c r="C12" s="7" t="s">
        <v>11</v>
      </c>
      <c r="D12" s="18">
        <v>35635.440000000002</v>
      </c>
      <c r="E12" s="7"/>
      <c r="F12" s="39"/>
      <c r="G12" s="1"/>
      <c r="H12" s="1"/>
      <c r="I12" s="1"/>
    </row>
    <row r="13" spans="1:9" ht="16.5" x14ac:dyDescent="0.3">
      <c r="A13" s="1"/>
      <c r="B13" s="6">
        <v>11803</v>
      </c>
      <c r="C13" s="7" t="s">
        <v>12</v>
      </c>
      <c r="D13" s="18">
        <v>145490.28</v>
      </c>
      <c r="E13" s="7"/>
      <c r="F13" s="39"/>
      <c r="G13" s="1"/>
      <c r="H13" s="1"/>
      <c r="I13" s="1"/>
    </row>
    <row r="14" spans="1:9" ht="16.5" x14ac:dyDescent="0.3">
      <c r="A14" s="1"/>
      <c r="B14" s="6">
        <v>11804</v>
      </c>
      <c r="C14" s="7" t="s">
        <v>13</v>
      </c>
      <c r="D14" s="18">
        <v>4826.04</v>
      </c>
      <c r="E14" s="7"/>
      <c r="F14" s="39"/>
      <c r="G14" s="1"/>
      <c r="H14" s="1"/>
      <c r="I14" s="1"/>
    </row>
    <row r="15" spans="1:9" ht="16.5" x14ac:dyDescent="0.3">
      <c r="A15" s="1"/>
      <c r="B15" s="6">
        <v>11805</v>
      </c>
      <c r="C15" s="7" t="s">
        <v>14</v>
      </c>
      <c r="D15" s="18">
        <v>59919.72</v>
      </c>
      <c r="E15" s="7"/>
      <c r="F15" s="39"/>
      <c r="G15" s="1"/>
      <c r="H15" s="1"/>
      <c r="I15" s="1"/>
    </row>
    <row r="16" spans="1:9" ht="16.5" x14ac:dyDescent="0.3">
      <c r="A16" s="1"/>
      <c r="B16" s="6">
        <v>11806</v>
      </c>
      <c r="C16" s="7" t="s">
        <v>15</v>
      </c>
      <c r="D16" s="18">
        <v>4428.04</v>
      </c>
      <c r="E16" s="7"/>
      <c r="F16" s="39"/>
      <c r="G16" s="1"/>
      <c r="H16" s="1"/>
      <c r="I16" s="1"/>
    </row>
    <row r="17" spans="1:9" ht="16.5" x14ac:dyDescent="0.3">
      <c r="A17" s="1"/>
      <c r="B17" s="6">
        <v>11808</v>
      </c>
      <c r="C17" s="7" t="s">
        <v>16</v>
      </c>
      <c r="D17" s="18">
        <v>219.36</v>
      </c>
      <c r="E17" s="7"/>
      <c r="F17" s="39"/>
      <c r="G17" s="1"/>
      <c r="H17" s="1"/>
      <c r="I17" s="1"/>
    </row>
    <row r="18" spans="1:9" ht="16.5" x14ac:dyDescent="0.3">
      <c r="A18" s="1"/>
      <c r="B18" s="6">
        <v>11809</v>
      </c>
      <c r="C18" s="7" t="s">
        <v>17</v>
      </c>
      <c r="D18" s="18">
        <v>24.17</v>
      </c>
      <c r="E18" s="7"/>
      <c r="F18" s="39"/>
      <c r="G18" s="1"/>
      <c r="H18" s="1"/>
      <c r="I18" s="1"/>
    </row>
    <row r="19" spans="1:9" ht="16.5" x14ac:dyDescent="0.3">
      <c r="A19" s="1"/>
      <c r="B19" s="6">
        <v>11810</v>
      </c>
      <c r="C19" s="7" t="s">
        <v>18</v>
      </c>
      <c r="D19" s="18">
        <v>596.52</v>
      </c>
      <c r="E19" s="7"/>
      <c r="F19" s="39"/>
      <c r="G19" s="1"/>
      <c r="H19" s="1"/>
      <c r="I19" s="1"/>
    </row>
    <row r="20" spans="1:9" ht="16.5" x14ac:dyDescent="0.3">
      <c r="A20" s="1"/>
      <c r="B20" s="6">
        <v>11812</v>
      </c>
      <c r="C20" s="7" t="s">
        <v>19</v>
      </c>
      <c r="D20" s="18">
        <v>7952.4</v>
      </c>
      <c r="E20" s="7"/>
      <c r="F20" s="39"/>
      <c r="G20" s="1"/>
      <c r="H20" s="1"/>
      <c r="I20" s="1"/>
    </row>
    <row r="21" spans="1:9" ht="16.5" x14ac:dyDescent="0.3">
      <c r="A21" s="1"/>
      <c r="B21" s="6">
        <v>11813</v>
      </c>
      <c r="C21" s="7" t="s">
        <v>20</v>
      </c>
      <c r="D21" s="18">
        <v>5656.2</v>
      </c>
      <c r="E21" s="7"/>
      <c r="F21" s="39"/>
      <c r="G21" s="1"/>
      <c r="H21" s="1"/>
      <c r="I21" s="1"/>
    </row>
    <row r="22" spans="1:9" ht="16.5" x14ac:dyDescent="0.3">
      <c r="A22" s="1"/>
      <c r="B22" s="6">
        <v>11814</v>
      </c>
      <c r="C22" s="7" t="s">
        <v>21</v>
      </c>
      <c r="D22" s="18">
        <v>3188.04</v>
      </c>
      <c r="E22" s="7"/>
      <c r="F22" s="39"/>
      <c r="G22" s="1"/>
      <c r="H22" s="1"/>
      <c r="I22" s="1"/>
    </row>
    <row r="23" spans="1:9" ht="16.5" x14ac:dyDescent="0.3">
      <c r="A23" s="1"/>
      <c r="B23" s="6">
        <v>11815</v>
      </c>
      <c r="C23" s="7" t="s">
        <v>22</v>
      </c>
      <c r="D23" s="18">
        <v>1090.44</v>
      </c>
      <c r="E23" s="7"/>
      <c r="F23" s="39"/>
      <c r="G23" s="1"/>
      <c r="H23" s="1"/>
      <c r="I23" s="1"/>
    </row>
    <row r="24" spans="1:9" ht="16.5" x14ac:dyDescent="0.3">
      <c r="A24" s="1"/>
      <c r="B24" s="6">
        <v>11816</v>
      </c>
      <c r="C24" s="7" t="s">
        <v>23</v>
      </c>
      <c r="D24" s="18">
        <v>8084.16</v>
      </c>
      <c r="E24" s="7"/>
      <c r="F24" s="39"/>
      <c r="G24" s="1"/>
      <c r="H24" s="1"/>
      <c r="I24" s="1"/>
    </row>
    <row r="25" spans="1:9" ht="16.5" x14ac:dyDescent="0.3">
      <c r="A25" s="1"/>
      <c r="B25" s="6">
        <v>11817</v>
      </c>
      <c r="C25" s="7" t="s">
        <v>24</v>
      </c>
      <c r="D25" s="18">
        <v>4420.5600000000004</v>
      </c>
      <c r="E25" s="7"/>
      <c r="F25" s="39"/>
      <c r="G25" s="1"/>
      <c r="H25" s="1"/>
      <c r="I25" s="1"/>
    </row>
    <row r="26" spans="1:9" ht="16.5" x14ac:dyDescent="0.3">
      <c r="A26" s="1"/>
      <c r="B26" s="578">
        <v>11818</v>
      </c>
      <c r="C26" s="7" t="s">
        <v>25</v>
      </c>
      <c r="D26" s="18">
        <v>2261</v>
      </c>
      <c r="E26" s="7"/>
      <c r="F26" s="39"/>
      <c r="G26" s="1"/>
      <c r="H26" s="1"/>
      <c r="I26" s="1"/>
    </row>
    <row r="27" spans="1:9" ht="16.5" x14ac:dyDescent="0.3">
      <c r="A27" s="1"/>
      <c r="B27" s="578">
        <v>11899</v>
      </c>
      <c r="C27" s="7" t="s">
        <v>26</v>
      </c>
      <c r="D27" s="18">
        <v>5235</v>
      </c>
      <c r="E27" s="7"/>
      <c r="F27" s="39"/>
      <c r="G27" s="1"/>
      <c r="H27" s="1"/>
      <c r="I27" s="1"/>
    </row>
    <row r="28" spans="1:9" ht="16.5" x14ac:dyDescent="0.3">
      <c r="A28" s="1"/>
      <c r="B28" s="6"/>
      <c r="C28" s="7"/>
      <c r="D28" s="18" t="s">
        <v>8</v>
      </c>
      <c r="E28" s="7"/>
      <c r="F28" s="39"/>
      <c r="G28" s="1"/>
      <c r="H28" s="1"/>
      <c r="I28" s="1"/>
    </row>
    <row r="29" spans="1:9" ht="16.5" x14ac:dyDescent="0.3">
      <c r="A29" s="1"/>
      <c r="B29" s="4">
        <v>12</v>
      </c>
      <c r="C29" s="5" t="s">
        <v>3</v>
      </c>
      <c r="D29" s="17" t="s">
        <v>8</v>
      </c>
      <c r="E29" s="7"/>
      <c r="F29" s="34">
        <f>SUM(E30:E47)</f>
        <v>922107.39</v>
      </c>
      <c r="G29" s="1"/>
      <c r="H29" s="1"/>
      <c r="I29" s="1"/>
    </row>
    <row r="30" spans="1:9" ht="16.5" x14ac:dyDescent="0.3">
      <c r="A30" s="1"/>
      <c r="B30" s="4">
        <v>121</v>
      </c>
      <c r="C30" s="5" t="s">
        <v>27</v>
      </c>
      <c r="D30" s="17" t="s">
        <v>8</v>
      </c>
      <c r="E30" s="20">
        <f>SUM(D31:D43)</f>
        <v>879103.39</v>
      </c>
      <c r="F30" s="39"/>
      <c r="G30" s="1"/>
      <c r="H30" s="1"/>
      <c r="I30" s="1"/>
    </row>
    <row r="31" spans="1:9" ht="16.5" x14ac:dyDescent="0.3">
      <c r="A31" s="1"/>
      <c r="B31" s="6">
        <v>12105</v>
      </c>
      <c r="C31" s="7" t="s">
        <v>28</v>
      </c>
      <c r="D31" s="18">
        <v>13445</v>
      </c>
      <c r="E31" s="7"/>
      <c r="F31" s="39"/>
      <c r="G31" s="1"/>
      <c r="H31" s="1"/>
      <c r="I31" s="1"/>
    </row>
    <row r="32" spans="1:9" ht="16.5" x14ac:dyDescent="0.3">
      <c r="A32" s="1"/>
      <c r="B32" s="6">
        <v>12106</v>
      </c>
      <c r="C32" s="7" t="s">
        <v>29</v>
      </c>
      <c r="D32" s="18">
        <v>53</v>
      </c>
      <c r="E32" s="7"/>
      <c r="F32" s="39"/>
      <c r="G32" s="1"/>
      <c r="H32" s="1"/>
      <c r="I32" s="1"/>
    </row>
    <row r="33" spans="1:9" ht="16.5" x14ac:dyDescent="0.3">
      <c r="A33" s="1"/>
      <c r="B33" s="6">
        <v>12108</v>
      </c>
      <c r="C33" s="7" t="s">
        <v>30</v>
      </c>
      <c r="D33" s="18">
        <v>44538.93</v>
      </c>
      <c r="E33" s="7"/>
      <c r="F33" s="39"/>
      <c r="G33" s="1"/>
      <c r="H33" s="1"/>
      <c r="I33" s="1"/>
    </row>
    <row r="34" spans="1:9" ht="16.5" x14ac:dyDescent="0.3">
      <c r="A34" s="1"/>
      <c r="B34" s="6">
        <v>12109</v>
      </c>
      <c r="C34" s="7" t="s">
        <v>31</v>
      </c>
      <c r="D34" s="18">
        <v>192762.74</v>
      </c>
      <c r="E34" s="7"/>
      <c r="F34" s="39"/>
      <c r="G34" s="1"/>
      <c r="H34" s="1"/>
      <c r="I34" s="1"/>
    </row>
    <row r="35" spans="1:9" ht="16.5" x14ac:dyDescent="0.3">
      <c r="A35" s="1"/>
      <c r="B35" s="6">
        <v>12110</v>
      </c>
      <c r="C35" s="7" t="s">
        <v>32</v>
      </c>
      <c r="D35" s="18">
        <v>0</v>
      </c>
      <c r="E35" s="7"/>
      <c r="F35" s="39"/>
      <c r="G35" s="1"/>
      <c r="H35" s="1"/>
      <c r="I35" s="1"/>
    </row>
    <row r="36" spans="1:9" ht="16.5" x14ac:dyDescent="0.3">
      <c r="A36" s="1"/>
      <c r="B36" s="6">
        <v>12111</v>
      </c>
      <c r="C36" s="7" t="s">
        <v>33</v>
      </c>
      <c r="D36" s="18">
        <v>6102</v>
      </c>
      <c r="E36" s="7"/>
      <c r="F36" s="39"/>
      <c r="G36" s="1"/>
      <c r="H36" s="1"/>
      <c r="I36" s="1"/>
    </row>
    <row r="37" spans="1:9" ht="16.5" x14ac:dyDescent="0.3">
      <c r="A37" s="1"/>
      <c r="B37" s="6">
        <v>12112</v>
      </c>
      <c r="C37" s="7" t="s">
        <v>34</v>
      </c>
      <c r="D37" s="18">
        <v>84475</v>
      </c>
      <c r="E37" s="7"/>
      <c r="F37" s="39"/>
      <c r="G37" s="1"/>
      <c r="H37" s="1"/>
      <c r="I37" s="1"/>
    </row>
    <row r="38" spans="1:9" ht="16.5" x14ac:dyDescent="0.3">
      <c r="A38" s="1"/>
      <c r="B38" s="6">
        <v>12114</v>
      </c>
      <c r="C38" s="7" t="s">
        <v>35</v>
      </c>
      <c r="D38" s="18">
        <v>81773</v>
      </c>
      <c r="E38" s="7"/>
      <c r="F38" s="39"/>
      <c r="G38" s="1"/>
      <c r="H38" s="1"/>
      <c r="I38" s="1"/>
    </row>
    <row r="39" spans="1:9" ht="16.5" x14ac:dyDescent="0.3">
      <c r="A39" s="1"/>
      <c r="B39" s="6">
        <v>12115</v>
      </c>
      <c r="C39" s="7" t="s">
        <v>36</v>
      </c>
      <c r="D39" s="18">
        <v>127625.04</v>
      </c>
      <c r="E39" s="7"/>
      <c r="F39" s="39"/>
      <c r="G39" s="1"/>
      <c r="H39" s="1"/>
      <c r="I39" s="1"/>
    </row>
    <row r="40" spans="1:9" ht="16.5" x14ac:dyDescent="0.3">
      <c r="A40" s="1"/>
      <c r="B40" s="6">
        <v>12117</v>
      </c>
      <c r="C40" s="7" t="s">
        <v>37</v>
      </c>
      <c r="D40" s="18">
        <v>38962.68</v>
      </c>
      <c r="E40" s="7"/>
      <c r="F40" s="39"/>
      <c r="G40" s="1"/>
      <c r="H40" s="1"/>
      <c r="I40" s="1"/>
    </row>
    <row r="41" spans="1:9" ht="16.5" x14ac:dyDescent="0.3">
      <c r="A41" s="1"/>
      <c r="B41" s="6">
        <v>12118</v>
      </c>
      <c r="C41" s="7" t="s">
        <v>38</v>
      </c>
      <c r="D41" s="18">
        <v>212856</v>
      </c>
      <c r="E41" s="7"/>
      <c r="F41" s="39"/>
      <c r="G41" s="1"/>
      <c r="H41" s="1"/>
      <c r="I41" s="1"/>
    </row>
    <row r="42" spans="1:9" ht="16.5" x14ac:dyDescent="0.3">
      <c r="A42" s="1"/>
      <c r="B42" s="6">
        <v>12119</v>
      </c>
      <c r="C42" s="7" t="s">
        <v>596</v>
      </c>
      <c r="D42" s="18">
        <v>76445</v>
      </c>
      <c r="E42" s="7"/>
      <c r="F42" s="39"/>
      <c r="G42" s="1"/>
      <c r="H42" s="1"/>
      <c r="I42" s="1"/>
    </row>
    <row r="43" spans="1:9" ht="16.5" x14ac:dyDescent="0.3">
      <c r="A43" s="1"/>
      <c r="B43" s="6">
        <v>12120</v>
      </c>
      <c r="C43" s="7" t="s">
        <v>40</v>
      </c>
      <c r="D43" s="18">
        <v>65</v>
      </c>
      <c r="E43" s="7"/>
      <c r="F43" s="39"/>
      <c r="G43" s="1"/>
      <c r="H43" s="1"/>
      <c r="I43" s="1"/>
    </row>
    <row r="44" spans="1:9" ht="16.5" x14ac:dyDescent="0.3">
      <c r="A44" s="1"/>
      <c r="B44" s="4">
        <v>122</v>
      </c>
      <c r="C44" s="5" t="s">
        <v>41</v>
      </c>
      <c r="D44" s="17" t="s">
        <v>8</v>
      </c>
      <c r="E44" s="20">
        <f>SUM(D45:D47)</f>
        <v>43004</v>
      </c>
      <c r="F44" s="39"/>
      <c r="G44" s="1"/>
      <c r="H44" s="1"/>
      <c r="I44" s="1"/>
    </row>
    <row r="45" spans="1:9" ht="16.5" x14ac:dyDescent="0.3">
      <c r="A45" s="1"/>
      <c r="B45" s="6">
        <v>12208</v>
      </c>
      <c r="C45" s="7" t="s">
        <v>42</v>
      </c>
      <c r="D45" s="18">
        <v>632</v>
      </c>
      <c r="E45" s="7"/>
      <c r="F45" s="39"/>
      <c r="G45" s="1"/>
      <c r="H45" s="1"/>
      <c r="I45" s="1"/>
    </row>
    <row r="46" spans="1:9" ht="16.5" x14ac:dyDescent="0.3">
      <c r="A46" s="1"/>
      <c r="B46" s="6">
        <v>12210</v>
      </c>
      <c r="C46" s="7" t="s">
        <v>43</v>
      </c>
      <c r="D46" s="18">
        <v>41147</v>
      </c>
      <c r="E46" s="7"/>
      <c r="F46" s="39"/>
      <c r="G46" s="1"/>
      <c r="H46" s="1"/>
      <c r="I46" s="1"/>
    </row>
    <row r="47" spans="1:9" ht="16.5" x14ac:dyDescent="0.3">
      <c r="A47" s="1"/>
      <c r="B47" s="6">
        <v>12211</v>
      </c>
      <c r="C47" s="7" t="s">
        <v>44</v>
      </c>
      <c r="D47" s="18">
        <v>1225</v>
      </c>
      <c r="E47" s="7"/>
      <c r="F47" s="39"/>
      <c r="G47" s="1"/>
      <c r="H47" s="1"/>
      <c r="I47" s="1"/>
    </row>
    <row r="48" spans="1:9" ht="16.5" x14ac:dyDescent="0.3">
      <c r="A48" s="1"/>
      <c r="B48" s="6"/>
      <c r="C48" s="7"/>
      <c r="D48" s="18" t="s">
        <v>8</v>
      </c>
      <c r="E48" s="7"/>
      <c r="F48" s="39"/>
      <c r="G48" s="1"/>
      <c r="H48" s="1"/>
      <c r="I48" s="1"/>
    </row>
    <row r="49" spans="1:9" ht="16.5" x14ac:dyDescent="0.3">
      <c r="A49" s="1"/>
      <c r="B49" s="4">
        <v>14</v>
      </c>
      <c r="C49" s="5" t="s">
        <v>45</v>
      </c>
      <c r="D49" s="17" t="s">
        <v>8</v>
      </c>
      <c r="E49" s="7"/>
      <c r="F49" s="34">
        <f>SUM(E50:E52)</f>
        <v>333897.8</v>
      </c>
      <c r="G49" s="1"/>
      <c r="H49" s="1"/>
      <c r="I49" s="1"/>
    </row>
    <row r="50" spans="1:9" ht="16.5" x14ac:dyDescent="0.3">
      <c r="A50" s="1"/>
      <c r="B50" s="4">
        <v>142</v>
      </c>
      <c r="C50" s="5" t="s">
        <v>46</v>
      </c>
      <c r="D50" s="17" t="s">
        <v>8</v>
      </c>
      <c r="E50" s="20">
        <f>SUM(D51:D52)</f>
        <v>333897.8</v>
      </c>
      <c r="F50" s="39"/>
      <c r="G50" s="1"/>
      <c r="H50" s="1"/>
      <c r="I50" s="1"/>
    </row>
    <row r="51" spans="1:9" ht="16.5" x14ac:dyDescent="0.3">
      <c r="A51" s="1"/>
      <c r="B51" s="6">
        <v>14201</v>
      </c>
      <c r="C51" s="7" t="s">
        <v>47</v>
      </c>
      <c r="D51" s="18">
        <v>322000.8</v>
      </c>
      <c r="E51" s="7"/>
      <c r="F51" s="39"/>
      <c r="G51" s="1"/>
      <c r="H51" s="1"/>
      <c r="I51" s="1"/>
    </row>
    <row r="52" spans="1:9" ht="16.5" x14ac:dyDescent="0.3">
      <c r="A52" s="1"/>
      <c r="B52" s="6">
        <v>14299</v>
      </c>
      <c r="C52" s="7" t="s">
        <v>48</v>
      </c>
      <c r="D52" s="18">
        <v>11897</v>
      </c>
      <c r="E52" s="7"/>
      <c r="F52" s="39"/>
      <c r="G52" s="1"/>
      <c r="H52" s="1"/>
      <c r="I52" s="1"/>
    </row>
    <row r="53" spans="1:9" ht="16.5" x14ac:dyDescent="0.3">
      <c r="A53" s="1"/>
      <c r="B53" s="6"/>
      <c r="C53" s="7"/>
      <c r="D53" s="18" t="s">
        <v>8</v>
      </c>
      <c r="E53" s="7"/>
      <c r="F53" s="39"/>
      <c r="G53" s="1"/>
      <c r="H53" s="1"/>
      <c r="I53" s="1"/>
    </row>
    <row r="54" spans="1:9" ht="16.5" x14ac:dyDescent="0.3">
      <c r="A54" s="1"/>
      <c r="B54" s="4">
        <v>15</v>
      </c>
      <c r="C54" s="5" t="s">
        <v>4</v>
      </c>
      <c r="D54" s="17" t="s">
        <v>8</v>
      </c>
      <c r="E54" s="7"/>
      <c r="F54" s="34">
        <f>SUM(E55:E61)</f>
        <v>147317</v>
      </c>
      <c r="G54" s="1"/>
      <c r="H54" s="1"/>
      <c r="I54" s="1"/>
    </row>
    <row r="55" spans="1:9" ht="16.5" x14ac:dyDescent="0.3">
      <c r="A55" s="1"/>
      <c r="B55" s="4">
        <v>153</v>
      </c>
      <c r="C55" s="5" t="s">
        <v>49</v>
      </c>
      <c r="D55" s="17" t="s">
        <v>8</v>
      </c>
      <c r="E55" s="20">
        <f>SUM(D56:D58)</f>
        <v>19812</v>
      </c>
      <c r="F55" s="39"/>
      <c r="G55" s="1"/>
      <c r="H55" s="1"/>
      <c r="I55" s="1"/>
    </row>
    <row r="56" spans="1:9" ht="16.5" x14ac:dyDescent="0.3">
      <c r="A56" s="1"/>
      <c r="B56" s="6">
        <v>15302</v>
      </c>
      <c r="C56" s="7" t="s">
        <v>50</v>
      </c>
      <c r="D56" s="18">
        <v>10280</v>
      </c>
      <c r="E56" s="7"/>
      <c r="F56" s="39"/>
      <c r="G56" s="1"/>
      <c r="H56" s="1"/>
      <c r="I56" s="1"/>
    </row>
    <row r="57" spans="1:9" ht="16.5" x14ac:dyDescent="0.3">
      <c r="A57" s="1"/>
      <c r="B57" s="6">
        <v>15312</v>
      </c>
      <c r="C57" s="7" t="s">
        <v>51</v>
      </c>
      <c r="D57" s="18">
        <v>251</v>
      </c>
      <c r="E57" s="7"/>
      <c r="F57" s="39"/>
      <c r="G57" s="1"/>
      <c r="H57" s="1"/>
      <c r="I57" s="1"/>
    </row>
    <row r="58" spans="1:9" ht="16.5" x14ac:dyDescent="0.3">
      <c r="A58" s="1"/>
      <c r="B58" s="6">
        <v>15314</v>
      </c>
      <c r="C58" s="7" t="s">
        <v>52</v>
      </c>
      <c r="D58" s="18">
        <v>9281</v>
      </c>
      <c r="E58" s="7"/>
      <c r="F58" s="39"/>
      <c r="G58" s="1"/>
      <c r="H58" s="1"/>
      <c r="I58" s="1"/>
    </row>
    <row r="59" spans="1:9" ht="16.5" x14ac:dyDescent="0.3">
      <c r="A59" s="1"/>
      <c r="B59" s="4">
        <v>154</v>
      </c>
      <c r="C59" s="5" t="s">
        <v>53</v>
      </c>
      <c r="D59" s="17" t="s">
        <v>8</v>
      </c>
      <c r="E59" s="20">
        <f>+D60</f>
        <v>1205</v>
      </c>
      <c r="F59" s="39"/>
      <c r="G59" s="1"/>
      <c r="H59" s="1"/>
      <c r="I59" s="1"/>
    </row>
    <row r="60" spans="1:9" ht="16.5" x14ac:dyDescent="0.3">
      <c r="A60" s="1"/>
      <c r="B60" s="6">
        <v>15402</v>
      </c>
      <c r="C60" s="7" t="s">
        <v>54</v>
      </c>
      <c r="D60" s="18">
        <v>1205</v>
      </c>
      <c r="E60" s="7"/>
      <c r="F60" s="39"/>
      <c r="G60" s="1"/>
      <c r="H60" s="1"/>
      <c r="I60" s="1"/>
    </row>
    <row r="61" spans="1:9" ht="16.5" x14ac:dyDescent="0.3">
      <c r="A61" s="1"/>
      <c r="B61" s="4">
        <v>157</v>
      </c>
      <c r="C61" s="5" t="s">
        <v>5</v>
      </c>
      <c r="D61" s="17"/>
      <c r="E61" s="20">
        <f>SUM(D62:D63)</f>
        <v>126300</v>
      </c>
      <c r="F61" s="39"/>
      <c r="G61" s="1"/>
      <c r="H61" s="1"/>
      <c r="I61" s="1"/>
    </row>
    <row r="62" spans="1:9" ht="16.5" x14ac:dyDescent="0.3">
      <c r="A62" s="1"/>
      <c r="B62" s="6">
        <v>15703</v>
      </c>
      <c r="C62" s="7" t="s">
        <v>55</v>
      </c>
      <c r="D62" s="18"/>
      <c r="E62" s="7"/>
      <c r="F62" s="39"/>
      <c r="G62" s="1"/>
      <c r="H62" s="1"/>
      <c r="I62" s="1"/>
    </row>
    <row r="63" spans="1:9" ht="16.5" x14ac:dyDescent="0.3">
      <c r="A63" s="1"/>
      <c r="B63" s="6">
        <v>15799</v>
      </c>
      <c r="C63" s="7" t="s">
        <v>56</v>
      </c>
      <c r="D63" s="18">
        <v>126300</v>
      </c>
      <c r="E63" s="7"/>
      <c r="F63" s="39"/>
      <c r="G63" s="1"/>
      <c r="H63" s="1"/>
      <c r="I63" s="1"/>
    </row>
    <row r="64" spans="1:9" ht="16.5" x14ac:dyDescent="0.3">
      <c r="A64" s="1"/>
      <c r="B64" s="6"/>
      <c r="C64" s="7"/>
      <c r="D64" s="18" t="s">
        <v>8</v>
      </c>
      <c r="E64" s="7"/>
      <c r="F64" s="39"/>
      <c r="G64" s="1"/>
      <c r="H64" s="1"/>
      <c r="I64" s="1"/>
    </row>
    <row r="65" spans="1:10" ht="16.5" x14ac:dyDescent="0.3">
      <c r="A65" s="1"/>
      <c r="B65" s="4">
        <v>16</v>
      </c>
      <c r="C65" s="5" t="s">
        <v>57</v>
      </c>
      <c r="D65" s="17" t="s">
        <v>8</v>
      </c>
      <c r="E65" s="7"/>
      <c r="F65" s="34">
        <f>+E66</f>
        <v>465305.41</v>
      </c>
      <c r="G65" s="1"/>
      <c r="H65" s="15"/>
      <c r="I65" s="1"/>
    </row>
    <row r="66" spans="1:10" ht="16.5" x14ac:dyDescent="0.3">
      <c r="A66" s="1"/>
      <c r="B66" s="4">
        <v>162</v>
      </c>
      <c r="C66" s="5" t="s">
        <v>58</v>
      </c>
      <c r="D66" s="17" t="s">
        <v>8</v>
      </c>
      <c r="E66" s="20">
        <f>+D67</f>
        <v>465305.41</v>
      </c>
      <c r="F66" s="39"/>
      <c r="G66" s="1"/>
      <c r="I66" s="1"/>
    </row>
    <row r="67" spans="1:10" ht="16.5" x14ac:dyDescent="0.3">
      <c r="A67" s="1"/>
      <c r="B67" s="6">
        <v>16201</v>
      </c>
      <c r="C67" s="7" t="s">
        <v>58</v>
      </c>
      <c r="D67" s="18">
        <v>465305.41</v>
      </c>
      <c r="E67" s="7"/>
      <c r="F67" s="39"/>
      <c r="G67" s="1"/>
    </row>
    <row r="68" spans="1:10" ht="16.5" x14ac:dyDescent="0.3">
      <c r="A68" s="1"/>
      <c r="B68" s="6"/>
      <c r="C68" s="7"/>
      <c r="D68" s="18" t="s">
        <v>8</v>
      </c>
      <c r="E68" s="7"/>
      <c r="F68" s="39"/>
      <c r="G68" s="1"/>
    </row>
    <row r="69" spans="1:10" ht="16.5" x14ac:dyDescent="0.3">
      <c r="A69" s="1"/>
      <c r="B69" s="4">
        <v>22</v>
      </c>
      <c r="C69" s="5" t="s">
        <v>6</v>
      </c>
      <c r="D69" s="17" t="s">
        <v>8</v>
      </c>
      <c r="E69" s="5"/>
      <c r="F69" s="34">
        <f>SUM(E70:E73)</f>
        <v>1872259.68</v>
      </c>
      <c r="G69" s="1"/>
      <c r="I69" s="1"/>
    </row>
    <row r="70" spans="1:10" ht="16.5" x14ac:dyDescent="0.3">
      <c r="A70" s="1"/>
      <c r="B70" s="4">
        <v>222</v>
      </c>
      <c r="C70" s="5" t="s">
        <v>59</v>
      </c>
      <c r="D70" s="17" t="s">
        <v>8</v>
      </c>
      <c r="E70" s="20">
        <f>SUM(D71:D73)</f>
        <v>1872259.68</v>
      </c>
      <c r="F70" s="40"/>
      <c r="G70" s="1"/>
      <c r="I70" s="1"/>
    </row>
    <row r="71" spans="1:10" ht="16.5" x14ac:dyDescent="0.3">
      <c r="A71" s="1"/>
      <c r="B71" s="6">
        <v>22201</v>
      </c>
      <c r="C71" s="7" t="s">
        <v>59</v>
      </c>
      <c r="D71" s="18">
        <v>1863235.68</v>
      </c>
      <c r="E71" s="7"/>
      <c r="F71" s="39"/>
      <c r="G71" s="1"/>
      <c r="I71" s="1"/>
    </row>
    <row r="72" spans="1:10" ht="16.5" x14ac:dyDescent="0.3">
      <c r="A72" s="1"/>
      <c r="B72" s="6">
        <v>22202</v>
      </c>
      <c r="C72" s="7" t="s">
        <v>188</v>
      </c>
      <c r="D72" s="18"/>
      <c r="E72" s="7"/>
      <c r="F72" s="39"/>
      <c r="G72" s="1"/>
      <c r="I72" s="1"/>
    </row>
    <row r="73" spans="1:10" ht="16.5" x14ac:dyDescent="0.3">
      <c r="A73" s="1"/>
      <c r="B73" s="6">
        <v>22203</v>
      </c>
      <c r="C73" s="7" t="s">
        <v>630</v>
      </c>
      <c r="D73" s="557">
        <v>9024</v>
      </c>
      <c r="E73" s="29"/>
      <c r="F73" s="39"/>
      <c r="G73" s="1"/>
      <c r="I73" s="1"/>
    </row>
    <row r="74" spans="1:10" ht="16.5" x14ac:dyDescent="0.3">
      <c r="A74" s="1"/>
      <c r="B74" s="4">
        <v>223</v>
      </c>
      <c r="C74" s="5" t="s">
        <v>60</v>
      </c>
      <c r="D74" s="18"/>
      <c r="E74" s="20">
        <f>SUM(D75:D76)</f>
        <v>0</v>
      </c>
      <c r="F74" s="39"/>
      <c r="G74" s="1"/>
      <c r="I74" s="1"/>
      <c r="J74" s="89" t="s">
        <v>8</v>
      </c>
    </row>
    <row r="75" spans="1:10" ht="16.5" x14ac:dyDescent="0.3">
      <c r="A75" s="1"/>
      <c r="B75" s="6">
        <v>22301</v>
      </c>
      <c r="C75" s="7" t="s">
        <v>61</v>
      </c>
      <c r="D75" s="18">
        <v>0</v>
      </c>
      <c r="E75" s="7"/>
      <c r="F75" s="39"/>
      <c r="G75" s="1"/>
      <c r="I75" s="1"/>
    </row>
    <row r="76" spans="1:10" ht="16.5" x14ac:dyDescent="0.3">
      <c r="A76" s="1"/>
      <c r="B76" s="6">
        <v>22303</v>
      </c>
      <c r="C76" s="7" t="s">
        <v>187</v>
      </c>
      <c r="D76" s="18">
        <v>0</v>
      </c>
      <c r="E76" s="7"/>
      <c r="F76" s="39"/>
      <c r="G76" s="1"/>
      <c r="H76" s="15"/>
      <c r="I76" s="1"/>
    </row>
    <row r="77" spans="1:10" ht="16.5" x14ac:dyDescent="0.3">
      <c r="A77" s="1"/>
      <c r="B77" s="4">
        <v>31</v>
      </c>
      <c r="C77" s="5" t="s">
        <v>7</v>
      </c>
      <c r="D77" s="17" t="s">
        <v>8</v>
      </c>
      <c r="E77" s="5"/>
      <c r="F77" s="34">
        <f>+E78</f>
        <v>601535.31000000006</v>
      </c>
      <c r="G77" s="1"/>
      <c r="H77" s="15"/>
      <c r="I77" s="1"/>
    </row>
    <row r="78" spans="1:10" ht="16.5" x14ac:dyDescent="0.3">
      <c r="A78" s="1"/>
      <c r="B78" s="4">
        <v>313</v>
      </c>
      <c r="C78" s="5" t="s">
        <v>62</v>
      </c>
      <c r="D78" s="17" t="s">
        <v>8</v>
      </c>
      <c r="E78" s="20">
        <f>+D79</f>
        <v>601535.31000000006</v>
      </c>
      <c r="F78" s="40"/>
      <c r="G78" s="1"/>
      <c r="H78" s="15"/>
      <c r="I78" s="1"/>
    </row>
    <row r="79" spans="1:10" ht="16.5" x14ac:dyDescent="0.3">
      <c r="A79" s="1"/>
      <c r="B79" s="6">
        <v>31304</v>
      </c>
      <c r="C79" s="7" t="s">
        <v>63</v>
      </c>
      <c r="D79" s="18">
        <v>601535.31000000006</v>
      </c>
      <c r="E79" s="7"/>
      <c r="F79" s="39"/>
      <c r="G79" s="1"/>
      <c r="H79" s="1"/>
      <c r="I79" s="1"/>
    </row>
    <row r="80" spans="1:10" ht="16.5" x14ac:dyDescent="0.3">
      <c r="A80" s="1"/>
      <c r="B80" s="6"/>
      <c r="C80" s="7"/>
      <c r="D80" s="18" t="s">
        <v>8</v>
      </c>
      <c r="E80" s="7"/>
      <c r="F80" s="39"/>
      <c r="G80" s="1"/>
      <c r="H80" s="1"/>
      <c r="I80" s="1"/>
    </row>
    <row r="81" spans="1:9" ht="16.5" x14ac:dyDescent="0.3">
      <c r="A81" s="1"/>
      <c r="B81" s="4">
        <v>32</v>
      </c>
      <c r="C81" s="5" t="s">
        <v>64</v>
      </c>
      <c r="D81" s="18"/>
      <c r="E81" s="5"/>
      <c r="F81" s="34">
        <f>+E82+E84</f>
        <v>840368.97</v>
      </c>
      <c r="G81" s="1"/>
      <c r="H81" s="1"/>
      <c r="I81" s="1"/>
    </row>
    <row r="82" spans="1:9" ht="16.5" x14ac:dyDescent="0.3">
      <c r="A82" s="1"/>
      <c r="B82" s="8">
        <v>321</v>
      </c>
      <c r="C82" s="9" t="s">
        <v>65</v>
      </c>
      <c r="D82" s="18"/>
      <c r="E82" s="20">
        <f>+D83</f>
        <v>563443.28</v>
      </c>
      <c r="F82" s="40"/>
      <c r="G82" s="1"/>
      <c r="H82" s="1"/>
      <c r="I82" s="1"/>
    </row>
    <row r="83" spans="1:9" ht="16.5" x14ac:dyDescent="0.3">
      <c r="A83" s="1"/>
      <c r="B83" s="10">
        <v>32102</v>
      </c>
      <c r="C83" s="11" t="s">
        <v>66</v>
      </c>
      <c r="D83" s="19">
        <v>563443.28</v>
      </c>
      <c r="E83" s="33"/>
      <c r="F83" s="580"/>
      <c r="G83" s="1"/>
      <c r="H83" s="1"/>
      <c r="I83" s="1"/>
    </row>
    <row r="84" spans="1:9" ht="16.5" x14ac:dyDescent="0.3">
      <c r="A84" s="1"/>
      <c r="B84" s="581">
        <v>322</v>
      </c>
      <c r="C84" s="582" t="s">
        <v>803</v>
      </c>
      <c r="D84" s="583"/>
      <c r="E84" s="20">
        <f>+D85</f>
        <v>276925.69</v>
      </c>
      <c r="F84" s="20"/>
      <c r="G84" s="1"/>
      <c r="H84" s="1"/>
      <c r="I84" s="1"/>
    </row>
    <row r="85" spans="1:9" ht="17.25" thickBot="1" x14ac:dyDescent="0.35">
      <c r="A85" s="1"/>
      <c r="B85" s="10">
        <v>32201</v>
      </c>
      <c r="C85" s="11" t="s">
        <v>804</v>
      </c>
      <c r="D85" s="19">
        <v>276925.69</v>
      </c>
      <c r="E85" s="11"/>
      <c r="F85" s="41"/>
      <c r="G85" s="1"/>
      <c r="H85" s="1"/>
      <c r="I85" s="1"/>
    </row>
    <row r="86" spans="1:9" ht="17.25" thickBot="1" x14ac:dyDescent="0.35">
      <c r="A86" s="1"/>
      <c r="B86" s="12"/>
      <c r="C86" s="16" t="s">
        <v>67</v>
      </c>
      <c r="D86" s="48">
        <f>SUM(D11:D85)</f>
        <v>5693362.9299999997</v>
      </c>
      <c r="E86" s="48">
        <f>SUM(E10:E85)</f>
        <v>5693362.9300000016</v>
      </c>
      <c r="F86" s="49">
        <f>SUM(F9:F85)</f>
        <v>5693362.9300000006</v>
      </c>
      <c r="G86" s="1"/>
      <c r="H86" s="1"/>
      <c r="I86" s="1"/>
    </row>
    <row r="87" spans="1:9" ht="16.5" x14ac:dyDescent="0.3">
      <c r="A87" s="1"/>
      <c r="B87" s="1"/>
      <c r="C87" s="1"/>
      <c r="D87" s="15" t="s">
        <v>8</v>
      </c>
      <c r="E87" s="1"/>
      <c r="F87" s="1"/>
      <c r="G87" s="1"/>
      <c r="H87" s="1"/>
      <c r="I87" s="1"/>
    </row>
    <row r="88" spans="1:9" ht="16.5" x14ac:dyDescent="0.3">
      <c r="A88" s="1"/>
      <c r="B88" s="1"/>
      <c r="C88" s="1"/>
      <c r="D88" s="1"/>
      <c r="E88" s="1"/>
      <c r="F88" s="1"/>
      <c r="H88" s="1"/>
      <c r="I88" s="1"/>
    </row>
    <row r="89" spans="1:9" ht="16.5" x14ac:dyDescent="0.3">
      <c r="A89" s="1"/>
      <c r="B89" s="1"/>
      <c r="C89" s="1"/>
      <c r="D89" s="1"/>
      <c r="E89" s="1"/>
      <c r="F89" s="1"/>
      <c r="H89" s="1"/>
      <c r="I89" s="1"/>
    </row>
    <row r="90" spans="1:9" ht="16.5" x14ac:dyDescent="0.3">
      <c r="A90" s="1"/>
      <c r="B90" s="1"/>
      <c r="C90" s="1"/>
      <c r="D90" s="1"/>
      <c r="E90" s="1"/>
      <c r="F90" s="1"/>
      <c r="H90" s="1"/>
      <c r="I90" s="1"/>
    </row>
    <row r="91" spans="1:9" ht="16.5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ht="16.5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ht="16.5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ht="16.5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ht="16.5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ht="16.5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ht="16.5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ht="16.5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ht="16.5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ht="16.5" x14ac:dyDescent="0.3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6.5" x14ac:dyDescent="0.3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6.5" x14ac:dyDescent="0.3">
      <c r="A102" s="1"/>
      <c r="B102" s="1"/>
      <c r="C102" s="1"/>
      <c r="D102" s="1"/>
      <c r="E102" s="1"/>
      <c r="F102" s="1"/>
      <c r="G102" s="1"/>
      <c r="H102" s="1"/>
      <c r="I102" s="1"/>
    </row>
  </sheetData>
  <mergeCells count="5">
    <mergeCell ref="B6:F6"/>
    <mergeCell ref="B1:F1"/>
    <mergeCell ref="B2:F2"/>
    <mergeCell ref="B3:F3"/>
    <mergeCell ref="B5:F5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zoomScale="130" zoomScaleNormal="13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13" sqref="J13"/>
    </sheetView>
  </sheetViews>
  <sheetFormatPr baseColWidth="10" defaultRowHeight="15" x14ac:dyDescent="0.25"/>
  <cols>
    <col min="1" max="1" width="10.42578125" customWidth="1"/>
    <col min="2" max="2" width="19.85546875" customWidth="1"/>
    <col min="3" max="3" width="12.7109375" customWidth="1"/>
    <col min="4" max="4" width="12.5703125" customWidth="1"/>
    <col min="5" max="5" width="14.7109375" customWidth="1"/>
    <col min="6" max="6" width="15.28515625" customWidth="1"/>
    <col min="7" max="7" width="13.7109375" customWidth="1"/>
    <col min="8" max="8" width="13.85546875" customWidth="1"/>
    <col min="9" max="9" width="16" customWidth="1"/>
  </cols>
  <sheetData>
    <row r="1" spans="1:9" x14ac:dyDescent="0.25">
      <c r="A1" s="714" t="s">
        <v>524</v>
      </c>
      <c r="B1" s="714"/>
      <c r="C1" s="714"/>
      <c r="D1" s="714"/>
      <c r="E1" s="714"/>
      <c r="F1" s="714"/>
      <c r="G1" s="714"/>
      <c r="H1" s="714"/>
    </row>
    <row r="2" spans="1:9" ht="15.75" x14ac:dyDescent="0.25">
      <c r="A2" s="684" t="s">
        <v>693</v>
      </c>
      <c r="B2" s="684"/>
      <c r="C2" s="684"/>
      <c r="D2" s="684"/>
      <c r="E2" s="684"/>
      <c r="F2" s="684"/>
      <c r="G2" s="684"/>
      <c r="H2" s="684"/>
    </row>
    <row r="3" spans="1:9" x14ac:dyDescent="0.25">
      <c r="A3" s="459"/>
      <c r="B3" s="459"/>
      <c r="C3" s="460" t="s">
        <v>691</v>
      </c>
      <c r="D3" s="459"/>
      <c r="E3" s="459"/>
      <c r="F3" s="459"/>
      <c r="G3" s="459"/>
      <c r="H3" s="459"/>
    </row>
    <row r="4" spans="1:9" x14ac:dyDescent="0.25">
      <c r="A4" s="461" t="s">
        <v>525</v>
      </c>
      <c r="B4" s="461" t="s">
        <v>526</v>
      </c>
      <c r="C4" s="461">
        <v>2016</v>
      </c>
      <c r="D4" s="461">
        <v>2017</v>
      </c>
      <c r="E4" s="462">
        <v>2018</v>
      </c>
      <c r="F4" s="462">
        <v>2019</v>
      </c>
      <c r="G4" s="462">
        <v>2020</v>
      </c>
      <c r="H4" s="462" t="s">
        <v>692</v>
      </c>
      <c r="I4" s="562" t="s">
        <v>634</v>
      </c>
    </row>
    <row r="5" spans="1:9" x14ac:dyDescent="0.25">
      <c r="A5" s="461"/>
      <c r="B5" s="461"/>
      <c r="C5" s="462"/>
      <c r="D5" s="461"/>
      <c r="E5" s="462"/>
      <c r="F5" s="462"/>
      <c r="G5" s="462"/>
      <c r="H5" s="462"/>
      <c r="I5" s="562"/>
    </row>
    <row r="6" spans="1:9" x14ac:dyDescent="0.25">
      <c r="A6" s="463">
        <v>11801</v>
      </c>
      <c r="B6" s="464" t="s">
        <v>527</v>
      </c>
      <c r="C6" s="552">
        <v>247744</v>
      </c>
      <c r="D6" s="553">
        <v>238591.5</v>
      </c>
      <c r="E6" s="553">
        <v>185377.7</v>
      </c>
      <c r="F6" s="553">
        <v>197278.4</v>
      </c>
      <c r="G6" s="553">
        <f>2*(76713.3)</f>
        <v>153426.6</v>
      </c>
      <c r="H6" s="574">
        <f t="shared" ref="H6:H23" si="0">ROUND((G6+(G6*$F$92)),0)</f>
        <v>152656</v>
      </c>
      <c r="I6" s="576">
        <v>221544</v>
      </c>
    </row>
    <row r="7" spans="1:9" x14ac:dyDescent="0.25">
      <c r="A7" s="463">
        <v>11802</v>
      </c>
      <c r="B7" s="464" t="s">
        <v>528</v>
      </c>
      <c r="C7" s="552">
        <v>2738</v>
      </c>
      <c r="D7" s="553">
        <v>937.26</v>
      </c>
      <c r="E7" s="553">
        <v>11359.28</v>
      </c>
      <c r="F7" s="553">
        <v>29640.38</v>
      </c>
      <c r="G7" s="553">
        <f>2*(669.8)</f>
        <v>1339.6</v>
      </c>
      <c r="H7" s="574">
        <f t="shared" si="0"/>
        <v>1333</v>
      </c>
      <c r="I7" s="563">
        <v>35635.440000000002</v>
      </c>
    </row>
    <row r="8" spans="1:9" x14ac:dyDescent="0.25">
      <c r="A8" s="463">
        <v>11803</v>
      </c>
      <c r="B8" s="464" t="s">
        <v>529</v>
      </c>
      <c r="C8" s="552">
        <v>132185</v>
      </c>
      <c r="D8" s="553">
        <v>122222.72</v>
      </c>
      <c r="E8" s="553">
        <v>113135.36</v>
      </c>
      <c r="F8" s="553">
        <v>125648.16</v>
      </c>
      <c r="G8" s="553">
        <f>2*(67401.55)</f>
        <v>134803.1</v>
      </c>
      <c r="H8" s="574">
        <f t="shared" si="0"/>
        <v>134126</v>
      </c>
      <c r="I8" s="563">
        <v>145490.28</v>
      </c>
    </row>
    <row r="9" spans="1:9" x14ac:dyDescent="0.25">
      <c r="A9" s="463">
        <v>11804</v>
      </c>
      <c r="B9" s="464" t="s">
        <v>530</v>
      </c>
      <c r="C9" s="552">
        <v>4684</v>
      </c>
      <c r="D9" s="553">
        <v>2287.11</v>
      </c>
      <c r="E9" s="553">
        <v>1901.72</v>
      </c>
      <c r="F9" s="553">
        <v>2296.88</v>
      </c>
      <c r="G9" s="553">
        <f>2*(1029.8)</f>
        <v>2059.6</v>
      </c>
      <c r="H9" s="574">
        <f t="shared" si="0"/>
        <v>2049</v>
      </c>
      <c r="I9" s="563">
        <v>4826.04</v>
      </c>
    </row>
    <row r="10" spans="1:9" x14ac:dyDescent="0.25">
      <c r="A10" s="463">
        <v>11805</v>
      </c>
      <c r="B10" s="464" t="s">
        <v>531</v>
      </c>
      <c r="C10" s="552">
        <v>22370</v>
      </c>
      <c r="D10" s="553">
        <v>22909.72</v>
      </c>
      <c r="E10" s="553">
        <v>17126.38</v>
      </c>
      <c r="F10" s="553">
        <v>51185.67</v>
      </c>
      <c r="G10" s="553">
        <f>2*(28236.75)</f>
        <v>56473.5</v>
      </c>
      <c r="H10" s="574">
        <f t="shared" si="0"/>
        <v>56190</v>
      </c>
      <c r="I10" s="563">
        <v>59919.72</v>
      </c>
    </row>
    <row r="11" spans="1:9" x14ac:dyDescent="0.25">
      <c r="A11" s="463">
        <v>11806</v>
      </c>
      <c r="B11" s="464" t="s">
        <v>532</v>
      </c>
      <c r="C11" s="552">
        <v>7646</v>
      </c>
      <c r="D11" s="553">
        <v>3437.57</v>
      </c>
      <c r="E11" s="553">
        <v>1295.6400000000001</v>
      </c>
      <c r="F11" s="553">
        <v>4208.5200000000004</v>
      </c>
      <c r="G11" s="553">
        <f>2*(718.71)</f>
        <v>1437.42</v>
      </c>
      <c r="H11" s="574">
        <f t="shared" si="0"/>
        <v>1430</v>
      </c>
      <c r="I11" s="563">
        <v>4428.04</v>
      </c>
    </row>
    <row r="12" spans="1:9" x14ac:dyDescent="0.25">
      <c r="A12" s="463">
        <v>11808</v>
      </c>
      <c r="B12" s="464" t="s">
        <v>533</v>
      </c>
      <c r="C12" s="552">
        <v>296</v>
      </c>
      <c r="D12" s="553">
        <v>74.23</v>
      </c>
      <c r="E12" s="553">
        <v>125.62</v>
      </c>
      <c r="F12" s="553">
        <v>19.57</v>
      </c>
      <c r="G12" s="553">
        <f>2*(13.74)</f>
        <v>27.48</v>
      </c>
      <c r="H12" s="574">
        <f t="shared" si="0"/>
        <v>27</v>
      </c>
      <c r="I12" s="563">
        <v>219.36</v>
      </c>
    </row>
    <row r="13" spans="1:9" x14ac:dyDescent="0.25">
      <c r="A13" s="463">
        <v>11809</v>
      </c>
      <c r="B13" s="464" t="s">
        <v>534</v>
      </c>
      <c r="C13" s="552">
        <v>70</v>
      </c>
      <c r="D13" s="553">
        <v>34.520000000000003</v>
      </c>
      <c r="E13" s="553">
        <v>34.32</v>
      </c>
      <c r="F13" s="553">
        <v>24.51</v>
      </c>
      <c r="G13" s="553">
        <v>0</v>
      </c>
      <c r="H13" s="574">
        <f t="shared" si="0"/>
        <v>0</v>
      </c>
      <c r="I13" s="563">
        <v>24.17</v>
      </c>
    </row>
    <row r="14" spans="1:9" x14ac:dyDescent="0.25">
      <c r="A14" s="463">
        <v>11810</v>
      </c>
      <c r="B14" s="464" t="s">
        <v>535</v>
      </c>
      <c r="C14" s="552">
        <v>622</v>
      </c>
      <c r="D14" s="553">
        <v>349.68</v>
      </c>
      <c r="E14" s="553">
        <v>450.22</v>
      </c>
      <c r="F14" s="553">
        <v>425.11</v>
      </c>
      <c r="G14" s="553">
        <f>2*(148.58)</f>
        <v>297.16000000000003</v>
      </c>
      <c r="H14" s="574">
        <f t="shared" si="0"/>
        <v>296</v>
      </c>
      <c r="I14" s="563">
        <v>596.52</v>
      </c>
    </row>
    <row r="15" spans="1:9" x14ac:dyDescent="0.25">
      <c r="A15" s="463">
        <v>11811</v>
      </c>
      <c r="B15" s="464" t="s">
        <v>536</v>
      </c>
      <c r="C15" s="465"/>
      <c r="D15" s="465"/>
      <c r="E15" s="553"/>
      <c r="F15" s="553"/>
      <c r="G15" s="553">
        <v>0</v>
      </c>
      <c r="H15" s="574">
        <f t="shared" si="0"/>
        <v>0</v>
      </c>
      <c r="I15" s="563"/>
    </row>
    <row r="16" spans="1:9" x14ac:dyDescent="0.25">
      <c r="A16" s="463">
        <v>11812</v>
      </c>
      <c r="B16" s="464" t="s">
        <v>537</v>
      </c>
      <c r="C16" s="552">
        <v>2567</v>
      </c>
      <c r="D16" s="552">
        <v>5324.62</v>
      </c>
      <c r="E16" s="553">
        <v>6432.78</v>
      </c>
      <c r="F16" s="553">
        <v>5464.76</v>
      </c>
      <c r="G16" s="553">
        <f>2*(1716.69)</f>
        <v>3433.38</v>
      </c>
      <c r="H16" s="574">
        <f t="shared" si="0"/>
        <v>3416</v>
      </c>
      <c r="I16" s="563">
        <v>7952.4</v>
      </c>
    </row>
    <row r="17" spans="1:9" x14ac:dyDescent="0.25">
      <c r="A17" s="463">
        <v>11813</v>
      </c>
      <c r="B17" s="464" t="s">
        <v>538</v>
      </c>
      <c r="C17" s="552">
        <v>6186</v>
      </c>
      <c r="D17" s="552">
        <v>4062.18</v>
      </c>
      <c r="E17" s="553">
        <v>3273.74</v>
      </c>
      <c r="F17" s="553">
        <v>3300.27</v>
      </c>
      <c r="G17" s="553">
        <f>2*(1474.04)</f>
        <v>2948.08</v>
      </c>
      <c r="H17" s="574">
        <f t="shared" si="0"/>
        <v>2933</v>
      </c>
      <c r="I17" s="563">
        <v>5656.2</v>
      </c>
    </row>
    <row r="18" spans="1:9" x14ac:dyDescent="0.25">
      <c r="A18" s="463">
        <v>11814</v>
      </c>
      <c r="B18" s="464" t="s">
        <v>539</v>
      </c>
      <c r="C18" s="552">
        <v>3501</v>
      </c>
      <c r="D18" s="552">
        <v>1491.18</v>
      </c>
      <c r="E18" s="553">
        <v>1199.8</v>
      </c>
      <c r="F18" s="553">
        <v>1160.6199999999999</v>
      </c>
      <c r="G18" s="553">
        <f>2*(574.19)</f>
        <v>1148.3800000000001</v>
      </c>
      <c r="H18" s="574">
        <f t="shared" si="0"/>
        <v>1143</v>
      </c>
      <c r="I18" s="563">
        <v>3188.04</v>
      </c>
    </row>
    <row r="19" spans="1:9" x14ac:dyDescent="0.25">
      <c r="A19" s="463">
        <v>11815</v>
      </c>
      <c r="B19" s="464" t="s">
        <v>540</v>
      </c>
      <c r="C19" s="552">
        <v>1393</v>
      </c>
      <c r="D19" s="552">
        <v>1097.8699999999999</v>
      </c>
      <c r="E19" s="553">
        <v>1039.02</v>
      </c>
      <c r="F19" s="553">
        <v>1031.67</v>
      </c>
      <c r="G19" s="553">
        <f>2*(521.2)</f>
        <v>1042.4000000000001</v>
      </c>
      <c r="H19" s="574">
        <f t="shared" si="0"/>
        <v>1037</v>
      </c>
      <c r="I19" s="563">
        <v>1090.44</v>
      </c>
    </row>
    <row r="20" spans="1:9" x14ac:dyDescent="0.25">
      <c r="A20" s="463">
        <v>11816</v>
      </c>
      <c r="B20" s="464" t="s">
        <v>541</v>
      </c>
      <c r="C20" s="552">
        <v>8822</v>
      </c>
      <c r="D20" s="552">
        <v>4290.32</v>
      </c>
      <c r="E20" s="553">
        <v>4146.2</v>
      </c>
      <c r="F20" s="553">
        <v>3493.52</v>
      </c>
      <c r="G20" s="553">
        <f>2*(460.58)</f>
        <v>921.16</v>
      </c>
      <c r="H20" s="574">
        <f t="shared" si="0"/>
        <v>917</v>
      </c>
      <c r="I20" s="563">
        <v>8084.16</v>
      </c>
    </row>
    <row r="21" spans="1:9" x14ac:dyDescent="0.25">
      <c r="A21" s="463">
        <v>11817</v>
      </c>
      <c r="B21" s="464" t="s">
        <v>542</v>
      </c>
      <c r="C21" s="552">
        <v>2640</v>
      </c>
      <c r="D21" s="552">
        <v>3243.96</v>
      </c>
      <c r="E21" s="553">
        <v>2870.44</v>
      </c>
      <c r="F21" s="553">
        <v>3722.55</v>
      </c>
      <c r="G21" s="553">
        <f>2*(1462.14)</f>
        <v>2924.28</v>
      </c>
      <c r="H21" s="574">
        <f t="shared" si="0"/>
        <v>2910</v>
      </c>
      <c r="I21" s="563">
        <v>4420.5600000000004</v>
      </c>
    </row>
    <row r="22" spans="1:9" x14ac:dyDescent="0.25">
      <c r="A22" s="463">
        <v>11818</v>
      </c>
      <c r="B22" s="464" t="s">
        <v>543</v>
      </c>
      <c r="C22" s="552">
        <v>2718</v>
      </c>
      <c r="D22" s="552">
        <v>2151.75</v>
      </c>
      <c r="E22" s="553">
        <v>1948.24</v>
      </c>
      <c r="F22" s="553">
        <v>2063.88</v>
      </c>
      <c r="G22" s="553">
        <f>2*(425.32)</f>
        <v>850.64</v>
      </c>
      <c r="H22" s="574">
        <f t="shared" si="0"/>
        <v>846</v>
      </c>
      <c r="I22" s="563">
        <v>2261</v>
      </c>
    </row>
    <row r="23" spans="1:9" x14ac:dyDescent="0.25">
      <c r="A23" s="463">
        <v>11899</v>
      </c>
      <c r="B23" s="464" t="s">
        <v>544</v>
      </c>
      <c r="C23" s="552">
        <v>5778</v>
      </c>
      <c r="D23" s="552">
        <v>5003.4799999999996</v>
      </c>
      <c r="E23" s="553">
        <v>4511.34</v>
      </c>
      <c r="F23" s="553">
        <v>4806.7700000000004</v>
      </c>
      <c r="G23" s="553">
        <f>2*(927.06)</f>
        <v>1854.12</v>
      </c>
      <c r="H23" s="574">
        <f t="shared" si="0"/>
        <v>1845</v>
      </c>
      <c r="I23" s="563">
        <v>5235</v>
      </c>
    </row>
    <row r="24" spans="1:9" x14ac:dyDescent="0.25">
      <c r="A24" s="463"/>
      <c r="B24" s="464"/>
      <c r="C24" s="466"/>
      <c r="D24" s="473"/>
      <c r="E24" s="553"/>
      <c r="F24" s="553"/>
      <c r="G24" s="553"/>
      <c r="H24" s="574"/>
      <c r="I24" s="563"/>
    </row>
    <row r="25" spans="1:9" x14ac:dyDescent="0.25">
      <c r="A25" s="463">
        <v>12105</v>
      </c>
      <c r="B25" s="464" t="s">
        <v>545</v>
      </c>
      <c r="C25" s="552">
        <v>25269</v>
      </c>
      <c r="D25" s="473">
        <v>25137.35</v>
      </c>
      <c r="E25" s="553">
        <v>20928.259999999998</v>
      </c>
      <c r="F25" s="553">
        <v>23075.22</v>
      </c>
      <c r="G25" s="553">
        <f>2*(6730.34)</f>
        <v>13460.68</v>
      </c>
      <c r="H25" s="574">
        <f t="shared" ref="H25:H49" si="1">ROUND((G25+(G25*$F$92)),0)</f>
        <v>13393</v>
      </c>
      <c r="I25" s="563">
        <v>13445</v>
      </c>
    </row>
    <row r="26" spans="1:9" x14ac:dyDescent="0.25">
      <c r="A26" s="463">
        <v>12106</v>
      </c>
      <c r="B26" s="464" t="s">
        <v>546</v>
      </c>
      <c r="C26" s="552">
        <v>80</v>
      </c>
      <c r="D26" s="473">
        <v>76.5</v>
      </c>
      <c r="E26" s="553">
        <v>45.56</v>
      </c>
      <c r="F26" s="553">
        <v>64.7</v>
      </c>
      <c r="G26" s="553">
        <f>2*(9.86)</f>
        <v>19.72</v>
      </c>
      <c r="H26" s="574">
        <f t="shared" si="1"/>
        <v>20</v>
      </c>
      <c r="I26" s="563">
        <v>53</v>
      </c>
    </row>
    <row r="27" spans="1:9" x14ac:dyDescent="0.25">
      <c r="A27" s="463">
        <v>12108</v>
      </c>
      <c r="B27" s="464" t="s">
        <v>547</v>
      </c>
      <c r="C27" s="552">
        <v>40613</v>
      </c>
      <c r="D27" s="473">
        <v>39508.959999999999</v>
      </c>
      <c r="E27" s="553">
        <v>27704.86</v>
      </c>
      <c r="F27" s="553">
        <v>30404.86</v>
      </c>
      <c r="G27" s="553">
        <f>2*(16036.39)</f>
        <v>32072.78</v>
      </c>
      <c r="H27" s="574">
        <f t="shared" si="1"/>
        <v>31912</v>
      </c>
      <c r="I27" s="563">
        <v>44538.93</v>
      </c>
    </row>
    <row r="28" spans="1:9" x14ac:dyDescent="0.25">
      <c r="A28" s="463">
        <v>12109</v>
      </c>
      <c r="B28" s="464" t="s">
        <v>548</v>
      </c>
      <c r="C28" s="552">
        <v>101537</v>
      </c>
      <c r="D28" s="473">
        <v>92370.23</v>
      </c>
      <c r="E28" s="553">
        <v>68784.72</v>
      </c>
      <c r="F28" s="553">
        <v>72424.86</v>
      </c>
      <c r="G28" s="553">
        <f>2*(34820.79)</f>
        <v>69641.58</v>
      </c>
      <c r="H28" s="574">
        <f t="shared" si="1"/>
        <v>69292</v>
      </c>
      <c r="I28" s="563">
        <v>192762.74</v>
      </c>
    </row>
    <row r="29" spans="1:9" x14ac:dyDescent="0.25">
      <c r="A29" s="463">
        <v>12110</v>
      </c>
      <c r="B29" s="464" t="s">
        <v>549</v>
      </c>
      <c r="C29" s="473"/>
      <c r="D29" s="473"/>
      <c r="E29" s="553"/>
      <c r="F29" s="553"/>
      <c r="G29" s="553"/>
      <c r="H29" s="574">
        <f t="shared" si="1"/>
        <v>0</v>
      </c>
      <c r="I29" s="563"/>
    </row>
    <row r="30" spans="1:9" x14ac:dyDescent="0.25">
      <c r="A30" s="463">
        <v>12111</v>
      </c>
      <c r="B30" s="464" t="s">
        <v>550</v>
      </c>
      <c r="C30" s="552">
        <v>6033</v>
      </c>
      <c r="D30" s="473">
        <v>5740.76</v>
      </c>
      <c r="E30" s="553">
        <v>5493.3</v>
      </c>
      <c r="F30" s="553">
        <v>4924.54</v>
      </c>
      <c r="G30" s="553">
        <f>2*(3054.56)</f>
        <v>6109.12</v>
      </c>
      <c r="H30" s="574">
        <f t="shared" si="1"/>
        <v>6078</v>
      </c>
      <c r="I30" s="563">
        <v>6102</v>
      </c>
    </row>
    <row r="31" spans="1:9" x14ac:dyDescent="0.25">
      <c r="A31" s="463">
        <v>12112</v>
      </c>
      <c r="B31" s="464" t="s">
        <v>551</v>
      </c>
      <c r="C31" s="552">
        <v>103029</v>
      </c>
      <c r="D31" s="473">
        <v>99171.71</v>
      </c>
      <c r="E31" s="553">
        <v>64590.58</v>
      </c>
      <c r="F31" s="553">
        <v>68087.94</v>
      </c>
      <c r="G31" s="553">
        <f>2*(32275.08)</f>
        <v>64550.16</v>
      </c>
      <c r="H31" s="574">
        <f t="shared" si="1"/>
        <v>64226</v>
      </c>
      <c r="I31" s="563">
        <v>84475</v>
      </c>
    </row>
    <row r="32" spans="1:9" x14ac:dyDescent="0.25">
      <c r="A32" s="463">
        <v>12114</v>
      </c>
      <c r="B32" s="464" t="s">
        <v>552</v>
      </c>
      <c r="C32" s="552">
        <v>63868</v>
      </c>
      <c r="D32" s="473">
        <v>77927.28</v>
      </c>
      <c r="E32" s="553">
        <v>60825.96</v>
      </c>
      <c r="F32" s="553">
        <v>70165.22</v>
      </c>
      <c r="G32" s="553">
        <f>2*(30922.56)</f>
        <v>61845.120000000003</v>
      </c>
      <c r="H32" s="574">
        <f t="shared" si="1"/>
        <v>61535</v>
      </c>
      <c r="I32" s="563">
        <v>81773</v>
      </c>
    </row>
    <row r="33" spans="1:9" x14ac:dyDescent="0.25">
      <c r="A33" s="463">
        <v>12115</v>
      </c>
      <c r="B33" s="464" t="s">
        <v>553</v>
      </c>
      <c r="C33" s="552">
        <v>126475</v>
      </c>
      <c r="D33" s="473">
        <v>125064.47</v>
      </c>
      <c r="E33" s="553">
        <v>93253.36</v>
      </c>
      <c r="F33" s="553">
        <v>106179.68</v>
      </c>
      <c r="G33" s="553">
        <f>2*(37110.16)</f>
        <v>74220.320000000007</v>
      </c>
      <c r="H33" s="574">
        <f t="shared" si="1"/>
        <v>73848</v>
      </c>
      <c r="I33" s="563">
        <v>127625.04</v>
      </c>
    </row>
    <row r="34" spans="1:9" x14ac:dyDescent="0.25">
      <c r="A34" s="463">
        <v>12117</v>
      </c>
      <c r="B34" s="464" t="s">
        <v>554</v>
      </c>
      <c r="C34" s="552">
        <v>29455</v>
      </c>
      <c r="D34" s="473">
        <v>25362.35</v>
      </c>
      <c r="E34" s="553">
        <v>31873.66</v>
      </c>
      <c r="F34" s="553">
        <v>26381.31</v>
      </c>
      <c r="G34" s="553">
        <f>2*(13500.35)</f>
        <v>27000.7</v>
      </c>
      <c r="H34" s="574">
        <f t="shared" si="1"/>
        <v>26865</v>
      </c>
      <c r="I34" s="563">
        <v>38962.68</v>
      </c>
    </row>
    <row r="35" spans="1:9" x14ac:dyDescent="0.25">
      <c r="A35" s="463">
        <v>12118</v>
      </c>
      <c r="B35" s="464" t="s">
        <v>555</v>
      </c>
      <c r="C35" s="552">
        <v>73512</v>
      </c>
      <c r="D35" s="473">
        <v>78820</v>
      </c>
      <c r="E35" s="553">
        <v>76509.7</v>
      </c>
      <c r="F35" s="553">
        <v>83489.14</v>
      </c>
      <c r="G35" s="553">
        <f>2*(67362)</f>
        <v>134724</v>
      </c>
      <c r="H35" s="574">
        <f t="shared" si="1"/>
        <v>134047</v>
      </c>
      <c r="I35" s="563">
        <v>212856</v>
      </c>
    </row>
    <row r="36" spans="1:9" x14ac:dyDescent="0.25">
      <c r="A36" s="463">
        <v>12119</v>
      </c>
      <c r="B36" s="464" t="s">
        <v>556</v>
      </c>
      <c r="C36" s="552">
        <v>65626</v>
      </c>
      <c r="D36" s="473">
        <v>79626.59</v>
      </c>
      <c r="E36" s="553">
        <v>67356.72</v>
      </c>
      <c r="F36" s="553">
        <v>140125.63</v>
      </c>
      <c r="G36" s="553">
        <f>2*(28255.26)</f>
        <v>56510.52</v>
      </c>
      <c r="H36" s="574">
        <f t="shared" si="1"/>
        <v>56227</v>
      </c>
      <c r="I36" s="563">
        <v>76445</v>
      </c>
    </row>
    <row r="37" spans="1:9" x14ac:dyDescent="0.25">
      <c r="A37" s="463">
        <v>12120</v>
      </c>
      <c r="B37" s="464" t="s">
        <v>557</v>
      </c>
      <c r="C37" s="552">
        <v>36</v>
      </c>
      <c r="D37" s="473">
        <v>54.05</v>
      </c>
      <c r="E37" s="553">
        <v>56</v>
      </c>
      <c r="F37" s="553">
        <v>56</v>
      </c>
      <c r="G37" s="553">
        <v>0</v>
      </c>
      <c r="H37" s="574">
        <f t="shared" si="1"/>
        <v>0</v>
      </c>
      <c r="I37" s="563">
        <v>65</v>
      </c>
    </row>
    <row r="38" spans="1:9" x14ac:dyDescent="0.25">
      <c r="A38" s="463">
        <v>12210</v>
      </c>
      <c r="B38" s="464" t="s">
        <v>558</v>
      </c>
      <c r="C38" s="552">
        <v>49066</v>
      </c>
      <c r="D38" s="473">
        <v>49918.39</v>
      </c>
      <c r="E38" s="553">
        <v>64963.72</v>
      </c>
      <c r="F38" s="553">
        <v>54384.800000000003</v>
      </c>
      <c r="G38" s="553">
        <f>2*(20597.48)</f>
        <v>41194.959999999999</v>
      </c>
      <c r="H38" s="574">
        <f t="shared" si="1"/>
        <v>40988</v>
      </c>
      <c r="I38" s="563">
        <v>41147</v>
      </c>
    </row>
    <row r="39" spans="1:9" x14ac:dyDescent="0.25">
      <c r="A39" s="463">
        <v>12211</v>
      </c>
      <c r="B39" s="464" t="s">
        <v>559</v>
      </c>
      <c r="C39" s="552">
        <v>2233</v>
      </c>
      <c r="D39" s="473">
        <v>2339.9499999999998</v>
      </c>
      <c r="E39" s="553">
        <v>2114.1799999999998</v>
      </c>
      <c r="F39" s="553">
        <v>2241.4899999999998</v>
      </c>
      <c r="G39" s="553">
        <f>2*(613.2)</f>
        <v>1226.4000000000001</v>
      </c>
      <c r="H39" s="574">
        <f t="shared" si="1"/>
        <v>1220</v>
      </c>
      <c r="I39" s="563">
        <v>1225</v>
      </c>
    </row>
    <row r="40" spans="1:9" x14ac:dyDescent="0.25">
      <c r="A40" s="463">
        <v>12208</v>
      </c>
      <c r="B40" s="464" t="s">
        <v>560</v>
      </c>
      <c r="C40" s="552">
        <v>359</v>
      </c>
      <c r="D40" s="473">
        <v>515.26</v>
      </c>
      <c r="E40" s="553">
        <v>902.82</v>
      </c>
      <c r="F40" s="553">
        <v>843.6</v>
      </c>
      <c r="G40" s="553">
        <f>2*(316.13)</f>
        <v>632.26</v>
      </c>
      <c r="H40" s="574">
        <f t="shared" si="1"/>
        <v>629</v>
      </c>
      <c r="I40" s="563">
        <v>632</v>
      </c>
    </row>
    <row r="41" spans="1:9" x14ac:dyDescent="0.25">
      <c r="A41" s="463">
        <v>14201</v>
      </c>
      <c r="B41" s="464" t="s">
        <v>561</v>
      </c>
      <c r="C41" s="552">
        <v>294535</v>
      </c>
      <c r="D41" s="473">
        <v>297867.71000000002</v>
      </c>
      <c r="E41" s="553">
        <v>206739.51</v>
      </c>
      <c r="F41" s="553">
        <v>206877.29</v>
      </c>
      <c r="G41" s="553">
        <f>2*(97370.69)</f>
        <v>194741.38</v>
      </c>
      <c r="H41" s="574">
        <f t="shared" si="1"/>
        <v>193763</v>
      </c>
      <c r="I41" s="563">
        <v>322000.8</v>
      </c>
    </row>
    <row r="42" spans="1:9" x14ac:dyDescent="0.25">
      <c r="A42" s="463">
        <v>14299</v>
      </c>
      <c r="B42" s="464" t="s">
        <v>562</v>
      </c>
      <c r="C42" s="552">
        <v>2838</v>
      </c>
      <c r="D42" s="473">
        <v>4218.97</v>
      </c>
      <c r="E42" s="553">
        <v>4576.3599999999997</v>
      </c>
      <c r="F42" s="553">
        <v>5598.75</v>
      </c>
      <c r="G42" s="553">
        <f>2*(5978.54)</f>
        <v>11957.08</v>
      </c>
      <c r="H42" s="574">
        <f t="shared" si="1"/>
        <v>11897</v>
      </c>
      <c r="I42" s="563">
        <v>11897</v>
      </c>
    </row>
    <row r="43" spans="1:9" x14ac:dyDescent="0.25">
      <c r="A43" s="463"/>
      <c r="B43" s="464"/>
      <c r="C43" s="466"/>
      <c r="D43" s="473"/>
      <c r="E43" s="553"/>
      <c r="F43" s="553"/>
      <c r="G43" s="553"/>
      <c r="H43" s="574">
        <f t="shared" si="1"/>
        <v>0</v>
      </c>
      <c r="I43" s="563"/>
    </row>
    <row r="44" spans="1:9" x14ac:dyDescent="0.25">
      <c r="A44" s="463">
        <v>15302</v>
      </c>
      <c r="B44" s="464" t="s">
        <v>563</v>
      </c>
      <c r="C44" s="552">
        <v>4304</v>
      </c>
      <c r="D44" s="473">
        <v>11112.79</v>
      </c>
      <c r="E44" s="553">
        <v>6298.82</v>
      </c>
      <c r="F44" s="553">
        <v>26695.69</v>
      </c>
      <c r="G44" s="553">
        <f>2*(5145.77)</f>
        <v>10291.540000000001</v>
      </c>
      <c r="H44" s="574">
        <f t="shared" si="1"/>
        <v>10240</v>
      </c>
      <c r="I44" s="563">
        <v>10280</v>
      </c>
    </row>
    <row r="45" spans="1:9" x14ac:dyDescent="0.25">
      <c r="A45" s="463">
        <v>15312</v>
      </c>
      <c r="B45" s="464" t="s">
        <v>564</v>
      </c>
      <c r="C45" s="552">
        <v>603</v>
      </c>
      <c r="D45" s="473">
        <v>587.66999999999996</v>
      </c>
      <c r="E45" s="553">
        <v>593.84</v>
      </c>
      <c r="F45" s="553">
        <v>557.94000000000005</v>
      </c>
      <c r="G45" s="553">
        <f>2*(125.62)</f>
        <v>251.24</v>
      </c>
      <c r="H45" s="574">
        <f t="shared" si="1"/>
        <v>250</v>
      </c>
      <c r="I45" s="563">
        <v>251</v>
      </c>
    </row>
    <row r="46" spans="1:9" x14ac:dyDescent="0.25">
      <c r="A46" s="463">
        <v>15314</v>
      </c>
      <c r="B46" s="464" t="s">
        <v>565</v>
      </c>
      <c r="C46" s="552">
        <v>10883</v>
      </c>
      <c r="D46" s="473">
        <v>9907.5400000000009</v>
      </c>
      <c r="E46" s="553">
        <v>8066.12</v>
      </c>
      <c r="F46" s="553">
        <v>37455.339999999997</v>
      </c>
      <c r="G46" s="553">
        <f>2*(4646.1)</f>
        <v>9292.2000000000007</v>
      </c>
      <c r="H46" s="574">
        <f t="shared" si="1"/>
        <v>9246</v>
      </c>
      <c r="I46" s="563">
        <v>9281</v>
      </c>
    </row>
    <row r="47" spans="1:9" x14ac:dyDescent="0.25">
      <c r="A47" s="463">
        <v>15402</v>
      </c>
      <c r="B47" s="464" t="s">
        <v>566</v>
      </c>
      <c r="C47" s="552">
        <v>3269</v>
      </c>
      <c r="D47" s="473">
        <v>3129.03</v>
      </c>
      <c r="E47" s="553">
        <v>539.02</v>
      </c>
      <c r="F47" s="553">
        <v>1211.96</v>
      </c>
      <c r="G47" s="553">
        <f>2*(603)</f>
        <v>1206</v>
      </c>
      <c r="H47" s="574">
        <f t="shared" si="1"/>
        <v>1200</v>
      </c>
      <c r="I47" s="563">
        <v>1205</v>
      </c>
    </row>
    <row r="48" spans="1:9" x14ac:dyDescent="0.25">
      <c r="A48" s="463">
        <v>15703</v>
      </c>
      <c r="B48" s="464" t="s">
        <v>567</v>
      </c>
      <c r="C48" s="552">
        <v>4388</v>
      </c>
      <c r="D48" s="473"/>
      <c r="E48" s="553"/>
      <c r="F48" s="553"/>
      <c r="G48" s="553"/>
      <c r="H48" s="574">
        <f t="shared" si="1"/>
        <v>0</v>
      </c>
      <c r="I48" s="563"/>
    </row>
    <row r="49" spans="1:9" ht="15.75" thickBot="1" x14ac:dyDescent="0.3">
      <c r="A49" s="463">
        <v>15799</v>
      </c>
      <c r="B49" s="464" t="s">
        <v>568</v>
      </c>
      <c r="C49" s="552">
        <v>90517</v>
      </c>
      <c r="D49" s="473">
        <v>99839.72</v>
      </c>
      <c r="E49" s="553">
        <v>140970.44</v>
      </c>
      <c r="F49" s="553">
        <v>136830.60999999999</v>
      </c>
      <c r="G49" s="553">
        <v>126937.5</v>
      </c>
      <c r="H49" s="575">
        <f t="shared" si="1"/>
        <v>126300</v>
      </c>
      <c r="I49" s="563">
        <v>126300</v>
      </c>
    </row>
    <row r="50" spans="1:9" ht="15.75" thickBot="1" x14ac:dyDescent="0.3">
      <c r="A50" s="713" t="s">
        <v>372</v>
      </c>
      <c r="B50" s="713"/>
      <c r="C50" s="550">
        <f t="shared" ref="C50:D50" si="2">SUM(C6:C49)</f>
        <v>1550488</v>
      </c>
      <c r="D50" s="550">
        <f t="shared" si="2"/>
        <v>1545806.9499999997</v>
      </c>
      <c r="E50" s="551">
        <f>SUM(E6:E49)</f>
        <v>1309415.3100000003</v>
      </c>
      <c r="F50" s="571">
        <f t="shared" ref="F50:G50" si="3">SUM(F6:F49)</f>
        <v>1533847.81</v>
      </c>
      <c r="G50" s="571">
        <f t="shared" si="3"/>
        <v>1302872.1599999999</v>
      </c>
      <c r="H50" s="577">
        <f t="shared" ref="H50" si="4">SUM(H6:H49)</f>
        <v>1296330</v>
      </c>
      <c r="I50" s="564">
        <f>SUM(I6:I49)</f>
        <v>1913893.5599999998</v>
      </c>
    </row>
    <row r="51" spans="1:9" x14ac:dyDescent="0.25">
      <c r="A51" s="467"/>
      <c r="B51" s="467"/>
      <c r="C51" s="468"/>
      <c r="D51" s="468"/>
      <c r="E51" s="468"/>
      <c r="F51" s="468"/>
      <c r="G51" s="468"/>
      <c r="H51" s="469"/>
    </row>
    <row r="52" spans="1:9" x14ac:dyDescent="0.25">
      <c r="A52" s="467"/>
      <c r="B52" s="467"/>
      <c r="C52" s="468"/>
      <c r="D52" s="468"/>
      <c r="E52" s="468"/>
      <c r="F52" s="468"/>
      <c r="G52" s="468"/>
      <c r="H52" s="469"/>
    </row>
    <row r="53" spans="1:9" x14ac:dyDescent="0.25">
      <c r="A53" s="467"/>
      <c r="B53" s="467"/>
      <c r="C53" s="468"/>
      <c r="D53" s="468"/>
      <c r="E53" s="468"/>
      <c r="F53" s="468"/>
      <c r="G53" s="468"/>
      <c r="H53" s="469"/>
    </row>
    <row r="54" spans="1:9" x14ac:dyDescent="0.25">
      <c r="A54" s="467"/>
      <c r="B54" s="467"/>
      <c r="C54" s="468"/>
      <c r="D54" s="468"/>
      <c r="E54" s="468"/>
      <c r="F54" s="468"/>
      <c r="G54" s="468"/>
      <c r="H54" s="469"/>
    </row>
    <row r="55" spans="1:9" x14ac:dyDescent="0.25">
      <c r="A55" s="467"/>
      <c r="B55" s="467"/>
      <c r="C55" s="468"/>
      <c r="D55" s="468"/>
      <c r="E55" s="468"/>
      <c r="F55" s="468"/>
      <c r="G55" s="459"/>
      <c r="H55" s="469"/>
    </row>
    <row r="56" spans="1:9" x14ac:dyDescent="0.25">
      <c r="A56" s="459"/>
      <c r="B56" s="459"/>
      <c r="C56" s="459"/>
      <c r="D56" s="459"/>
      <c r="E56" s="459"/>
      <c r="F56" s="459"/>
      <c r="G56" s="470"/>
      <c r="H56" s="459"/>
    </row>
    <row r="57" spans="1:9" x14ac:dyDescent="0.25">
      <c r="A57" s="459"/>
      <c r="B57" s="459"/>
      <c r="C57" s="459"/>
      <c r="D57" s="459"/>
      <c r="E57" s="459"/>
      <c r="F57" s="459"/>
      <c r="G57" s="470"/>
      <c r="H57" s="459"/>
    </row>
    <row r="58" spans="1:9" x14ac:dyDescent="0.25">
      <c r="A58" s="470" t="s">
        <v>569</v>
      </c>
      <c r="B58" s="470"/>
      <c r="C58" s="470"/>
      <c r="D58" s="470"/>
      <c r="E58" s="470"/>
      <c r="F58" s="470"/>
      <c r="G58" s="470"/>
      <c r="H58" s="459"/>
    </row>
    <row r="59" spans="1:9" x14ac:dyDescent="0.25">
      <c r="A59" s="459"/>
      <c r="B59" s="459"/>
      <c r="C59" s="459"/>
      <c r="D59" s="459"/>
      <c r="E59" s="459"/>
      <c r="F59" s="459"/>
      <c r="G59" s="459"/>
      <c r="H59" s="470"/>
    </row>
    <row r="60" spans="1:9" x14ac:dyDescent="0.25">
      <c r="A60" s="459"/>
      <c r="B60" s="460" t="s">
        <v>570</v>
      </c>
      <c r="C60" s="459"/>
      <c r="D60" s="459"/>
      <c r="E60" s="459"/>
      <c r="F60" s="471" t="s">
        <v>571</v>
      </c>
      <c r="G60" s="471" t="s">
        <v>572</v>
      </c>
      <c r="H60" s="470" t="s">
        <v>372</v>
      </c>
    </row>
    <row r="61" spans="1:9" x14ac:dyDescent="0.25">
      <c r="A61" s="472">
        <v>16201</v>
      </c>
      <c r="B61" s="473" t="s">
        <v>573</v>
      </c>
      <c r="C61" s="474"/>
      <c r="D61" s="474"/>
      <c r="E61" s="475"/>
      <c r="F61" s="476">
        <v>38775.449999999997</v>
      </c>
      <c r="G61" s="477">
        <f>+F61*12</f>
        <v>465305.39999999997</v>
      </c>
      <c r="H61" s="478">
        <f>+G61</f>
        <v>465305.39999999997</v>
      </c>
      <c r="I61" s="548"/>
    </row>
    <row r="62" spans="1:9" x14ac:dyDescent="0.25">
      <c r="A62" s="479"/>
      <c r="B62" s="480" t="s">
        <v>574</v>
      </c>
      <c r="C62" s="481"/>
      <c r="D62" s="481"/>
      <c r="E62" s="481"/>
      <c r="F62" s="482"/>
      <c r="G62" s="477">
        <f>+F63*12</f>
        <v>1863235.6800000002</v>
      </c>
      <c r="H62" s="478">
        <f>+G62</f>
        <v>1863235.6800000002</v>
      </c>
      <c r="I62" s="548"/>
    </row>
    <row r="63" spans="1:9" x14ac:dyDescent="0.25">
      <c r="A63" s="472">
        <v>22201</v>
      </c>
      <c r="B63" s="473" t="s">
        <v>575</v>
      </c>
      <c r="C63" s="474"/>
      <c r="D63" s="474"/>
      <c r="E63" s="475"/>
      <c r="F63" s="476">
        <v>155269.64000000001</v>
      </c>
      <c r="G63" s="483"/>
      <c r="H63" s="483"/>
    </row>
    <row r="64" spans="1:9" x14ac:dyDescent="0.25">
      <c r="A64" s="472">
        <v>22202</v>
      </c>
      <c r="B64" s="473" t="s">
        <v>633</v>
      </c>
      <c r="C64" s="474"/>
      <c r="D64" s="474"/>
      <c r="E64" s="475"/>
      <c r="F64" s="484"/>
      <c r="G64" s="483"/>
      <c r="H64" s="483">
        <v>9024</v>
      </c>
    </row>
    <row r="65" spans="1:8" x14ac:dyDescent="0.25">
      <c r="A65" s="89"/>
      <c r="B65" s="460" t="s">
        <v>576</v>
      </c>
      <c r="C65" s="459"/>
      <c r="D65" s="459"/>
      <c r="E65" s="459"/>
      <c r="F65" s="485"/>
      <c r="G65" s="483"/>
      <c r="H65" s="478"/>
    </row>
    <row r="66" spans="1:8" x14ac:dyDescent="0.25">
      <c r="A66" s="472">
        <v>22303</v>
      </c>
      <c r="B66" s="713" t="s">
        <v>577</v>
      </c>
      <c r="C66" s="713"/>
      <c r="D66" s="713"/>
      <c r="E66" s="713"/>
      <c r="F66" s="483"/>
      <c r="G66" s="485"/>
      <c r="H66" s="486"/>
    </row>
    <row r="67" spans="1:8" x14ac:dyDescent="0.25">
      <c r="A67" s="89"/>
      <c r="B67" s="460" t="s">
        <v>578</v>
      </c>
      <c r="C67" s="459"/>
      <c r="D67" s="459"/>
      <c r="E67" s="459"/>
      <c r="F67" s="485"/>
      <c r="G67" s="483"/>
      <c r="H67" s="478"/>
    </row>
    <row r="68" spans="1:8" x14ac:dyDescent="0.25">
      <c r="A68" s="472">
        <v>22403</v>
      </c>
      <c r="B68" s="713" t="s">
        <v>579</v>
      </c>
      <c r="C68" s="713"/>
      <c r="D68" s="713"/>
      <c r="E68" s="713"/>
      <c r="F68" s="483"/>
      <c r="G68" s="459"/>
      <c r="H68" s="459"/>
    </row>
    <row r="69" spans="1:8" ht="15.75" thickBot="1" x14ac:dyDescent="0.3">
      <c r="A69" s="459"/>
      <c r="B69" s="460" t="s">
        <v>580</v>
      </c>
      <c r="C69" s="459"/>
      <c r="D69" s="459"/>
      <c r="E69" s="459"/>
      <c r="F69" s="459"/>
      <c r="G69" s="487"/>
      <c r="H69" s="488">
        <v>601535.31000000006</v>
      </c>
    </row>
    <row r="70" spans="1:8" ht="15.75" thickBot="1" x14ac:dyDescent="0.3">
      <c r="A70" s="463">
        <v>31304</v>
      </c>
      <c r="B70" s="713" t="s">
        <v>581</v>
      </c>
      <c r="C70" s="713"/>
      <c r="D70" s="713"/>
      <c r="E70" s="713"/>
      <c r="F70" s="489">
        <v>601535.31000000006</v>
      </c>
      <c r="G70" s="490" t="s">
        <v>582</v>
      </c>
      <c r="H70" s="491">
        <f>SUM(H50:H69)</f>
        <v>4235430.3900000006</v>
      </c>
    </row>
    <row r="71" spans="1:8" x14ac:dyDescent="0.25">
      <c r="A71" s="459"/>
      <c r="B71" s="459"/>
      <c r="C71" s="459"/>
      <c r="D71" s="459"/>
      <c r="E71" s="459"/>
      <c r="F71" s="459"/>
      <c r="G71" s="492" t="s">
        <v>583</v>
      </c>
      <c r="H71" s="493">
        <f>+H70</f>
        <v>4235430.3900000006</v>
      </c>
    </row>
    <row r="72" spans="1:8" x14ac:dyDescent="0.25">
      <c r="A72" s="459"/>
      <c r="B72" s="459"/>
      <c r="C72" s="459"/>
      <c r="D72" s="459"/>
      <c r="E72" s="459"/>
      <c r="F72" s="459"/>
      <c r="G72" s="588" t="s">
        <v>815</v>
      </c>
      <c r="H72" s="587">
        <v>276925.69</v>
      </c>
    </row>
    <row r="73" spans="1:8" ht="15.75" thickBot="1" x14ac:dyDescent="0.3">
      <c r="A73" s="459"/>
      <c r="B73" s="459"/>
      <c r="C73" s="459"/>
      <c r="D73" s="459"/>
      <c r="E73" s="459"/>
      <c r="F73" s="459"/>
      <c r="G73" s="494" t="s">
        <v>584</v>
      </c>
      <c r="H73" s="495">
        <v>563443.28</v>
      </c>
    </row>
    <row r="74" spans="1:8" ht="15.75" thickBot="1" x14ac:dyDescent="0.3">
      <c r="A74" s="459"/>
      <c r="B74" s="459"/>
      <c r="C74" s="459"/>
      <c r="D74" s="459"/>
      <c r="E74" s="459"/>
      <c r="F74" s="496"/>
      <c r="G74" s="497" t="s">
        <v>585</v>
      </c>
      <c r="H74" s="498">
        <f>+H71+H72+H73</f>
        <v>5075799.3600000013</v>
      </c>
    </row>
    <row r="75" spans="1:8" x14ac:dyDescent="0.25">
      <c r="A75" s="459"/>
      <c r="B75" s="459"/>
      <c r="C75" s="499"/>
      <c r="D75" s="459"/>
      <c r="E75" s="459"/>
      <c r="F75" s="500"/>
      <c r="G75" s="494"/>
      <c r="H75" s="501"/>
    </row>
    <row r="76" spans="1:8" ht="15.75" thickBot="1" x14ac:dyDescent="0.3">
      <c r="A76" s="459"/>
      <c r="B76" s="459"/>
      <c r="C76" s="499"/>
      <c r="D76" s="459"/>
      <c r="E76" s="459"/>
      <c r="F76" s="502"/>
      <c r="G76" s="494"/>
      <c r="H76" s="501"/>
    </row>
    <row r="77" spans="1:8" ht="15.75" thickBot="1" x14ac:dyDescent="0.3">
      <c r="A77" s="459" t="s">
        <v>586</v>
      </c>
      <c r="B77" s="459"/>
      <c r="C77" s="503"/>
      <c r="D77" s="504" t="s">
        <v>587</v>
      </c>
      <c r="E77" s="504"/>
      <c r="F77" s="504"/>
      <c r="G77" s="505"/>
      <c r="H77" s="506"/>
    </row>
    <row r="78" spans="1:8" ht="15.75" thickBot="1" x14ac:dyDescent="0.3">
      <c r="A78" s="459"/>
      <c r="B78" s="459"/>
      <c r="C78" s="507"/>
      <c r="D78" s="508" t="s">
        <v>588</v>
      </c>
      <c r="E78" s="508"/>
      <c r="F78" s="508"/>
      <c r="G78" s="509"/>
      <c r="H78" s="510"/>
    </row>
    <row r="79" spans="1:8" ht="15.75" thickBot="1" x14ac:dyDescent="0.3">
      <c r="A79" s="459"/>
      <c r="B79" s="459"/>
      <c r="C79" s="507"/>
      <c r="D79" s="511" t="s">
        <v>589</v>
      </c>
      <c r="E79" s="512" t="s">
        <v>590</v>
      </c>
      <c r="F79" s="512" t="s">
        <v>591</v>
      </c>
      <c r="G79" s="509" t="s">
        <v>592</v>
      </c>
      <c r="H79" s="510"/>
    </row>
    <row r="80" spans="1:8" ht="15.75" thickBot="1" x14ac:dyDescent="0.3">
      <c r="A80" s="459"/>
      <c r="B80" s="459"/>
      <c r="C80" s="507"/>
      <c r="D80" s="513">
        <v>-2</v>
      </c>
      <c r="E80" s="514">
        <v>2016</v>
      </c>
      <c r="F80" s="515">
        <f>C50</f>
        <v>1550488</v>
      </c>
      <c r="G80" s="516">
        <f>+F80*D80</f>
        <v>-3100976</v>
      </c>
      <c r="H80" s="510"/>
    </row>
    <row r="81" spans="1:8" ht="15.75" thickBot="1" x14ac:dyDescent="0.3">
      <c r="A81" s="459"/>
      <c r="B81" s="459"/>
      <c r="C81" s="517"/>
      <c r="D81" s="518">
        <v>-1</v>
      </c>
      <c r="E81" s="461">
        <v>2017</v>
      </c>
      <c r="F81" s="515">
        <f>D50</f>
        <v>1545806.9499999997</v>
      </c>
      <c r="G81" s="516">
        <f>+F81*D81</f>
        <v>-1545806.9499999997</v>
      </c>
      <c r="H81" s="510"/>
    </row>
    <row r="82" spans="1:8" ht="15.75" thickBot="1" x14ac:dyDescent="0.3">
      <c r="A82" s="459"/>
      <c r="B82" s="459"/>
      <c r="C82" s="517"/>
      <c r="D82" s="518">
        <v>0</v>
      </c>
      <c r="E82" s="461">
        <v>2018</v>
      </c>
      <c r="F82" s="515">
        <f>E50</f>
        <v>1309415.3100000003</v>
      </c>
      <c r="G82" s="516">
        <f>+F82*D82</f>
        <v>0</v>
      </c>
      <c r="H82" s="510"/>
    </row>
    <row r="83" spans="1:8" ht="15.75" thickBot="1" x14ac:dyDescent="0.3">
      <c r="A83" s="459"/>
      <c r="B83" s="459"/>
      <c r="C83" s="517"/>
      <c r="D83" s="518">
        <v>1</v>
      </c>
      <c r="E83" s="461">
        <v>2019</v>
      </c>
      <c r="F83" s="515">
        <f>F50</f>
        <v>1533847.81</v>
      </c>
      <c r="G83" s="516">
        <f>+F83*D83</f>
        <v>1533847.81</v>
      </c>
      <c r="H83" s="510"/>
    </row>
    <row r="84" spans="1:8" ht="15.75" thickBot="1" x14ac:dyDescent="0.3">
      <c r="A84" s="459"/>
      <c r="B84" s="459"/>
      <c r="C84" s="517"/>
      <c r="D84" s="519">
        <v>2</v>
      </c>
      <c r="E84" s="520">
        <v>2020</v>
      </c>
      <c r="F84" s="521">
        <f>+G50</f>
        <v>1302872.1599999999</v>
      </c>
      <c r="G84" s="516">
        <f>+F84*D84</f>
        <v>2605744.3199999998</v>
      </c>
      <c r="H84" s="510"/>
    </row>
    <row r="85" spans="1:8" ht="15.75" thickBot="1" x14ac:dyDescent="0.3">
      <c r="A85" s="459"/>
      <c r="B85" s="459"/>
      <c r="C85" s="517"/>
      <c r="D85" s="522"/>
      <c r="E85" s="523"/>
      <c r="F85" s="524"/>
      <c r="G85" s="525"/>
      <c r="H85" s="510"/>
    </row>
    <row r="86" spans="1:8" ht="15.75" thickBot="1" x14ac:dyDescent="0.3">
      <c r="A86" s="459"/>
      <c r="B86" s="459"/>
      <c r="C86" s="517"/>
      <c r="D86" s="526"/>
      <c r="E86" s="527"/>
      <c r="F86" s="528">
        <f>SUM(F80:F84)</f>
        <v>7242430.2300000004</v>
      </c>
      <c r="G86" s="529">
        <f>SUM(G80:G84)</f>
        <v>-507190.81999999937</v>
      </c>
      <c r="H86" s="510"/>
    </row>
    <row r="87" spans="1:8" x14ac:dyDescent="0.25">
      <c r="A87" s="459"/>
      <c r="B87" s="459"/>
      <c r="C87" s="517"/>
      <c r="D87" s="459"/>
      <c r="E87" s="459"/>
      <c r="F87" s="459"/>
      <c r="G87" s="459"/>
      <c r="H87" s="510"/>
    </row>
    <row r="88" spans="1:8" x14ac:dyDescent="0.25">
      <c r="A88" s="459"/>
      <c r="B88" s="459"/>
      <c r="C88" s="517"/>
      <c r="D88" s="459"/>
      <c r="E88" s="470" t="s">
        <v>593</v>
      </c>
      <c r="F88" s="530">
        <f>+F86/5</f>
        <v>1448486.0460000001</v>
      </c>
      <c r="G88" s="459"/>
      <c r="H88" s="510"/>
    </row>
    <row r="89" spans="1:8" x14ac:dyDescent="0.25">
      <c r="A89" s="459"/>
      <c r="B89" s="459"/>
      <c r="C89" s="517"/>
      <c r="D89" s="459"/>
      <c r="E89" s="470" t="s">
        <v>594</v>
      </c>
      <c r="F89" s="530">
        <f>+G86/10</f>
        <v>-50719.081999999937</v>
      </c>
      <c r="G89" s="459"/>
      <c r="H89" s="510"/>
    </row>
    <row r="90" spans="1:8" x14ac:dyDescent="0.25">
      <c r="A90" s="459"/>
      <c r="B90" s="459"/>
      <c r="C90" s="517"/>
      <c r="D90" s="459"/>
      <c r="E90" s="460" t="s">
        <v>640</v>
      </c>
      <c r="F90" s="460"/>
      <c r="G90" s="459"/>
      <c r="H90" s="510"/>
    </row>
    <row r="91" spans="1:8" x14ac:dyDescent="0.25">
      <c r="A91" s="459"/>
      <c r="B91" s="459"/>
      <c r="C91" s="517"/>
      <c r="D91" s="459"/>
      <c r="E91" s="470" t="s">
        <v>641</v>
      </c>
      <c r="F91" s="486">
        <f>ROUND((F88+F89*3),0)</f>
        <v>1296329</v>
      </c>
      <c r="G91" s="459"/>
      <c r="H91" s="510"/>
    </row>
    <row r="92" spans="1:8" x14ac:dyDescent="0.25">
      <c r="A92" s="459"/>
      <c r="B92" s="459"/>
      <c r="C92" s="517"/>
      <c r="D92" s="459"/>
      <c r="E92" s="470" t="s">
        <v>595</v>
      </c>
      <c r="F92" s="531">
        <f>+(F91-F84)/F84</f>
        <v>-5.0221043943405137E-3</v>
      </c>
      <c r="G92" s="459"/>
      <c r="H92" s="510"/>
    </row>
    <row r="93" spans="1:8" ht="15.75" thickBot="1" x14ac:dyDescent="0.3">
      <c r="A93" s="459"/>
      <c r="B93" s="459"/>
      <c r="C93" s="532"/>
      <c r="D93" s="533"/>
      <c r="E93" s="533"/>
      <c r="F93" s="533"/>
      <c r="G93" s="533"/>
      <c r="H93" s="534"/>
    </row>
    <row r="94" spans="1:8" x14ac:dyDescent="0.25">
      <c r="A94" s="459"/>
      <c r="B94" s="459"/>
      <c r="C94" s="459"/>
      <c r="D94" s="459"/>
      <c r="E94" s="459"/>
      <c r="F94" s="459"/>
      <c r="G94" s="459"/>
      <c r="H94" s="459"/>
    </row>
  </sheetData>
  <mergeCells count="6">
    <mergeCell ref="B70:E70"/>
    <mergeCell ref="A1:H1"/>
    <mergeCell ref="A2:H2"/>
    <mergeCell ref="A50:B50"/>
    <mergeCell ref="B66:E66"/>
    <mergeCell ref="B68:E68"/>
  </mergeCells>
  <pageMargins left="0.84" right="0.67" top="0.75" bottom="1.05" header="0.3" footer="0.3"/>
  <pageSetup scale="93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workbookViewId="0">
      <pane ySplit="9" topLeftCell="A79" activePane="bottomLeft" state="frozen"/>
      <selection pane="bottomLeft" activeCell="F41" sqref="F41"/>
    </sheetView>
  </sheetViews>
  <sheetFormatPr baseColWidth="10" defaultRowHeight="15" x14ac:dyDescent="0.25"/>
  <cols>
    <col min="1" max="1" width="12" bestFit="1" customWidth="1"/>
    <col min="2" max="2" width="44.28515625" bestFit="1" customWidth="1"/>
    <col min="3" max="3" width="14.140625" customWidth="1"/>
    <col min="4" max="4" width="13.7109375" customWidth="1"/>
    <col min="5" max="5" width="12.140625" bestFit="1" customWidth="1"/>
    <col min="6" max="6" width="13.28515625" customWidth="1"/>
    <col min="7" max="7" width="12.28515625" bestFit="1" customWidth="1"/>
    <col min="8" max="8" width="13.5703125" customWidth="1"/>
  </cols>
  <sheetData>
    <row r="1" spans="1:8" ht="16.5" x14ac:dyDescent="0.3">
      <c r="A1" s="591" t="s">
        <v>164</v>
      </c>
      <c r="B1" s="591"/>
      <c r="C1" s="591"/>
      <c r="D1" s="591"/>
      <c r="E1" s="591"/>
      <c r="F1" s="591"/>
      <c r="G1" s="591"/>
      <c r="H1" s="591"/>
    </row>
    <row r="2" spans="1:8" ht="16.5" x14ac:dyDescent="0.3">
      <c r="A2" s="592" t="s">
        <v>243</v>
      </c>
      <c r="B2" s="592"/>
      <c r="C2" s="592"/>
      <c r="D2" s="592"/>
      <c r="E2" s="592"/>
      <c r="F2" s="592"/>
      <c r="G2" s="592"/>
      <c r="H2" s="592"/>
    </row>
    <row r="3" spans="1:8" ht="16.5" x14ac:dyDescent="0.3">
      <c r="A3" s="592" t="s">
        <v>166</v>
      </c>
      <c r="B3" s="592"/>
      <c r="C3" s="592"/>
      <c r="D3" s="592"/>
      <c r="E3" s="592"/>
      <c r="F3" s="592"/>
      <c r="G3" s="592"/>
      <c r="H3" s="592"/>
    </row>
    <row r="4" spans="1:8" ht="16.5" x14ac:dyDescent="0.3">
      <c r="A4" s="592" t="s">
        <v>373</v>
      </c>
      <c r="B4" s="592"/>
      <c r="C4" s="592"/>
      <c r="D4" s="592"/>
      <c r="E4" s="592"/>
      <c r="F4" s="592"/>
      <c r="G4" s="592"/>
      <c r="H4" s="592"/>
    </row>
    <row r="5" spans="1:8" ht="16.5" x14ac:dyDescent="0.3">
      <c r="A5" s="592" t="s">
        <v>738</v>
      </c>
      <c r="B5" s="592"/>
      <c r="C5" s="592"/>
      <c r="D5" s="592"/>
      <c r="E5" s="592"/>
      <c r="F5" s="592"/>
      <c r="G5" s="592"/>
      <c r="H5" s="592"/>
    </row>
    <row r="6" spans="1:8" ht="17.25" thickBot="1" x14ac:dyDescent="0.35">
      <c r="A6" s="1"/>
      <c r="B6" s="1" t="s">
        <v>8</v>
      </c>
      <c r="C6" s="1"/>
      <c r="D6" s="1"/>
      <c r="E6" s="1"/>
      <c r="F6" s="1"/>
      <c r="G6" s="1"/>
      <c r="H6" s="1"/>
    </row>
    <row r="7" spans="1:8" x14ac:dyDescent="0.25">
      <c r="A7" s="288" t="s">
        <v>361</v>
      </c>
      <c r="B7" s="289"/>
      <c r="C7" s="289" t="s">
        <v>319</v>
      </c>
      <c r="D7" s="289" t="s">
        <v>201</v>
      </c>
      <c r="E7" s="289"/>
      <c r="F7" s="289"/>
      <c r="G7" s="289"/>
      <c r="H7" s="290"/>
    </row>
    <row r="8" spans="1:8" ht="16.5" x14ac:dyDescent="0.3">
      <c r="A8" s="291" t="s">
        <v>362</v>
      </c>
      <c r="B8" s="201" t="s">
        <v>364</v>
      </c>
      <c r="C8" s="201" t="s">
        <v>365</v>
      </c>
      <c r="D8" s="201" t="s">
        <v>367</v>
      </c>
      <c r="E8" s="201" t="s">
        <v>806</v>
      </c>
      <c r="F8" s="201" t="s">
        <v>369</v>
      </c>
      <c r="G8" s="201" t="s">
        <v>263</v>
      </c>
      <c r="H8" s="292" t="s">
        <v>372</v>
      </c>
    </row>
    <row r="9" spans="1:8" ht="16.5" x14ac:dyDescent="0.3">
      <c r="A9" s="293" t="s">
        <v>363</v>
      </c>
      <c r="B9" s="202"/>
      <c r="C9" s="202" t="s">
        <v>366</v>
      </c>
      <c r="D9" s="202" t="s">
        <v>368</v>
      </c>
      <c r="E9" s="202" t="s">
        <v>807</v>
      </c>
      <c r="F9" s="202" t="s">
        <v>371</v>
      </c>
      <c r="G9" s="202"/>
      <c r="H9" s="294"/>
    </row>
    <row r="10" spans="1:8" ht="16.5" x14ac:dyDescent="0.3">
      <c r="A10" s="4">
        <v>11</v>
      </c>
      <c r="B10" s="5" t="s">
        <v>9</v>
      </c>
      <c r="C10" s="20" t="s">
        <v>8</v>
      </c>
      <c r="D10" s="20">
        <f>SUM(D11)</f>
        <v>510571.36999999994</v>
      </c>
      <c r="E10" s="5"/>
      <c r="F10" s="5"/>
      <c r="G10" s="5"/>
      <c r="H10" s="34">
        <f>+H11</f>
        <v>510571.36999999994</v>
      </c>
    </row>
    <row r="11" spans="1:8" ht="16.5" x14ac:dyDescent="0.3">
      <c r="A11" s="4">
        <v>118</v>
      </c>
      <c r="B11" s="5" t="s">
        <v>2</v>
      </c>
      <c r="C11" s="200" t="s">
        <v>8</v>
      </c>
      <c r="D11" s="20">
        <f>SUM(D12:D28)</f>
        <v>510571.36999999994</v>
      </c>
      <c r="E11" s="5"/>
      <c r="F11" s="5"/>
      <c r="G11" s="5"/>
      <c r="H11" s="34">
        <f>SUM(H12:H28)</f>
        <v>510571.36999999994</v>
      </c>
    </row>
    <row r="12" spans="1:8" ht="16.5" x14ac:dyDescent="0.3">
      <c r="A12" s="6">
        <v>11801</v>
      </c>
      <c r="B12" s="7" t="s">
        <v>10</v>
      </c>
      <c r="C12" s="29"/>
      <c r="D12" s="563">
        <v>221544</v>
      </c>
      <c r="E12" s="7"/>
      <c r="F12" s="7"/>
      <c r="G12" s="7"/>
      <c r="H12" s="47">
        <f>SUM(D12:G12)</f>
        <v>221544</v>
      </c>
    </row>
    <row r="13" spans="1:8" ht="16.5" x14ac:dyDescent="0.3">
      <c r="A13" s="6">
        <v>11902</v>
      </c>
      <c r="B13" s="7" t="s">
        <v>11</v>
      </c>
      <c r="C13" s="29"/>
      <c r="D13" s="563">
        <v>35635.440000000002</v>
      </c>
      <c r="E13" s="7"/>
      <c r="F13" s="7"/>
      <c r="G13" s="7"/>
      <c r="H13" s="47">
        <f t="shared" ref="H13:H28" si="0">SUM(D13:G13)</f>
        <v>35635.440000000002</v>
      </c>
    </row>
    <row r="14" spans="1:8" ht="16.5" x14ac:dyDescent="0.3">
      <c r="A14" s="6">
        <v>11803</v>
      </c>
      <c r="B14" s="7" t="s">
        <v>12</v>
      </c>
      <c r="C14" s="29"/>
      <c r="D14" s="563">
        <v>145490.28</v>
      </c>
      <c r="E14" s="7"/>
      <c r="F14" s="7"/>
      <c r="G14" s="7"/>
      <c r="H14" s="47">
        <f t="shared" si="0"/>
        <v>145490.28</v>
      </c>
    </row>
    <row r="15" spans="1:8" ht="16.5" x14ac:dyDescent="0.3">
      <c r="A15" s="6">
        <v>11804</v>
      </c>
      <c r="B15" s="7" t="s">
        <v>13</v>
      </c>
      <c r="C15" s="29"/>
      <c r="D15" s="563">
        <v>4826.04</v>
      </c>
      <c r="E15" s="7"/>
      <c r="F15" s="7"/>
      <c r="G15" s="7"/>
      <c r="H15" s="47">
        <f t="shared" si="0"/>
        <v>4826.04</v>
      </c>
    </row>
    <row r="16" spans="1:8" ht="16.5" x14ac:dyDescent="0.3">
      <c r="A16" s="6">
        <v>11805</v>
      </c>
      <c r="B16" s="7" t="s">
        <v>14</v>
      </c>
      <c r="C16" s="29"/>
      <c r="D16" s="563">
        <v>59919.72</v>
      </c>
      <c r="E16" s="7"/>
      <c r="F16" s="7"/>
      <c r="G16" s="7"/>
      <c r="H16" s="47">
        <f t="shared" si="0"/>
        <v>59919.72</v>
      </c>
    </row>
    <row r="17" spans="1:8" ht="16.5" x14ac:dyDescent="0.3">
      <c r="A17" s="6">
        <v>11806</v>
      </c>
      <c r="B17" s="7" t="s">
        <v>15</v>
      </c>
      <c r="C17" s="29"/>
      <c r="D17" s="563">
        <v>4428.04</v>
      </c>
      <c r="E17" s="7"/>
      <c r="F17" s="7"/>
      <c r="G17" s="7"/>
      <c r="H17" s="47">
        <f t="shared" si="0"/>
        <v>4428.04</v>
      </c>
    </row>
    <row r="18" spans="1:8" ht="16.5" x14ac:dyDescent="0.3">
      <c r="A18" s="6">
        <v>11808</v>
      </c>
      <c r="B18" s="7" t="s">
        <v>16</v>
      </c>
      <c r="C18" s="29"/>
      <c r="D18" s="563">
        <v>219.36</v>
      </c>
      <c r="E18" s="7"/>
      <c r="F18" s="7"/>
      <c r="G18" s="7"/>
      <c r="H18" s="47">
        <f t="shared" si="0"/>
        <v>219.36</v>
      </c>
    </row>
    <row r="19" spans="1:8" ht="16.5" x14ac:dyDescent="0.3">
      <c r="A19" s="6">
        <v>11809</v>
      </c>
      <c r="B19" s="7" t="s">
        <v>17</v>
      </c>
      <c r="C19" s="29"/>
      <c r="D19" s="563">
        <v>24.17</v>
      </c>
      <c r="E19" s="7"/>
      <c r="F19" s="7"/>
      <c r="G19" s="7"/>
      <c r="H19" s="47">
        <f t="shared" si="0"/>
        <v>24.17</v>
      </c>
    </row>
    <row r="20" spans="1:8" ht="16.5" x14ac:dyDescent="0.3">
      <c r="A20" s="6">
        <v>11810</v>
      </c>
      <c r="B20" s="7" t="s">
        <v>18</v>
      </c>
      <c r="C20" s="29"/>
      <c r="D20" s="563">
        <v>596.52</v>
      </c>
      <c r="E20" s="7"/>
      <c r="F20" s="7"/>
      <c r="G20" s="7"/>
      <c r="H20" s="47">
        <f t="shared" si="0"/>
        <v>596.52</v>
      </c>
    </row>
    <row r="21" spans="1:8" ht="16.5" x14ac:dyDescent="0.3">
      <c r="A21" s="6">
        <v>11812</v>
      </c>
      <c r="B21" s="7" t="s">
        <v>19</v>
      </c>
      <c r="C21" s="29"/>
      <c r="D21" s="563">
        <v>7952.4</v>
      </c>
      <c r="E21" s="7"/>
      <c r="F21" s="7"/>
      <c r="G21" s="7"/>
      <c r="H21" s="47">
        <f t="shared" si="0"/>
        <v>7952.4</v>
      </c>
    </row>
    <row r="22" spans="1:8" ht="16.5" x14ac:dyDescent="0.3">
      <c r="A22" s="6">
        <v>11813</v>
      </c>
      <c r="B22" s="7" t="s">
        <v>20</v>
      </c>
      <c r="C22" s="29"/>
      <c r="D22" s="563">
        <v>5656.2</v>
      </c>
      <c r="E22" s="7"/>
      <c r="F22" s="7"/>
      <c r="G22" s="7"/>
      <c r="H22" s="47">
        <f t="shared" si="0"/>
        <v>5656.2</v>
      </c>
    </row>
    <row r="23" spans="1:8" ht="16.5" x14ac:dyDescent="0.3">
      <c r="A23" s="6">
        <v>11814</v>
      </c>
      <c r="B23" s="7" t="s">
        <v>21</v>
      </c>
      <c r="C23" s="29"/>
      <c r="D23" s="563">
        <v>3188.04</v>
      </c>
      <c r="E23" s="7"/>
      <c r="F23" s="7"/>
      <c r="G23" s="7"/>
      <c r="H23" s="47">
        <f t="shared" si="0"/>
        <v>3188.04</v>
      </c>
    </row>
    <row r="24" spans="1:8" ht="16.5" x14ac:dyDescent="0.3">
      <c r="A24" s="6">
        <v>11815</v>
      </c>
      <c r="B24" s="7" t="s">
        <v>22</v>
      </c>
      <c r="C24" s="29"/>
      <c r="D24" s="563">
        <v>1090.44</v>
      </c>
      <c r="E24" s="7"/>
      <c r="F24" s="7"/>
      <c r="G24" s="7"/>
      <c r="H24" s="47">
        <f t="shared" si="0"/>
        <v>1090.44</v>
      </c>
    </row>
    <row r="25" spans="1:8" ht="16.5" x14ac:dyDescent="0.3">
      <c r="A25" s="6">
        <v>11816</v>
      </c>
      <c r="B25" s="7" t="s">
        <v>23</v>
      </c>
      <c r="C25" s="29"/>
      <c r="D25" s="563">
        <v>8084.16</v>
      </c>
      <c r="E25" s="7"/>
      <c r="F25" s="7"/>
      <c r="G25" s="7"/>
      <c r="H25" s="47">
        <f t="shared" si="0"/>
        <v>8084.16</v>
      </c>
    </row>
    <row r="26" spans="1:8" ht="16.5" x14ac:dyDescent="0.3">
      <c r="A26" s="6">
        <v>11817</v>
      </c>
      <c r="B26" s="7" t="s">
        <v>24</v>
      </c>
      <c r="C26" s="29"/>
      <c r="D26" s="563">
        <v>4420.5600000000004</v>
      </c>
      <c r="E26" s="7"/>
      <c r="F26" s="7"/>
      <c r="G26" s="7"/>
      <c r="H26" s="47">
        <f t="shared" si="0"/>
        <v>4420.5600000000004</v>
      </c>
    </row>
    <row r="27" spans="1:8" ht="16.5" x14ac:dyDescent="0.3">
      <c r="A27" s="6">
        <v>11818</v>
      </c>
      <c r="B27" s="7" t="s">
        <v>25</v>
      </c>
      <c r="C27" s="29"/>
      <c r="D27" s="563">
        <v>2261</v>
      </c>
      <c r="E27" s="7"/>
      <c r="F27" s="7"/>
      <c r="G27" s="7"/>
      <c r="H27" s="47">
        <f t="shared" si="0"/>
        <v>2261</v>
      </c>
    </row>
    <row r="28" spans="1:8" ht="16.5" x14ac:dyDescent="0.3">
      <c r="A28" s="6">
        <v>11899</v>
      </c>
      <c r="B28" s="7" t="s">
        <v>26</v>
      </c>
      <c r="C28" s="29"/>
      <c r="D28" s="563">
        <v>5235</v>
      </c>
      <c r="E28" s="7"/>
      <c r="F28" s="7"/>
      <c r="G28" s="7"/>
      <c r="H28" s="47">
        <f t="shared" si="0"/>
        <v>5235</v>
      </c>
    </row>
    <row r="29" spans="1:8" ht="16.5" x14ac:dyDescent="0.3">
      <c r="A29" s="6"/>
      <c r="B29" s="7"/>
      <c r="C29" s="29"/>
      <c r="D29" s="563"/>
      <c r="E29" s="7"/>
      <c r="F29" s="7"/>
      <c r="G29" s="7"/>
      <c r="H29" s="39"/>
    </row>
    <row r="30" spans="1:8" ht="16.5" x14ac:dyDescent="0.3">
      <c r="A30" s="4">
        <v>12</v>
      </c>
      <c r="B30" s="5" t="s">
        <v>3</v>
      </c>
      <c r="C30" s="200"/>
      <c r="D30" s="34">
        <f>+D31+D45</f>
        <v>922107.39</v>
      </c>
      <c r="E30" s="5"/>
      <c r="F30" s="5"/>
      <c r="G30" s="5"/>
      <c r="H30" s="34">
        <f>+H31+H45</f>
        <v>922107.39</v>
      </c>
    </row>
    <row r="31" spans="1:8" ht="16.5" x14ac:dyDescent="0.3">
      <c r="A31" s="4">
        <v>121</v>
      </c>
      <c r="B31" s="5" t="s">
        <v>27</v>
      </c>
      <c r="C31" s="200"/>
      <c r="D31" s="34">
        <f>SUM(D32:D44)</f>
        <v>879103.39</v>
      </c>
      <c r="E31" s="5"/>
      <c r="F31" s="5"/>
      <c r="G31" s="5"/>
      <c r="H31" s="34">
        <f>SUM(H32:H44)</f>
        <v>879103.39</v>
      </c>
    </row>
    <row r="32" spans="1:8" ht="16.5" x14ac:dyDescent="0.3">
      <c r="A32" s="6">
        <v>12105</v>
      </c>
      <c r="B32" s="7" t="s">
        <v>28</v>
      </c>
      <c r="C32" s="29"/>
      <c r="D32" s="563">
        <v>13445</v>
      </c>
      <c r="E32" s="7"/>
      <c r="F32" s="7"/>
      <c r="G32" s="7"/>
      <c r="H32" s="47">
        <f t="shared" ref="H32:H48" si="1">SUM(D32:G32)</f>
        <v>13445</v>
      </c>
    </row>
    <row r="33" spans="1:8" ht="16.5" x14ac:dyDescent="0.3">
      <c r="A33" s="6">
        <v>12106</v>
      </c>
      <c r="B33" s="7" t="s">
        <v>29</v>
      </c>
      <c r="C33" s="29"/>
      <c r="D33" s="563">
        <v>53</v>
      </c>
      <c r="E33" s="7"/>
      <c r="F33" s="7"/>
      <c r="G33" s="7"/>
      <c r="H33" s="47">
        <f t="shared" si="1"/>
        <v>53</v>
      </c>
    </row>
    <row r="34" spans="1:8" ht="16.5" x14ac:dyDescent="0.3">
      <c r="A34" s="6">
        <v>12108</v>
      </c>
      <c r="B34" s="7" t="s">
        <v>30</v>
      </c>
      <c r="C34" s="29"/>
      <c r="D34" s="563">
        <v>44538.93</v>
      </c>
      <c r="E34" s="7"/>
      <c r="F34" s="7"/>
      <c r="G34" s="7"/>
      <c r="H34" s="47">
        <f t="shared" si="1"/>
        <v>44538.93</v>
      </c>
    </row>
    <row r="35" spans="1:8" ht="16.5" x14ac:dyDescent="0.3">
      <c r="A35" s="6">
        <v>12109</v>
      </c>
      <c r="B35" s="7" t="s">
        <v>31</v>
      </c>
      <c r="C35" s="29"/>
      <c r="D35" s="563">
        <v>192762.74</v>
      </c>
      <c r="E35" s="7"/>
      <c r="F35" s="7"/>
      <c r="G35" s="7"/>
      <c r="H35" s="47">
        <f t="shared" si="1"/>
        <v>192762.74</v>
      </c>
    </row>
    <row r="36" spans="1:8" ht="16.5" x14ac:dyDescent="0.3">
      <c r="A36" s="6">
        <v>12110</v>
      </c>
      <c r="B36" s="7" t="s">
        <v>32</v>
      </c>
      <c r="C36" s="29"/>
      <c r="D36" s="563"/>
      <c r="E36" s="7"/>
      <c r="F36" s="7"/>
      <c r="G36" s="7"/>
      <c r="H36" s="47">
        <f t="shared" si="1"/>
        <v>0</v>
      </c>
    </row>
    <row r="37" spans="1:8" ht="16.5" x14ac:dyDescent="0.3">
      <c r="A37" s="6">
        <v>12111</v>
      </c>
      <c r="B37" s="7" t="s">
        <v>33</v>
      </c>
      <c r="C37" s="29"/>
      <c r="D37" s="563">
        <v>6102</v>
      </c>
      <c r="E37" s="7"/>
      <c r="F37" s="7"/>
      <c r="G37" s="7"/>
      <c r="H37" s="47">
        <f t="shared" si="1"/>
        <v>6102</v>
      </c>
    </row>
    <row r="38" spans="1:8" ht="16.5" x14ac:dyDescent="0.3">
      <c r="A38" s="6">
        <v>12112</v>
      </c>
      <c r="B38" s="7" t="s">
        <v>34</v>
      </c>
      <c r="C38" s="29"/>
      <c r="D38" s="563">
        <v>84475</v>
      </c>
      <c r="E38" s="7"/>
      <c r="F38" s="7"/>
      <c r="G38" s="7"/>
      <c r="H38" s="47">
        <f t="shared" si="1"/>
        <v>84475</v>
      </c>
    </row>
    <row r="39" spans="1:8" ht="16.5" x14ac:dyDescent="0.3">
      <c r="A39" s="6">
        <v>12114</v>
      </c>
      <c r="B39" s="7" t="s">
        <v>35</v>
      </c>
      <c r="C39" s="29"/>
      <c r="D39" s="563">
        <v>81773</v>
      </c>
      <c r="E39" s="7"/>
      <c r="F39" s="7"/>
      <c r="G39" s="7"/>
      <c r="H39" s="47">
        <f t="shared" si="1"/>
        <v>81773</v>
      </c>
    </row>
    <row r="40" spans="1:8" ht="16.5" x14ac:dyDescent="0.3">
      <c r="A40" s="6">
        <v>12115</v>
      </c>
      <c r="B40" s="7" t="s">
        <v>36</v>
      </c>
      <c r="C40" s="29"/>
      <c r="D40" s="563">
        <v>127625.04</v>
      </c>
      <c r="E40" s="7"/>
      <c r="F40" s="7"/>
      <c r="G40" s="7"/>
      <c r="H40" s="47">
        <f t="shared" si="1"/>
        <v>127625.04</v>
      </c>
    </row>
    <row r="41" spans="1:8" ht="16.5" x14ac:dyDescent="0.3">
      <c r="A41" s="6">
        <v>12117</v>
      </c>
      <c r="B41" s="7" t="s">
        <v>37</v>
      </c>
      <c r="C41" s="29"/>
      <c r="D41" s="563">
        <v>38962.68</v>
      </c>
      <c r="E41" s="7"/>
      <c r="F41" s="7"/>
      <c r="G41" s="7"/>
      <c r="H41" s="47">
        <f t="shared" si="1"/>
        <v>38962.68</v>
      </c>
    </row>
    <row r="42" spans="1:8" ht="16.5" x14ac:dyDescent="0.3">
      <c r="A42" s="6">
        <v>12118</v>
      </c>
      <c r="B42" s="7" t="s">
        <v>38</v>
      </c>
      <c r="C42" s="29"/>
      <c r="D42" s="563">
        <v>212856</v>
      </c>
      <c r="E42" s="7"/>
      <c r="F42" s="7"/>
      <c r="G42" s="7"/>
      <c r="H42" s="47">
        <f t="shared" si="1"/>
        <v>212856</v>
      </c>
    </row>
    <row r="43" spans="1:8" ht="16.5" x14ac:dyDescent="0.3">
      <c r="A43" s="6">
        <v>12119</v>
      </c>
      <c r="B43" s="7" t="s">
        <v>39</v>
      </c>
      <c r="C43" s="29"/>
      <c r="D43" s="563">
        <v>76445</v>
      </c>
      <c r="E43" s="7"/>
      <c r="F43" s="7"/>
      <c r="G43" s="7"/>
      <c r="H43" s="47">
        <f t="shared" si="1"/>
        <v>76445</v>
      </c>
    </row>
    <row r="44" spans="1:8" ht="16.5" x14ac:dyDescent="0.3">
      <c r="A44" s="6">
        <v>12120</v>
      </c>
      <c r="B44" s="7" t="s">
        <v>40</v>
      </c>
      <c r="C44" s="29"/>
      <c r="D44" s="563">
        <v>65</v>
      </c>
      <c r="E44" s="7"/>
      <c r="F44" s="7"/>
      <c r="G44" s="7"/>
      <c r="H44" s="47">
        <f t="shared" si="1"/>
        <v>65</v>
      </c>
    </row>
    <row r="45" spans="1:8" ht="16.5" x14ac:dyDescent="0.3">
      <c r="A45" s="4">
        <v>122</v>
      </c>
      <c r="B45" s="5" t="s">
        <v>41</v>
      </c>
      <c r="C45" s="200"/>
      <c r="D45" s="34">
        <f>SUM(D46:D48)</f>
        <v>43004</v>
      </c>
      <c r="E45" s="5"/>
      <c r="F45" s="5"/>
      <c r="G45" s="5"/>
      <c r="H45" s="34">
        <f>SUM(H46:H48)</f>
        <v>43004</v>
      </c>
    </row>
    <row r="46" spans="1:8" ht="16.5" x14ac:dyDescent="0.3">
      <c r="A46" s="6">
        <v>12208</v>
      </c>
      <c r="B46" s="7" t="s">
        <v>42</v>
      </c>
      <c r="C46" s="29"/>
      <c r="D46" s="563">
        <v>632</v>
      </c>
      <c r="E46" s="7"/>
      <c r="F46" s="7"/>
      <c r="G46" s="7"/>
      <c r="H46" s="47">
        <f t="shared" si="1"/>
        <v>632</v>
      </c>
    </row>
    <row r="47" spans="1:8" ht="16.5" x14ac:dyDescent="0.3">
      <c r="A47" s="6">
        <v>12210</v>
      </c>
      <c r="B47" s="7" t="s">
        <v>43</v>
      </c>
      <c r="C47" s="29"/>
      <c r="D47" s="563">
        <v>41147</v>
      </c>
      <c r="E47" s="7"/>
      <c r="F47" s="7"/>
      <c r="G47" s="7"/>
      <c r="H47" s="47">
        <f t="shared" si="1"/>
        <v>41147</v>
      </c>
    </row>
    <row r="48" spans="1:8" ht="16.5" x14ac:dyDescent="0.3">
      <c r="A48" s="6">
        <v>12211</v>
      </c>
      <c r="B48" s="7" t="s">
        <v>44</v>
      </c>
      <c r="C48" s="29"/>
      <c r="D48" s="563">
        <v>1225</v>
      </c>
      <c r="E48" s="7"/>
      <c r="F48" s="7"/>
      <c r="G48" s="7"/>
      <c r="H48" s="47">
        <f t="shared" si="1"/>
        <v>1225</v>
      </c>
    </row>
    <row r="49" spans="1:8" ht="16.5" x14ac:dyDescent="0.3">
      <c r="A49" s="6"/>
      <c r="B49" s="7"/>
      <c r="C49" s="29"/>
      <c r="D49" s="563"/>
      <c r="E49" s="7"/>
      <c r="F49" s="7"/>
      <c r="G49" s="7"/>
      <c r="H49" s="39"/>
    </row>
    <row r="50" spans="1:8" ht="16.5" x14ac:dyDescent="0.3">
      <c r="A50" s="4">
        <v>14</v>
      </c>
      <c r="B50" s="5" t="s">
        <v>45</v>
      </c>
      <c r="C50" s="200"/>
      <c r="D50" s="34">
        <f>+D51</f>
        <v>333897.8</v>
      </c>
      <c r="E50" s="5"/>
      <c r="F50" s="5"/>
      <c r="G50" s="5"/>
      <c r="H50" s="34">
        <f>+H51</f>
        <v>333897.8</v>
      </c>
    </row>
    <row r="51" spans="1:8" ht="16.5" x14ac:dyDescent="0.3">
      <c r="A51" s="4">
        <v>142</v>
      </c>
      <c r="B51" s="5" t="s">
        <v>46</v>
      </c>
      <c r="C51" s="200"/>
      <c r="D51" s="34">
        <f>SUM(D52:D53)</f>
        <v>333897.8</v>
      </c>
      <c r="E51" s="5"/>
      <c r="F51" s="5"/>
      <c r="G51" s="5"/>
      <c r="H51" s="34">
        <f>SUM(H52:H53)</f>
        <v>333897.8</v>
      </c>
    </row>
    <row r="52" spans="1:8" ht="16.5" x14ac:dyDescent="0.3">
      <c r="A52" s="6">
        <v>14201</v>
      </c>
      <c r="B52" s="7" t="s">
        <v>47</v>
      </c>
      <c r="C52" s="29"/>
      <c r="D52" s="563">
        <v>322000.8</v>
      </c>
      <c r="E52" s="7"/>
      <c r="F52" s="7"/>
      <c r="G52" s="7"/>
      <c r="H52" s="47">
        <f t="shared" ref="H52:H53" si="2">SUM(D52:G52)</f>
        <v>322000.8</v>
      </c>
    </row>
    <row r="53" spans="1:8" ht="16.5" x14ac:dyDescent="0.3">
      <c r="A53" s="6">
        <v>14299</v>
      </c>
      <c r="B53" s="7" t="s">
        <v>48</v>
      </c>
      <c r="C53" s="29"/>
      <c r="D53" s="563">
        <v>11897</v>
      </c>
      <c r="E53" s="7"/>
      <c r="F53" s="7"/>
      <c r="G53" s="7"/>
      <c r="H53" s="47">
        <f t="shared" si="2"/>
        <v>11897</v>
      </c>
    </row>
    <row r="54" spans="1:8" ht="16.5" x14ac:dyDescent="0.3">
      <c r="A54" s="6"/>
      <c r="B54" s="7"/>
      <c r="C54" s="29"/>
      <c r="D54" s="563"/>
      <c r="E54" s="7"/>
      <c r="F54" s="7"/>
      <c r="G54" s="7"/>
      <c r="H54" s="39"/>
    </row>
    <row r="55" spans="1:8" ht="16.5" x14ac:dyDescent="0.3">
      <c r="A55" s="4">
        <v>15</v>
      </c>
      <c r="B55" s="5" t="s">
        <v>4</v>
      </c>
      <c r="C55" s="200"/>
      <c r="D55" s="34">
        <f>+D56+D60+D62</f>
        <v>147317</v>
      </c>
      <c r="E55" s="5"/>
      <c r="F55" s="5"/>
      <c r="G55" s="5"/>
      <c r="H55" s="34">
        <f>+H56+H60+H62</f>
        <v>147317</v>
      </c>
    </row>
    <row r="56" spans="1:8" ht="16.5" x14ac:dyDescent="0.3">
      <c r="A56" s="4">
        <v>153</v>
      </c>
      <c r="B56" s="5" t="s">
        <v>49</v>
      </c>
      <c r="C56" s="200"/>
      <c r="D56" s="34">
        <f>SUM(D57:D59)</f>
        <v>19812</v>
      </c>
      <c r="E56" s="5"/>
      <c r="F56" s="5"/>
      <c r="G56" s="5"/>
      <c r="H56" s="34">
        <f>SUM(H57:H59)</f>
        <v>19812</v>
      </c>
    </row>
    <row r="57" spans="1:8" ht="16.5" x14ac:dyDescent="0.3">
      <c r="A57" s="6">
        <v>15302</v>
      </c>
      <c r="B57" s="7" t="s">
        <v>50</v>
      </c>
      <c r="C57" s="29"/>
      <c r="D57" s="563">
        <v>10280</v>
      </c>
      <c r="E57" s="7"/>
      <c r="F57" s="7"/>
      <c r="G57" s="7"/>
      <c r="H57" s="47">
        <f t="shared" ref="H57:H64" si="3">SUM(D57:G57)</f>
        <v>10280</v>
      </c>
    </row>
    <row r="58" spans="1:8" ht="16.5" x14ac:dyDescent="0.3">
      <c r="A58" s="6">
        <v>15312</v>
      </c>
      <c r="B58" s="7" t="s">
        <v>51</v>
      </c>
      <c r="C58" s="29"/>
      <c r="D58" s="563">
        <v>251</v>
      </c>
      <c r="E58" s="7"/>
      <c r="F58" s="7"/>
      <c r="G58" s="7"/>
      <c r="H58" s="47">
        <f t="shared" si="3"/>
        <v>251</v>
      </c>
    </row>
    <row r="59" spans="1:8" ht="16.5" x14ac:dyDescent="0.3">
      <c r="A59" s="6">
        <v>15314</v>
      </c>
      <c r="B59" s="7" t="s">
        <v>52</v>
      </c>
      <c r="C59" s="29"/>
      <c r="D59" s="563">
        <v>9281</v>
      </c>
      <c r="E59" s="7"/>
      <c r="F59" s="7"/>
      <c r="G59" s="7"/>
      <c r="H59" s="47">
        <f t="shared" si="3"/>
        <v>9281</v>
      </c>
    </row>
    <row r="60" spans="1:8" ht="16.5" x14ac:dyDescent="0.3">
      <c r="A60" s="4">
        <v>154</v>
      </c>
      <c r="B60" s="5" t="s">
        <v>53</v>
      </c>
      <c r="C60" s="200"/>
      <c r="D60" s="34">
        <f>+D61</f>
        <v>1205</v>
      </c>
      <c r="E60" s="5"/>
      <c r="F60" s="5"/>
      <c r="G60" s="5"/>
      <c r="H60" s="34">
        <f>+H61</f>
        <v>1205</v>
      </c>
    </row>
    <row r="61" spans="1:8" ht="16.5" x14ac:dyDescent="0.3">
      <c r="A61" s="6">
        <v>15402</v>
      </c>
      <c r="B61" s="7" t="s">
        <v>54</v>
      </c>
      <c r="C61" s="29"/>
      <c r="D61" s="563">
        <v>1205</v>
      </c>
      <c r="E61" s="7"/>
      <c r="F61" s="7"/>
      <c r="G61" s="7"/>
      <c r="H61" s="47">
        <f t="shared" si="3"/>
        <v>1205</v>
      </c>
    </row>
    <row r="62" spans="1:8" ht="16.5" x14ac:dyDescent="0.3">
      <c r="A62" s="4">
        <v>157</v>
      </c>
      <c r="B62" s="5" t="s">
        <v>5</v>
      </c>
      <c r="C62" s="200"/>
      <c r="D62" s="34">
        <v>126300</v>
      </c>
      <c r="E62" s="5"/>
      <c r="F62" s="5"/>
      <c r="G62" s="5"/>
      <c r="H62" s="34">
        <v>126300</v>
      </c>
    </row>
    <row r="63" spans="1:8" ht="16.5" x14ac:dyDescent="0.3">
      <c r="A63" s="6">
        <v>15703</v>
      </c>
      <c r="B63" s="7" t="s">
        <v>55</v>
      </c>
      <c r="C63" s="29"/>
      <c r="D63" s="200"/>
      <c r="E63" s="7"/>
      <c r="F63" s="7"/>
      <c r="G63" s="7"/>
      <c r="H63" s="34">
        <f t="shared" si="3"/>
        <v>0</v>
      </c>
    </row>
    <row r="64" spans="1:8" ht="16.5" x14ac:dyDescent="0.3">
      <c r="A64" s="6">
        <v>15799</v>
      </c>
      <c r="B64" s="7" t="s">
        <v>56</v>
      </c>
      <c r="C64" s="29"/>
      <c r="D64" s="29">
        <v>126300</v>
      </c>
      <c r="E64" s="7"/>
      <c r="F64" s="7"/>
      <c r="G64" s="7"/>
      <c r="H64" s="47">
        <f t="shared" si="3"/>
        <v>126300</v>
      </c>
    </row>
    <row r="65" spans="1:8" ht="16.5" x14ac:dyDescent="0.3">
      <c r="A65" s="295"/>
      <c r="B65" s="7"/>
      <c r="C65" s="7"/>
      <c r="D65" s="29"/>
      <c r="E65" s="7"/>
      <c r="F65" s="7"/>
      <c r="G65" s="7"/>
      <c r="H65" s="39"/>
    </row>
    <row r="66" spans="1:8" ht="16.5" x14ac:dyDescent="0.3">
      <c r="A66" s="4">
        <v>16</v>
      </c>
      <c r="B66" s="5" t="s">
        <v>57</v>
      </c>
      <c r="C66" s="200">
        <f>+C67</f>
        <v>465305.41</v>
      </c>
      <c r="D66" s="29"/>
      <c r="E66" s="20"/>
      <c r="F66" s="5"/>
      <c r="G66" s="5"/>
      <c r="H66" s="34">
        <f>+H67</f>
        <v>465305.41</v>
      </c>
    </row>
    <row r="67" spans="1:8" ht="16.5" x14ac:dyDescent="0.3">
      <c r="A67" s="4">
        <v>162</v>
      </c>
      <c r="B67" s="5" t="s">
        <v>58</v>
      </c>
      <c r="C67" s="200">
        <f>SUM(C68)</f>
        <v>465305.41</v>
      </c>
      <c r="D67" s="200">
        <f>SUM(D68)</f>
        <v>0</v>
      </c>
      <c r="E67" s="5"/>
      <c r="F67" s="5"/>
      <c r="G67" s="5"/>
      <c r="H67" s="296">
        <f>SUM(H68)</f>
        <v>465305.41</v>
      </c>
    </row>
    <row r="68" spans="1:8" ht="16.5" x14ac:dyDescent="0.3">
      <c r="A68" s="6">
        <v>16201</v>
      </c>
      <c r="B68" s="7" t="s">
        <v>58</v>
      </c>
      <c r="C68" s="29">
        <v>465305.41</v>
      </c>
      <c r="D68" s="29"/>
      <c r="E68" s="7"/>
      <c r="F68" s="7"/>
      <c r="G68" s="7"/>
      <c r="H68" s="47">
        <f>SUM(C68:G68)</f>
        <v>465305.41</v>
      </c>
    </row>
    <row r="69" spans="1:8" ht="16.5" x14ac:dyDescent="0.3">
      <c r="A69" s="6"/>
      <c r="B69" s="7"/>
      <c r="C69" s="29" t="s">
        <v>8</v>
      </c>
      <c r="D69" s="200">
        <f>SUM(D70:D71)</f>
        <v>0</v>
      </c>
      <c r="E69" s="7"/>
      <c r="F69" s="7"/>
      <c r="G69" s="7"/>
      <c r="H69" s="39"/>
    </row>
    <row r="70" spans="1:8" ht="16.5" x14ac:dyDescent="0.3">
      <c r="A70" s="4">
        <v>22</v>
      </c>
      <c r="B70" s="5" t="s">
        <v>6</v>
      </c>
      <c r="C70" s="200">
        <f>+C71+C74</f>
        <v>1863235.68</v>
      </c>
      <c r="D70" s="29"/>
      <c r="E70" s="20"/>
      <c r="F70" s="5"/>
      <c r="G70" s="573">
        <v>9024</v>
      </c>
      <c r="H70" s="34">
        <f>+H71+H74</f>
        <v>1872259.68</v>
      </c>
    </row>
    <row r="71" spans="1:8" ht="16.5" x14ac:dyDescent="0.3">
      <c r="A71" s="4">
        <v>222</v>
      </c>
      <c r="B71" s="5" t="s">
        <v>59</v>
      </c>
      <c r="C71" s="200">
        <f>SUM(C72:C73)</f>
        <v>1863235.68</v>
      </c>
      <c r="D71" s="29"/>
      <c r="E71" s="5"/>
      <c r="F71" s="5"/>
      <c r="G71" s="573">
        <v>9024</v>
      </c>
      <c r="H71" s="34">
        <f>SUM(H72:H73)</f>
        <v>1872259.68</v>
      </c>
    </row>
    <row r="72" spans="1:8" ht="16.5" x14ac:dyDescent="0.3">
      <c r="A72" s="6">
        <v>22201</v>
      </c>
      <c r="B72" s="7" t="s">
        <v>59</v>
      </c>
      <c r="C72" s="29">
        <v>1863235.68</v>
      </c>
      <c r="D72" s="7"/>
      <c r="E72" s="7"/>
      <c r="F72" s="7"/>
      <c r="G72" s="7"/>
      <c r="H72" s="47">
        <f t="shared" ref="H72:H76" si="4">SUM(C72:G72)</f>
        <v>1863235.68</v>
      </c>
    </row>
    <row r="73" spans="1:8" ht="16.5" x14ac:dyDescent="0.3">
      <c r="A73" s="6">
        <v>22202</v>
      </c>
      <c r="B73" s="7" t="s">
        <v>630</v>
      </c>
      <c r="C73" s="29"/>
      <c r="D73" s="7"/>
      <c r="E73" s="7"/>
      <c r="F73" s="7"/>
      <c r="G73" s="121">
        <v>9024</v>
      </c>
      <c r="H73" s="47">
        <f t="shared" si="4"/>
        <v>9024</v>
      </c>
    </row>
    <row r="74" spans="1:8" ht="16.5" x14ac:dyDescent="0.3">
      <c r="A74" s="4">
        <v>223</v>
      </c>
      <c r="B74" s="5" t="s">
        <v>60</v>
      </c>
      <c r="C74" s="200">
        <f>SUM(C75:C76)</f>
        <v>0</v>
      </c>
      <c r="D74" s="20"/>
      <c r="E74" s="5"/>
      <c r="F74" s="5"/>
      <c r="G74" s="5"/>
      <c r="H74" s="34">
        <f>SUM(H75:H76)</f>
        <v>0</v>
      </c>
    </row>
    <row r="75" spans="1:8" ht="16.5" x14ac:dyDescent="0.3">
      <c r="A75" s="6">
        <v>22301</v>
      </c>
      <c r="B75" s="7" t="s">
        <v>61</v>
      </c>
      <c r="C75" s="29">
        <v>0</v>
      </c>
      <c r="D75" s="7"/>
      <c r="E75" s="7"/>
      <c r="F75" s="7"/>
      <c r="G75" s="7"/>
      <c r="H75" s="47">
        <f t="shared" si="4"/>
        <v>0</v>
      </c>
    </row>
    <row r="76" spans="1:8" ht="16.5" x14ac:dyDescent="0.3">
      <c r="A76" s="6">
        <v>22303</v>
      </c>
      <c r="B76" s="7" t="s">
        <v>187</v>
      </c>
      <c r="C76" s="29">
        <v>0</v>
      </c>
      <c r="D76" s="7"/>
      <c r="E76" s="7"/>
      <c r="F76" s="7"/>
      <c r="G76" s="7"/>
      <c r="H76" s="47">
        <f t="shared" si="4"/>
        <v>0</v>
      </c>
    </row>
    <row r="77" spans="1:8" ht="16.5" x14ac:dyDescent="0.3">
      <c r="A77" s="6"/>
      <c r="B77" s="7"/>
      <c r="C77" s="29" t="s">
        <v>8</v>
      </c>
      <c r="D77" s="7"/>
      <c r="E77" s="7"/>
      <c r="F77" s="7"/>
      <c r="G77" s="7"/>
      <c r="H77" s="39"/>
    </row>
    <row r="78" spans="1:8" ht="16.5" x14ac:dyDescent="0.3">
      <c r="A78" s="4">
        <v>31</v>
      </c>
      <c r="B78" s="5" t="s">
        <v>7</v>
      </c>
      <c r="C78" s="200">
        <f>+C79</f>
        <v>0</v>
      </c>
      <c r="D78" s="5"/>
      <c r="E78" s="20"/>
      <c r="F78" s="20">
        <f>+F79</f>
        <v>601535.31000000006</v>
      </c>
      <c r="G78" s="5"/>
      <c r="H78" s="34">
        <f>+H79</f>
        <v>601535.31000000006</v>
      </c>
    </row>
    <row r="79" spans="1:8" ht="16.5" x14ac:dyDescent="0.3">
      <c r="A79" s="4">
        <v>313</v>
      </c>
      <c r="B79" s="5" t="s">
        <v>62</v>
      </c>
      <c r="C79" s="200">
        <f>+C80</f>
        <v>0</v>
      </c>
      <c r="D79" s="20"/>
      <c r="E79" s="5"/>
      <c r="F79" s="20">
        <f>+F80</f>
        <v>601535.31000000006</v>
      </c>
      <c r="G79" s="5"/>
      <c r="H79" s="34">
        <f>+H80</f>
        <v>601535.31000000006</v>
      </c>
    </row>
    <row r="80" spans="1:8" ht="16.5" x14ac:dyDescent="0.3">
      <c r="A80" s="6">
        <v>31304</v>
      </c>
      <c r="B80" s="7" t="s">
        <v>63</v>
      </c>
      <c r="C80" s="29">
        <v>0</v>
      </c>
      <c r="D80" s="7"/>
      <c r="E80" s="7"/>
      <c r="F80" s="29">
        <v>601535.31000000006</v>
      </c>
      <c r="G80" s="7"/>
      <c r="H80" s="47">
        <f t="shared" ref="H80" si="5">SUM(C80:G80)</f>
        <v>601535.31000000006</v>
      </c>
    </row>
    <row r="81" spans="1:8" ht="16.5" x14ac:dyDescent="0.3">
      <c r="A81" s="6"/>
      <c r="B81" s="7"/>
      <c r="C81" s="29" t="s">
        <v>8</v>
      </c>
      <c r="D81" s="7"/>
      <c r="E81" s="7"/>
      <c r="F81" s="7"/>
      <c r="G81" s="7"/>
      <c r="H81" s="39"/>
    </row>
    <row r="82" spans="1:8" ht="16.5" x14ac:dyDescent="0.3">
      <c r="A82" s="4">
        <v>32</v>
      </c>
      <c r="B82" s="5" t="s">
        <v>64</v>
      </c>
      <c r="C82" s="20">
        <f>+C83+C85</f>
        <v>316825.13</v>
      </c>
      <c r="D82" s="20">
        <f t="shared" ref="D82:G82" si="6">+D83</f>
        <v>51263.61</v>
      </c>
      <c r="E82" s="20">
        <f t="shared" si="6"/>
        <v>239789.56</v>
      </c>
      <c r="F82" s="20">
        <f t="shared" si="6"/>
        <v>230105.69</v>
      </c>
      <c r="G82" s="20">
        <f t="shared" si="6"/>
        <v>2384.98</v>
      </c>
      <c r="H82" s="34">
        <f>+H83+H85</f>
        <v>840368.97</v>
      </c>
    </row>
    <row r="83" spans="1:8" ht="16.5" x14ac:dyDescent="0.3">
      <c r="A83" s="4">
        <v>321</v>
      </c>
      <c r="B83" s="5" t="s">
        <v>65</v>
      </c>
      <c r="C83" s="20">
        <f>SUM(C84)</f>
        <v>39899.440000000002</v>
      </c>
      <c r="D83" s="20">
        <f t="shared" ref="D83:H83" si="7">SUM(D84)</f>
        <v>51263.61</v>
      </c>
      <c r="E83" s="20">
        <f t="shared" si="7"/>
        <v>239789.56</v>
      </c>
      <c r="F83" s="20">
        <f t="shared" si="7"/>
        <v>230105.69</v>
      </c>
      <c r="G83" s="20">
        <f t="shared" si="7"/>
        <v>2384.98</v>
      </c>
      <c r="H83" s="34">
        <f t="shared" si="7"/>
        <v>563443.28</v>
      </c>
    </row>
    <row r="84" spans="1:8" ht="17.25" thickBot="1" x14ac:dyDescent="0.35">
      <c r="A84" s="297">
        <v>32102</v>
      </c>
      <c r="B84" s="287" t="s">
        <v>66</v>
      </c>
      <c r="C84" s="298">
        <v>39899.440000000002</v>
      </c>
      <c r="D84" s="298">
        <v>51263.61</v>
      </c>
      <c r="E84" s="298">
        <v>239789.56</v>
      </c>
      <c r="F84" s="298">
        <v>230105.69</v>
      </c>
      <c r="G84" s="298">
        <v>2384.98</v>
      </c>
      <c r="H84" s="299">
        <f>SUM(C84:G84)</f>
        <v>563443.28</v>
      </c>
    </row>
    <row r="85" spans="1:8" ht="17.25" thickBot="1" x14ac:dyDescent="0.35">
      <c r="A85" s="584">
        <v>32201</v>
      </c>
      <c r="B85" s="585" t="s">
        <v>805</v>
      </c>
      <c r="C85" s="586">
        <v>276925.69</v>
      </c>
      <c r="D85" s="586"/>
      <c r="E85" s="586"/>
      <c r="F85" s="586"/>
      <c r="G85" s="586"/>
      <c r="H85" s="299">
        <f>SUM(C85:G85)</f>
        <v>276925.69</v>
      </c>
    </row>
    <row r="86" spans="1:8" ht="17.25" thickBot="1" x14ac:dyDescent="0.35">
      <c r="A86" s="12"/>
      <c r="B86" s="28" t="s">
        <v>67</v>
      </c>
      <c r="C86" s="51">
        <f>+C66+C70+C78+C82</f>
        <v>2645366.2199999997</v>
      </c>
      <c r="D86" s="51">
        <f>+D10+D30+D50+D55+D78+D82</f>
        <v>1965157.1700000002</v>
      </c>
      <c r="E86" s="51">
        <f>+E10+E30+E50+E55+E82</f>
        <v>239789.56</v>
      </c>
      <c r="F86" s="51">
        <f>+F10+F30+F50+F55+F78+F82</f>
        <v>831641</v>
      </c>
      <c r="G86" s="51">
        <f>+G73+G82</f>
        <v>11408.98</v>
      </c>
      <c r="H86" s="203">
        <f>+H10+H30+H50+H55+H66+H70+H78+H82</f>
        <v>5693362.9300000006</v>
      </c>
    </row>
    <row r="87" spans="1:8" ht="16.5" x14ac:dyDescent="0.3">
      <c r="A87" s="1"/>
      <c r="B87" s="1"/>
      <c r="C87" s="1"/>
      <c r="D87" s="1"/>
      <c r="E87" s="1"/>
      <c r="F87" s="1"/>
      <c r="G87" s="1"/>
      <c r="H87" s="1"/>
    </row>
    <row r="88" spans="1:8" ht="16.5" x14ac:dyDescent="0.3">
      <c r="A88" s="1"/>
      <c r="B88" s="1"/>
      <c r="C88" s="1"/>
      <c r="D88" s="1"/>
      <c r="E88" s="1"/>
      <c r="F88" s="1"/>
      <c r="G88" s="1"/>
      <c r="H88" s="1"/>
    </row>
    <row r="89" spans="1:8" ht="16.5" x14ac:dyDescent="0.3">
      <c r="A89" s="1"/>
      <c r="B89" s="1"/>
      <c r="C89" s="1"/>
      <c r="D89" s="1"/>
      <c r="E89" s="1"/>
      <c r="F89" s="1"/>
      <c r="G89" s="1"/>
      <c r="H89" s="1"/>
    </row>
    <row r="90" spans="1:8" ht="16.5" x14ac:dyDescent="0.3">
      <c r="A90" s="1"/>
      <c r="B90" s="1"/>
      <c r="C90" s="1"/>
      <c r="D90" s="1"/>
      <c r="E90" s="1"/>
      <c r="F90" s="1"/>
      <c r="G90" s="1"/>
      <c r="H90" s="1"/>
    </row>
    <row r="91" spans="1:8" ht="16.5" x14ac:dyDescent="0.3">
      <c r="A91" s="1"/>
      <c r="B91" s="1"/>
      <c r="C91" s="1"/>
      <c r="D91" s="1"/>
      <c r="E91" s="1"/>
      <c r="F91" s="1"/>
      <c r="G91" s="1"/>
      <c r="H91" s="1"/>
    </row>
    <row r="92" spans="1:8" ht="16.5" x14ac:dyDescent="0.3">
      <c r="A92" s="1"/>
      <c r="B92" s="1"/>
      <c r="C92" s="1"/>
      <c r="D92" s="1"/>
      <c r="E92" s="1"/>
      <c r="F92" s="1"/>
      <c r="G92" s="1"/>
      <c r="H92" s="1"/>
    </row>
    <row r="93" spans="1:8" ht="16.5" x14ac:dyDescent="0.3">
      <c r="A93" s="1"/>
      <c r="B93" s="1"/>
      <c r="C93" s="1"/>
      <c r="D93" s="1"/>
      <c r="E93" s="1"/>
      <c r="F93" s="1"/>
      <c r="G93" s="1"/>
      <c r="H93" s="1"/>
    </row>
    <row r="94" spans="1:8" ht="16.5" x14ac:dyDescent="0.3">
      <c r="A94" s="1"/>
      <c r="B94" s="1"/>
      <c r="C94" s="1"/>
      <c r="D94" s="1"/>
      <c r="E94" s="1"/>
      <c r="F94" s="1"/>
      <c r="G94" s="1"/>
      <c r="H94" s="1"/>
    </row>
    <row r="95" spans="1:8" ht="16.5" x14ac:dyDescent="0.3">
      <c r="A95" s="1"/>
      <c r="B95" s="1"/>
      <c r="C95" s="1"/>
      <c r="D95" s="1"/>
      <c r="E95" s="1"/>
      <c r="F95" s="1"/>
      <c r="G95" s="1"/>
      <c r="H95" s="1"/>
    </row>
    <row r="96" spans="1:8" ht="16.5" x14ac:dyDescent="0.3">
      <c r="A96" s="1"/>
      <c r="B96" s="1"/>
      <c r="C96" s="1"/>
      <c r="D96" s="1"/>
      <c r="E96" s="1"/>
      <c r="F96" s="1"/>
      <c r="G96" s="1"/>
      <c r="H96" s="1"/>
    </row>
    <row r="97" spans="1:8" ht="16.5" x14ac:dyDescent="0.3">
      <c r="A97" s="1"/>
      <c r="B97" s="1"/>
      <c r="C97" s="1"/>
      <c r="D97" s="1"/>
      <c r="E97" s="1"/>
      <c r="F97" s="1"/>
      <c r="G97" s="1"/>
      <c r="H97" s="1"/>
    </row>
    <row r="98" spans="1:8" ht="16.5" x14ac:dyDescent="0.3">
      <c r="A98" s="1"/>
      <c r="B98" s="1"/>
      <c r="C98" s="1"/>
      <c r="D98" s="1"/>
      <c r="E98" s="1"/>
      <c r="F98" s="1"/>
      <c r="G98" s="1"/>
      <c r="H98" s="1"/>
    </row>
    <row r="99" spans="1:8" ht="16.5" x14ac:dyDescent="0.3">
      <c r="A99" s="1"/>
      <c r="B99" s="1"/>
      <c r="C99" s="1"/>
      <c r="D99" s="1"/>
      <c r="E99" s="1"/>
      <c r="F99" s="1"/>
      <c r="G99" s="1"/>
      <c r="H99" s="1"/>
    </row>
    <row r="100" spans="1:8" ht="16.5" x14ac:dyDescent="0.3">
      <c r="A100" s="1"/>
      <c r="B100" s="1"/>
      <c r="C100" s="1"/>
      <c r="D100" s="1"/>
      <c r="E100" s="1"/>
      <c r="F100" s="1"/>
      <c r="G100" s="1"/>
      <c r="H100" s="1"/>
    </row>
    <row r="101" spans="1:8" ht="16.5" x14ac:dyDescent="0.3">
      <c r="A101" s="1"/>
      <c r="B101" s="1"/>
      <c r="C101" s="1"/>
      <c r="D101" s="1"/>
      <c r="E101" s="1"/>
      <c r="F101" s="1"/>
      <c r="G101" s="1"/>
      <c r="H101" s="1"/>
    </row>
    <row r="102" spans="1:8" ht="16.5" x14ac:dyDescent="0.3">
      <c r="A102" s="1"/>
      <c r="B102" s="1"/>
      <c r="C102" s="1"/>
      <c r="D102" s="1"/>
      <c r="E102" s="1"/>
      <c r="F102" s="1"/>
      <c r="G102" s="1"/>
      <c r="H102" s="1"/>
    </row>
    <row r="103" spans="1:8" ht="16.5" x14ac:dyDescent="0.3">
      <c r="A103" s="1"/>
      <c r="B103" s="1"/>
      <c r="C103" s="1"/>
      <c r="D103" s="1"/>
      <c r="E103" s="1"/>
      <c r="F103" s="1"/>
      <c r="G103" s="1"/>
      <c r="H103" s="1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zoomScale="85" zoomScaleNormal="85" workbookViewId="0">
      <pane ySplit="4" topLeftCell="A44" activePane="bottomLeft" state="frozen"/>
      <selection pane="bottomLeft" activeCell="E58" sqref="E58"/>
    </sheetView>
  </sheetViews>
  <sheetFormatPr baseColWidth="10" defaultRowHeight="15" x14ac:dyDescent="0.25"/>
  <cols>
    <col min="1" max="1" width="3" bestFit="1" customWidth="1"/>
    <col min="2" max="2" width="17.7109375" bestFit="1" customWidth="1"/>
    <col min="3" max="3" width="49.5703125" bestFit="1" customWidth="1"/>
    <col min="4" max="4" width="13.7109375" customWidth="1"/>
    <col min="6" max="6" width="12.5703125" bestFit="1" customWidth="1"/>
    <col min="7" max="7" width="12.28515625" bestFit="1" customWidth="1"/>
    <col min="8" max="8" width="12" bestFit="1" customWidth="1"/>
    <col min="9" max="9" width="12" customWidth="1"/>
    <col min="11" max="11" width="12.7109375" customWidth="1"/>
  </cols>
  <sheetData>
    <row r="1" spans="1:12" ht="16.5" x14ac:dyDescent="0.3">
      <c r="A1" s="589" t="s">
        <v>279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</row>
    <row r="2" spans="1:12" ht="17.25" thickBot="1" x14ac:dyDescent="0.35">
      <c r="A2" s="589" t="s">
        <v>739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</row>
    <row r="3" spans="1:12" ht="17.25" thickBot="1" x14ac:dyDescent="0.35">
      <c r="A3" s="1"/>
      <c r="B3" s="1"/>
      <c r="C3" s="1"/>
      <c r="D3" s="101"/>
      <c r="E3" s="593" t="s">
        <v>319</v>
      </c>
      <c r="F3" s="594"/>
      <c r="G3" s="594"/>
      <c r="H3" s="595"/>
      <c r="I3" s="102" t="s">
        <v>201</v>
      </c>
      <c r="J3" s="102" t="s">
        <v>320</v>
      </c>
      <c r="K3" s="102" t="s">
        <v>321</v>
      </c>
      <c r="L3" s="102" t="s">
        <v>322</v>
      </c>
    </row>
    <row r="4" spans="1:12" ht="15.75" thickBot="1" x14ac:dyDescent="0.3">
      <c r="A4" s="103" t="s">
        <v>323</v>
      </c>
      <c r="B4" s="104" t="s">
        <v>324</v>
      </c>
      <c r="C4" s="104" t="s">
        <v>325</v>
      </c>
      <c r="D4" s="105" t="s">
        <v>740</v>
      </c>
      <c r="E4" s="106" t="s">
        <v>326</v>
      </c>
      <c r="F4" s="106" t="s">
        <v>327</v>
      </c>
      <c r="G4" s="106" t="s">
        <v>328</v>
      </c>
      <c r="H4" s="107" t="s">
        <v>744</v>
      </c>
      <c r="I4" s="108" t="s">
        <v>329</v>
      </c>
      <c r="J4" s="102" t="s">
        <v>330</v>
      </c>
      <c r="K4" s="102" t="s">
        <v>624</v>
      </c>
      <c r="L4" s="102" t="s">
        <v>626</v>
      </c>
    </row>
    <row r="5" spans="1:12" ht="16.5" x14ac:dyDescent="0.3">
      <c r="A5" s="45"/>
      <c r="B5" s="116"/>
      <c r="C5" s="117" t="s">
        <v>315</v>
      </c>
      <c r="D5" s="110"/>
      <c r="E5" s="120"/>
      <c r="F5" s="120"/>
      <c r="G5" s="120"/>
      <c r="H5" s="24"/>
      <c r="I5" s="24"/>
      <c r="J5" s="24"/>
      <c r="K5" s="24"/>
      <c r="L5" s="46"/>
    </row>
    <row r="6" spans="1:12" ht="16.5" x14ac:dyDescent="0.3">
      <c r="A6" s="565">
        <v>1</v>
      </c>
      <c r="B6" s="113">
        <v>440008465</v>
      </c>
      <c r="C6" s="56" t="s">
        <v>627</v>
      </c>
      <c r="D6" s="57"/>
      <c r="E6" s="29">
        <v>97.39</v>
      </c>
      <c r="F6" s="29"/>
      <c r="G6" s="29"/>
      <c r="H6" s="29"/>
      <c r="I6" s="29"/>
      <c r="J6" s="29"/>
      <c r="K6" s="29"/>
      <c r="L6" s="47"/>
    </row>
    <row r="7" spans="1:12" ht="16.5" x14ac:dyDescent="0.3">
      <c r="A7" s="565">
        <v>2</v>
      </c>
      <c r="B7" s="113">
        <v>440008473</v>
      </c>
      <c r="C7" s="115" t="s">
        <v>627</v>
      </c>
      <c r="D7" s="57"/>
      <c r="E7" s="29"/>
      <c r="F7" s="29">
        <v>151.33000000000001</v>
      </c>
      <c r="G7" s="29"/>
      <c r="H7" s="29"/>
      <c r="I7" s="29"/>
      <c r="J7" s="29"/>
      <c r="K7" s="29"/>
      <c r="L7" s="47"/>
    </row>
    <row r="8" spans="1:12" ht="16.5" x14ac:dyDescent="0.3">
      <c r="A8" s="565">
        <v>3</v>
      </c>
      <c r="B8" s="113">
        <v>440008848</v>
      </c>
      <c r="C8" s="56" t="s">
        <v>625</v>
      </c>
      <c r="D8" s="57"/>
      <c r="E8" s="29"/>
      <c r="F8" s="29">
        <v>78.2</v>
      </c>
      <c r="G8" s="29"/>
      <c r="H8" s="29"/>
      <c r="I8" s="29"/>
      <c r="J8" s="29"/>
      <c r="K8" s="29"/>
      <c r="L8" s="47">
        <v>2384.98</v>
      </c>
    </row>
    <row r="9" spans="1:12" ht="16.5" x14ac:dyDescent="0.3">
      <c r="A9" s="565">
        <v>5</v>
      </c>
      <c r="B9" s="113">
        <v>440009631</v>
      </c>
      <c r="C9" s="56" t="s">
        <v>636</v>
      </c>
      <c r="D9" s="57"/>
      <c r="E9" s="29"/>
      <c r="F9" s="29"/>
      <c r="G9" s="29"/>
      <c r="H9" s="29"/>
      <c r="I9" s="29"/>
      <c r="J9" s="29"/>
      <c r="K9" s="29">
        <v>67.7</v>
      </c>
      <c r="L9" s="47"/>
    </row>
    <row r="10" spans="1:12" ht="16.5" x14ac:dyDescent="0.3">
      <c r="A10" s="565">
        <v>6</v>
      </c>
      <c r="B10" s="113">
        <v>440009640</v>
      </c>
      <c r="C10" s="115" t="s">
        <v>651</v>
      </c>
      <c r="D10" s="109"/>
      <c r="E10" s="29"/>
      <c r="F10" s="29"/>
      <c r="G10" s="29"/>
      <c r="H10" s="29"/>
      <c r="I10" s="29"/>
      <c r="J10" s="29"/>
      <c r="K10" s="29">
        <v>361.02</v>
      </c>
      <c r="L10" s="47"/>
    </row>
    <row r="11" spans="1:12" ht="16.5" x14ac:dyDescent="0.3">
      <c r="A11" s="565">
        <v>7</v>
      </c>
      <c r="B11" s="113">
        <v>440010486</v>
      </c>
      <c r="C11" s="56" t="s">
        <v>652</v>
      </c>
      <c r="D11" s="57"/>
      <c r="E11" s="29"/>
      <c r="F11" s="29"/>
      <c r="G11" s="29"/>
      <c r="H11" s="29"/>
      <c r="I11" s="29"/>
      <c r="J11" s="29"/>
      <c r="K11" s="29">
        <v>94.33</v>
      </c>
      <c r="L11" s="47"/>
    </row>
    <row r="12" spans="1:12" ht="16.5" x14ac:dyDescent="0.3">
      <c r="A12" s="565">
        <v>8</v>
      </c>
      <c r="B12" s="113">
        <v>440010494</v>
      </c>
      <c r="C12" s="56" t="s">
        <v>653</v>
      </c>
      <c r="D12" s="57"/>
      <c r="E12" s="29"/>
      <c r="F12" s="29">
        <v>1528.38</v>
      </c>
      <c r="G12" s="29"/>
      <c r="H12" s="29"/>
      <c r="I12" s="29"/>
      <c r="J12" s="29"/>
      <c r="K12" s="29"/>
      <c r="L12" s="47"/>
    </row>
    <row r="13" spans="1:12" ht="16.5" x14ac:dyDescent="0.3">
      <c r="A13" s="565">
        <v>9</v>
      </c>
      <c r="B13" s="113">
        <v>440010575</v>
      </c>
      <c r="C13" s="56" t="s">
        <v>656</v>
      </c>
      <c r="D13" s="57"/>
      <c r="E13" s="29"/>
      <c r="F13" s="29">
        <v>97.46</v>
      </c>
      <c r="G13" s="29"/>
      <c r="H13" s="29"/>
      <c r="I13" s="29"/>
      <c r="J13" s="29"/>
      <c r="K13" s="29">
        <v>92050.66</v>
      </c>
      <c r="L13" s="47"/>
    </row>
    <row r="14" spans="1:12" ht="16.5" x14ac:dyDescent="0.3">
      <c r="A14" s="565">
        <v>10</v>
      </c>
      <c r="B14" s="113">
        <v>440010583</v>
      </c>
      <c r="C14" s="56" t="s">
        <v>657</v>
      </c>
      <c r="D14" s="109"/>
      <c r="E14" s="29"/>
      <c r="F14" s="29">
        <v>97.46</v>
      </c>
      <c r="G14" s="29"/>
      <c r="H14" s="29"/>
      <c r="I14" s="29"/>
      <c r="J14" s="29"/>
      <c r="K14" s="29">
        <v>50754.3</v>
      </c>
      <c r="L14" s="47"/>
    </row>
    <row r="15" spans="1:12" ht="16.5" x14ac:dyDescent="0.3">
      <c r="A15" s="565">
        <v>11</v>
      </c>
      <c r="B15" s="113">
        <v>440010630</v>
      </c>
      <c r="C15" s="56" t="s">
        <v>658</v>
      </c>
      <c r="D15" s="57"/>
      <c r="E15" s="29"/>
      <c r="F15" s="29">
        <v>97.46</v>
      </c>
      <c r="G15" s="29"/>
      <c r="H15" s="29"/>
      <c r="I15" s="29"/>
      <c r="J15" s="29"/>
      <c r="K15" s="29">
        <v>14008.45</v>
      </c>
      <c r="L15" s="47"/>
    </row>
    <row r="16" spans="1:12" ht="16.5" x14ac:dyDescent="0.3">
      <c r="A16" s="565">
        <v>12</v>
      </c>
      <c r="B16" s="113">
        <v>440010656</v>
      </c>
      <c r="C16" s="56" t="s">
        <v>655</v>
      </c>
      <c r="D16" s="57"/>
      <c r="E16" s="29"/>
      <c r="F16" s="29">
        <v>97.46</v>
      </c>
      <c r="G16" s="29"/>
      <c r="H16" s="29"/>
      <c r="I16" s="29"/>
      <c r="J16" s="29"/>
      <c r="K16" s="29">
        <v>10824.67</v>
      </c>
      <c r="L16" s="47"/>
    </row>
    <row r="17" spans="1:12" ht="16.5" x14ac:dyDescent="0.3">
      <c r="A17" s="565">
        <v>13</v>
      </c>
      <c r="B17" s="113">
        <v>440010621</v>
      </c>
      <c r="C17" s="115" t="s">
        <v>660</v>
      </c>
      <c r="D17" s="57"/>
      <c r="E17" s="29"/>
      <c r="F17" s="29">
        <v>97.46</v>
      </c>
      <c r="G17" s="29"/>
      <c r="H17" s="29"/>
      <c r="I17" s="29"/>
      <c r="J17" s="29"/>
      <c r="K17" s="29">
        <v>5209.26</v>
      </c>
      <c r="L17" s="47"/>
    </row>
    <row r="18" spans="1:12" ht="16.5" x14ac:dyDescent="0.3">
      <c r="A18" s="565">
        <v>14</v>
      </c>
      <c r="B18" s="113">
        <v>440010648</v>
      </c>
      <c r="C18" s="56" t="s">
        <v>659</v>
      </c>
      <c r="D18" s="57"/>
      <c r="E18" s="29"/>
      <c r="F18" s="29">
        <v>90.96</v>
      </c>
      <c r="G18" s="29"/>
      <c r="H18" s="29"/>
      <c r="I18" s="29"/>
      <c r="J18" s="29"/>
      <c r="K18" s="29">
        <v>16931.43</v>
      </c>
      <c r="L18" s="47"/>
    </row>
    <row r="19" spans="1:12" ht="16.5" x14ac:dyDescent="0.3">
      <c r="A19" s="565">
        <v>15</v>
      </c>
      <c r="B19" s="113">
        <v>440010702</v>
      </c>
      <c r="C19" s="56" t="s">
        <v>654</v>
      </c>
      <c r="D19" s="109"/>
      <c r="E19" s="29"/>
      <c r="F19" s="29">
        <v>87</v>
      </c>
      <c r="G19" s="29"/>
      <c r="H19" s="29"/>
      <c r="I19" s="29"/>
      <c r="J19" s="29"/>
      <c r="K19" s="29">
        <v>15101.51</v>
      </c>
      <c r="L19" s="47"/>
    </row>
    <row r="20" spans="1:12" ht="16.5" x14ac:dyDescent="0.3">
      <c r="A20" s="565">
        <v>16</v>
      </c>
      <c r="B20" s="113">
        <v>440010974</v>
      </c>
      <c r="C20" s="56" t="s">
        <v>741</v>
      </c>
      <c r="D20" s="57"/>
      <c r="E20" s="29"/>
      <c r="F20" s="29"/>
      <c r="G20" s="29"/>
      <c r="H20" s="29"/>
      <c r="I20" s="29"/>
      <c r="J20" s="29"/>
      <c r="K20" s="29">
        <v>13614.46</v>
      </c>
      <c r="L20" s="47"/>
    </row>
    <row r="21" spans="1:12" ht="16.5" x14ac:dyDescent="0.3">
      <c r="A21" s="565">
        <v>17</v>
      </c>
      <c r="B21" s="113">
        <v>440011059</v>
      </c>
      <c r="C21" s="56" t="s">
        <v>742</v>
      </c>
      <c r="D21" s="57"/>
      <c r="E21" s="29"/>
      <c r="F21" s="29">
        <v>4322.66</v>
      </c>
      <c r="G21" s="29"/>
      <c r="H21" s="29"/>
      <c r="I21" s="29"/>
      <c r="J21" s="29"/>
      <c r="K21" s="29"/>
      <c r="L21" s="47"/>
    </row>
    <row r="22" spans="1:12" ht="16.5" x14ac:dyDescent="0.3">
      <c r="A22" s="565">
        <v>18</v>
      </c>
      <c r="B22" s="113">
        <v>440011180</v>
      </c>
      <c r="C22" s="56" t="s">
        <v>743</v>
      </c>
      <c r="D22" s="57"/>
      <c r="E22" s="29"/>
      <c r="F22" s="29"/>
      <c r="G22" s="29"/>
      <c r="H22" s="29">
        <v>3869.81</v>
      </c>
      <c r="I22" s="29"/>
      <c r="J22" s="29"/>
      <c r="K22" s="29"/>
      <c r="L22" s="47"/>
    </row>
    <row r="23" spans="1:12" ht="16.5" x14ac:dyDescent="0.3">
      <c r="A23" s="565">
        <v>19</v>
      </c>
      <c r="B23" s="113">
        <v>440011229</v>
      </c>
      <c r="C23" s="56" t="s">
        <v>745</v>
      </c>
      <c r="D23" s="57"/>
      <c r="E23" s="29"/>
      <c r="F23" s="29"/>
      <c r="G23" s="29"/>
      <c r="H23" s="29">
        <v>22658.81</v>
      </c>
      <c r="I23" s="29"/>
      <c r="J23" s="29"/>
      <c r="K23" s="29"/>
      <c r="L23" s="47"/>
    </row>
    <row r="24" spans="1:12" ht="16.5" x14ac:dyDescent="0.3">
      <c r="A24" s="565">
        <v>20</v>
      </c>
      <c r="B24" s="113">
        <v>440011237</v>
      </c>
      <c r="C24" s="56" t="s">
        <v>746</v>
      </c>
      <c r="D24" s="57"/>
      <c r="E24" s="29"/>
      <c r="F24" s="29"/>
      <c r="G24" s="29"/>
      <c r="H24" s="29">
        <v>53881.82</v>
      </c>
      <c r="I24" s="29"/>
      <c r="J24" s="29"/>
      <c r="K24" s="29"/>
      <c r="L24" s="47"/>
    </row>
    <row r="25" spans="1:12" ht="16.5" x14ac:dyDescent="0.3">
      <c r="A25" s="565"/>
      <c r="B25" s="113">
        <v>440011210</v>
      </c>
      <c r="C25" s="56" t="s">
        <v>747</v>
      </c>
      <c r="D25" s="57"/>
      <c r="E25" s="29"/>
      <c r="F25" s="29"/>
      <c r="G25" s="29"/>
      <c r="H25" s="29">
        <v>159379.12</v>
      </c>
      <c r="I25" s="29"/>
      <c r="J25" s="29"/>
      <c r="K25" s="29"/>
      <c r="L25" s="47"/>
    </row>
    <row r="26" spans="1:12" ht="16.5" x14ac:dyDescent="0.3">
      <c r="A26" s="565"/>
      <c r="B26" s="113">
        <v>440011253</v>
      </c>
      <c r="C26" s="56" t="s">
        <v>748</v>
      </c>
      <c r="D26" s="57"/>
      <c r="E26" s="29"/>
      <c r="F26" s="29">
        <v>97.46</v>
      </c>
      <c r="G26" s="29"/>
      <c r="H26" s="29"/>
      <c r="I26" s="29"/>
      <c r="J26" s="29"/>
      <c r="K26" s="29"/>
      <c r="L26" s="47"/>
    </row>
    <row r="27" spans="1:12" ht="16.5" x14ac:dyDescent="0.3">
      <c r="A27" s="6">
        <v>16</v>
      </c>
      <c r="B27" s="113">
        <v>440011245</v>
      </c>
      <c r="C27" s="56" t="s">
        <v>749</v>
      </c>
      <c r="D27" s="57"/>
      <c r="E27" s="29"/>
      <c r="F27" s="29">
        <v>97.46</v>
      </c>
      <c r="G27" s="29"/>
      <c r="H27" s="29"/>
      <c r="I27" s="29"/>
      <c r="J27" s="29"/>
      <c r="K27" s="29"/>
      <c r="L27" s="47"/>
    </row>
    <row r="28" spans="1:12" ht="16.5" x14ac:dyDescent="0.3">
      <c r="A28" s="6"/>
      <c r="B28" s="113">
        <v>440011431</v>
      </c>
      <c r="C28" s="56" t="s">
        <v>750</v>
      </c>
      <c r="D28" s="57"/>
      <c r="E28" s="29"/>
      <c r="F28" s="29">
        <v>4097.46</v>
      </c>
      <c r="G28" s="29"/>
      <c r="H28" s="29"/>
      <c r="I28" s="29"/>
      <c r="J28" s="29"/>
      <c r="K28" s="29"/>
      <c r="L28" s="47"/>
    </row>
    <row r="29" spans="1:12" ht="16.5" x14ac:dyDescent="0.3">
      <c r="A29" s="6"/>
      <c r="B29" s="113">
        <v>440011440</v>
      </c>
      <c r="C29" s="56" t="s">
        <v>751</v>
      </c>
      <c r="D29" s="57"/>
      <c r="E29" s="29"/>
      <c r="F29" s="29">
        <v>2097.46</v>
      </c>
      <c r="G29" s="29"/>
      <c r="H29" s="29"/>
      <c r="I29" s="29"/>
      <c r="J29" s="29"/>
      <c r="K29" s="29"/>
      <c r="L29" s="47"/>
    </row>
    <row r="30" spans="1:12" ht="16.5" x14ac:dyDescent="0.3">
      <c r="A30" s="6"/>
      <c r="B30" s="113">
        <v>440011458</v>
      </c>
      <c r="C30" s="56" t="s">
        <v>752</v>
      </c>
      <c r="D30" s="57"/>
      <c r="E30" s="29"/>
      <c r="F30" s="29">
        <v>97.46</v>
      </c>
      <c r="G30" s="29"/>
      <c r="H30" s="29"/>
      <c r="I30" s="29"/>
      <c r="J30" s="29"/>
      <c r="K30" s="29"/>
      <c r="L30" s="47"/>
    </row>
    <row r="31" spans="1:12" ht="16.5" x14ac:dyDescent="0.3">
      <c r="A31" s="6">
        <v>17</v>
      </c>
      <c r="B31" s="113">
        <v>440011466</v>
      </c>
      <c r="C31" s="115" t="s">
        <v>753</v>
      </c>
      <c r="D31" s="109"/>
      <c r="E31" s="29"/>
      <c r="F31" s="29">
        <v>97.46</v>
      </c>
      <c r="G31" s="29"/>
      <c r="H31" s="29"/>
      <c r="I31" s="29"/>
      <c r="J31" s="29"/>
      <c r="K31" s="29"/>
      <c r="L31" s="47"/>
    </row>
    <row r="32" spans="1:12" ht="16.5" x14ac:dyDescent="0.3">
      <c r="A32" s="6"/>
      <c r="B32" s="113"/>
      <c r="C32" s="114" t="s">
        <v>316</v>
      </c>
      <c r="D32" s="109"/>
      <c r="E32" s="29"/>
      <c r="F32" s="29"/>
      <c r="G32" s="29"/>
      <c r="H32" s="29"/>
      <c r="I32" s="29"/>
      <c r="J32" s="29"/>
      <c r="K32" s="29"/>
      <c r="L32" s="47"/>
    </row>
    <row r="33" spans="1:12" ht="16.5" x14ac:dyDescent="0.3">
      <c r="A33" s="565">
        <v>18</v>
      </c>
      <c r="B33" s="113" t="s">
        <v>317</v>
      </c>
      <c r="C33" s="56" t="s">
        <v>318</v>
      </c>
      <c r="D33" s="57"/>
      <c r="E33" s="29"/>
      <c r="F33" s="29"/>
      <c r="G33" s="29"/>
      <c r="H33" s="29"/>
      <c r="I33" s="29"/>
      <c r="J33" s="29"/>
      <c r="K33" s="29"/>
      <c r="L33" s="47"/>
    </row>
    <row r="34" spans="1:12" ht="16.5" x14ac:dyDescent="0.3">
      <c r="A34" s="565">
        <v>19</v>
      </c>
      <c r="B34" s="113" t="s">
        <v>597</v>
      </c>
      <c r="C34" s="56" t="s">
        <v>635</v>
      </c>
      <c r="D34" s="57"/>
      <c r="E34" s="29"/>
      <c r="F34" s="29"/>
      <c r="G34" s="29"/>
      <c r="H34" s="29"/>
      <c r="I34" s="29">
        <v>51263.61</v>
      </c>
      <c r="J34" s="29"/>
      <c r="K34" s="29"/>
      <c r="L34" s="47"/>
    </row>
    <row r="35" spans="1:12" ht="16.5" x14ac:dyDescent="0.3">
      <c r="A35" s="565">
        <v>20</v>
      </c>
      <c r="B35" s="113" t="s">
        <v>649</v>
      </c>
      <c r="C35" s="115" t="s">
        <v>650</v>
      </c>
      <c r="D35" s="57"/>
      <c r="E35" s="29"/>
      <c r="F35" s="29">
        <v>4029.16</v>
      </c>
      <c r="G35" s="29"/>
      <c r="H35" s="29"/>
      <c r="I35" s="29"/>
      <c r="J35" s="29"/>
      <c r="K35" s="29">
        <v>11087.9</v>
      </c>
      <c r="L35" s="47"/>
    </row>
    <row r="36" spans="1:12" ht="16.5" x14ac:dyDescent="0.3">
      <c r="A36" s="565"/>
      <c r="B36" s="113" t="s">
        <v>647</v>
      </c>
      <c r="C36" s="115" t="s">
        <v>648</v>
      </c>
      <c r="D36" s="57"/>
      <c r="E36" s="29"/>
      <c r="F36" s="29">
        <v>44.35</v>
      </c>
      <c r="G36" s="29"/>
      <c r="H36" s="29"/>
      <c r="I36" s="29"/>
      <c r="J36" s="29"/>
      <c r="K36" s="29"/>
      <c r="L36" s="47"/>
    </row>
    <row r="37" spans="1:12" ht="16.5" x14ac:dyDescent="0.3">
      <c r="A37" s="565"/>
      <c r="B37" s="113" t="s">
        <v>754</v>
      </c>
      <c r="C37" s="115" t="s">
        <v>755</v>
      </c>
      <c r="D37" s="57"/>
      <c r="E37" s="29"/>
      <c r="F37" s="29">
        <v>91.73</v>
      </c>
      <c r="G37" s="29"/>
      <c r="H37" s="29"/>
      <c r="I37" s="29"/>
      <c r="J37" s="29"/>
      <c r="K37" s="29"/>
      <c r="L37" s="47"/>
    </row>
    <row r="38" spans="1:12" ht="16.5" x14ac:dyDescent="0.3">
      <c r="A38" s="565">
        <v>21</v>
      </c>
      <c r="B38" s="113" t="s">
        <v>756</v>
      </c>
      <c r="C38" s="56" t="s">
        <v>757</v>
      </c>
      <c r="D38" s="57"/>
      <c r="E38" s="29"/>
      <c r="F38" s="29">
        <v>187.01</v>
      </c>
      <c r="G38" s="29"/>
      <c r="H38" s="29"/>
      <c r="I38" s="29"/>
      <c r="J38" s="29"/>
      <c r="K38" s="29"/>
      <c r="L38" s="47"/>
    </row>
    <row r="39" spans="1:12" ht="17.25" thickBot="1" x14ac:dyDescent="0.35">
      <c r="A39" s="565">
        <v>22</v>
      </c>
      <c r="B39" s="113" t="s">
        <v>758</v>
      </c>
      <c r="C39" s="56" t="s">
        <v>759</v>
      </c>
      <c r="D39" s="58"/>
      <c r="E39" s="29"/>
      <c r="F39" s="29">
        <v>170.93</v>
      </c>
      <c r="G39" s="29"/>
      <c r="H39" s="29"/>
      <c r="I39" s="29"/>
      <c r="J39" s="29"/>
      <c r="K39" s="29"/>
      <c r="L39" s="47"/>
    </row>
    <row r="40" spans="1:12" ht="17.25" thickBot="1" x14ac:dyDescent="0.35">
      <c r="A40" s="565">
        <v>23</v>
      </c>
      <c r="B40" s="113" t="s">
        <v>760</v>
      </c>
      <c r="C40" s="56" t="s">
        <v>761</v>
      </c>
      <c r="D40" s="535"/>
      <c r="E40" s="29"/>
      <c r="F40" s="29">
        <v>182.92</v>
      </c>
      <c r="G40" s="29"/>
      <c r="H40" s="29"/>
      <c r="I40" s="29"/>
      <c r="J40" s="29"/>
      <c r="K40" s="29"/>
      <c r="L40" s="47"/>
    </row>
    <row r="41" spans="1:12" ht="16.5" x14ac:dyDescent="0.3">
      <c r="A41" s="565">
        <v>24</v>
      </c>
      <c r="B41" s="113" t="s">
        <v>762</v>
      </c>
      <c r="C41" s="115" t="s">
        <v>763</v>
      </c>
      <c r="D41" s="109"/>
      <c r="E41" s="29"/>
      <c r="F41" s="29">
        <v>17201.400000000001</v>
      </c>
      <c r="G41" s="29">
        <v>0</v>
      </c>
      <c r="H41" s="29"/>
      <c r="I41" s="29"/>
      <c r="J41" s="29"/>
      <c r="K41" s="29"/>
      <c r="L41" s="47"/>
    </row>
    <row r="42" spans="1:12" ht="17.25" thickBot="1" x14ac:dyDescent="0.35">
      <c r="A42" s="565">
        <v>25</v>
      </c>
      <c r="B42" s="113" t="s">
        <v>764</v>
      </c>
      <c r="C42" s="115" t="s">
        <v>765</v>
      </c>
      <c r="D42" s="109"/>
      <c r="E42" s="29"/>
      <c r="F42" s="29">
        <v>251.33</v>
      </c>
      <c r="G42" s="29">
        <v>0</v>
      </c>
      <c r="H42" s="29"/>
      <c r="I42" s="29"/>
      <c r="J42" s="29"/>
      <c r="K42" s="29"/>
      <c r="L42" s="47"/>
    </row>
    <row r="43" spans="1:12" ht="16.5" x14ac:dyDescent="0.3">
      <c r="A43" s="565">
        <v>26</v>
      </c>
      <c r="B43" s="113" t="s">
        <v>766</v>
      </c>
      <c r="C43" s="56" t="s">
        <v>644</v>
      </c>
      <c r="D43" s="559"/>
      <c r="E43" s="29"/>
      <c r="F43" s="29">
        <v>200.69</v>
      </c>
      <c r="G43" s="29"/>
      <c r="H43" s="29"/>
      <c r="I43" s="29"/>
      <c r="J43" s="29"/>
      <c r="K43" s="29"/>
      <c r="L43" s="47"/>
    </row>
    <row r="44" spans="1:12" ht="16.5" x14ac:dyDescent="0.3">
      <c r="A44" s="565"/>
      <c r="B44" s="113" t="s">
        <v>767</v>
      </c>
      <c r="C44" s="115" t="s">
        <v>768</v>
      </c>
      <c r="D44" s="561"/>
      <c r="E44" s="29"/>
      <c r="F44" s="29">
        <v>1714.61</v>
      </c>
      <c r="G44" s="29"/>
      <c r="H44" s="29"/>
      <c r="I44" s="29"/>
      <c r="J44" s="29"/>
      <c r="K44" s="29"/>
      <c r="L44" s="47"/>
    </row>
    <row r="45" spans="1:12" ht="16.5" x14ac:dyDescent="0.3">
      <c r="A45" s="565"/>
      <c r="B45" s="113" t="s">
        <v>769</v>
      </c>
      <c r="C45" s="115" t="s">
        <v>770</v>
      </c>
      <c r="D45" s="561"/>
      <c r="E45" s="29"/>
      <c r="F45" s="29">
        <v>251.68</v>
      </c>
      <c r="G45" s="29"/>
      <c r="H45" s="29"/>
      <c r="I45" s="29"/>
      <c r="J45" s="29"/>
      <c r="K45" s="29"/>
      <c r="L45" s="47"/>
    </row>
    <row r="46" spans="1:12" ht="16.5" x14ac:dyDescent="0.3">
      <c r="A46" s="565"/>
      <c r="B46" s="113" t="s">
        <v>771</v>
      </c>
      <c r="C46" s="115" t="s">
        <v>772</v>
      </c>
      <c r="D46" s="561"/>
      <c r="E46" s="29"/>
      <c r="F46" s="29">
        <v>969</v>
      </c>
      <c r="G46" s="29"/>
      <c r="H46" s="29"/>
      <c r="I46" s="29"/>
      <c r="J46" s="29"/>
      <c r="K46" s="29"/>
      <c r="L46" s="47"/>
    </row>
    <row r="47" spans="1:12" ht="16.5" x14ac:dyDescent="0.3">
      <c r="A47" s="565"/>
      <c r="B47" s="113" t="s">
        <v>773</v>
      </c>
      <c r="C47" s="115" t="s">
        <v>774</v>
      </c>
      <c r="D47" s="561"/>
      <c r="E47" s="29"/>
      <c r="F47" s="29">
        <v>151.59</v>
      </c>
      <c r="G47" s="29"/>
      <c r="H47" s="29"/>
      <c r="I47" s="29"/>
      <c r="J47" s="29"/>
      <c r="K47" s="29"/>
      <c r="L47" s="47"/>
    </row>
    <row r="48" spans="1:12" ht="16.5" x14ac:dyDescent="0.3">
      <c r="A48" s="565"/>
      <c r="B48" s="113" t="s">
        <v>775</v>
      </c>
      <c r="C48" s="115" t="s">
        <v>776</v>
      </c>
      <c r="D48" s="561"/>
      <c r="E48" s="29"/>
      <c r="F48" s="29">
        <v>825.06</v>
      </c>
      <c r="G48" s="29"/>
      <c r="H48" s="29"/>
      <c r="I48" s="29"/>
      <c r="J48" s="29"/>
      <c r="K48" s="29"/>
      <c r="L48" s="47"/>
    </row>
    <row r="49" spans="1:12" ht="16.5" x14ac:dyDescent="0.3">
      <c r="A49" s="565"/>
      <c r="B49" s="113" t="s">
        <v>777</v>
      </c>
      <c r="C49" s="115" t="s">
        <v>778</v>
      </c>
      <c r="D49" s="561"/>
      <c r="E49" s="29"/>
      <c r="F49" s="29">
        <v>100</v>
      </c>
      <c r="G49" s="29"/>
      <c r="H49" s="29"/>
      <c r="I49" s="29"/>
      <c r="J49" s="29"/>
      <c r="K49" s="29"/>
      <c r="L49" s="47"/>
    </row>
    <row r="50" spans="1:12" ht="16.5" x14ac:dyDescent="0.3">
      <c r="A50" s="565"/>
      <c r="B50" s="113" t="s">
        <v>779</v>
      </c>
      <c r="C50" s="115" t="s">
        <v>780</v>
      </c>
      <c r="D50" s="561"/>
      <c r="E50" s="29"/>
      <c r="F50" s="29">
        <v>100</v>
      </c>
      <c r="G50" s="29"/>
      <c r="H50" s="29"/>
      <c r="I50" s="29"/>
      <c r="J50" s="29"/>
      <c r="K50" s="29"/>
      <c r="L50" s="47"/>
    </row>
    <row r="51" spans="1:12" ht="16.5" x14ac:dyDescent="0.3">
      <c r="A51" s="565"/>
      <c r="B51" s="113"/>
      <c r="C51" s="115"/>
      <c r="D51" s="561"/>
      <c r="E51" s="29"/>
      <c r="F51" s="29"/>
      <c r="G51" s="29"/>
      <c r="H51" s="29"/>
      <c r="I51" s="29"/>
      <c r="J51" s="29"/>
      <c r="K51" s="29"/>
      <c r="L51" s="47"/>
    </row>
    <row r="52" spans="1:12" ht="16.5" x14ac:dyDescent="0.3">
      <c r="A52" s="6"/>
      <c r="B52" s="113"/>
      <c r="C52" s="7"/>
      <c r="D52" s="109"/>
      <c r="E52" s="29"/>
      <c r="F52" s="29"/>
      <c r="G52" s="29"/>
      <c r="H52" s="29"/>
      <c r="I52" s="29"/>
      <c r="J52" s="29"/>
      <c r="K52" s="29"/>
      <c r="L52" s="47"/>
    </row>
    <row r="53" spans="1:12" ht="17.25" thickBot="1" x14ac:dyDescent="0.35">
      <c r="A53" s="566"/>
      <c r="B53" s="567"/>
      <c r="C53" s="568"/>
      <c r="D53" s="109"/>
      <c r="E53" s="569"/>
      <c r="F53" s="569"/>
      <c r="G53" s="569"/>
      <c r="H53" s="569"/>
      <c r="I53" s="569"/>
      <c r="J53" s="569"/>
      <c r="K53" s="569"/>
      <c r="L53" s="570"/>
    </row>
    <row r="54" spans="1:12" ht="17.25" thickBot="1" x14ac:dyDescent="0.35">
      <c r="A54" s="60"/>
      <c r="B54" s="111"/>
      <c r="C54" s="118" t="s">
        <v>1</v>
      </c>
      <c r="D54" s="560">
        <f t="shared" ref="D54:L54" si="0">SUM(D6:D52)</f>
        <v>0</v>
      </c>
      <c r="E54" s="122">
        <f t="shared" si="0"/>
        <v>97.39</v>
      </c>
      <c r="F54" s="122">
        <f t="shared" si="0"/>
        <v>39802.049999999996</v>
      </c>
      <c r="G54" s="122">
        <f t="shared" si="0"/>
        <v>0</v>
      </c>
      <c r="H54" s="122">
        <f t="shared" si="0"/>
        <v>239789.56</v>
      </c>
      <c r="I54" s="122">
        <f t="shared" si="0"/>
        <v>51263.61</v>
      </c>
      <c r="J54" s="122">
        <f t="shared" si="0"/>
        <v>0</v>
      </c>
      <c r="K54" s="122">
        <f t="shared" si="0"/>
        <v>230105.69000000003</v>
      </c>
      <c r="L54" s="123">
        <f t="shared" si="0"/>
        <v>2384.98</v>
      </c>
    </row>
    <row r="55" spans="1:12" ht="17.25" thickBot="1" x14ac:dyDescent="0.35">
      <c r="A55" s="1"/>
      <c r="B55" s="1"/>
      <c r="C55" s="1"/>
      <c r="D55" s="101" t="s">
        <v>609</v>
      </c>
      <c r="E55" s="1"/>
      <c r="F55" s="1"/>
      <c r="G55" s="1"/>
      <c r="H55" s="1"/>
      <c r="I55" s="1"/>
      <c r="J55" s="1"/>
      <c r="K55" s="1"/>
      <c r="L55" s="1"/>
    </row>
    <row r="56" spans="1:12" ht="16.5" x14ac:dyDescent="0.3">
      <c r="A56" s="1"/>
      <c r="B56" s="54"/>
      <c r="C56" s="554" t="s">
        <v>781</v>
      </c>
      <c r="D56" s="555">
        <v>271428.15999999997</v>
      </c>
      <c r="F56" s="125" t="s">
        <v>319</v>
      </c>
      <c r="G56" s="126">
        <f>+E54+F54+G54+H54</f>
        <v>279689</v>
      </c>
      <c r="H56" s="100"/>
      <c r="I56" s="15"/>
      <c r="J56" s="1"/>
      <c r="K56" s="1"/>
      <c r="L56" s="1"/>
    </row>
    <row r="57" spans="1:12" ht="16.5" x14ac:dyDescent="0.3">
      <c r="A57" s="1"/>
      <c r="B57" s="54"/>
      <c r="C57" s="554" t="s">
        <v>782</v>
      </c>
      <c r="D57" s="55">
        <v>1358315.64</v>
      </c>
      <c r="F57" s="127" t="s">
        <v>201</v>
      </c>
      <c r="G57" s="112">
        <f>+I54</f>
        <v>51263.61</v>
      </c>
      <c r="H57" s="100"/>
      <c r="I57" s="15"/>
      <c r="J57" s="1"/>
      <c r="K57" s="1"/>
      <c r="L57" s="1"/>
    </row>
    <row r="58" spans="1:12" ht="17.25" thickBot="1" x14ac:dyDescent="0.35">
      <c r="A58" s="1"/>
      <c r="B58" s="54"/>
      <c r="C58" s="554" t="s">
        <v>783</v>
      </c>
      <c r="D58" s="130">
        <v>272603.02</v>
      </c>
      <c r="F58" s="127" t="s">
        <v>320</v>
      </c>
      <c r="G58" s="112">
        <f>+J54</f>
        <v>0</v>
      </c>
      <c r="H58" s="100"/>
      <c r="I58" s="15"/>
      <c r="J58" s="1"/>
      <c r="K58" s="1"/>
      <c r="L58" s="1"/>
    </row>
    <row r="59" spans="1:12" ht="17.25" thickBot="1" x14ac:dyDescent="0.35">
      <c r="A59" s="1"/>
      <c r="B59" s="54"/>
      <c r="C59" s="54"/>
      <c r="D59" s="556">
        <f>SUM(D56:D58)</f>
        <v>1902346.8199999998</v>
      </c>
      <c r="F59" s="127" t="s">
        <v>321</v>
      </c>
      <c r="G59" s="112">
        <f>+K54</f>
        <v>230105.69000000003</v>
      </c>
      <c r="H59" s="100"/>
      <c r="I59" s="15"/>
      <c r="J59" s="1"/>
      <c r="K59" s="1"/>
      <c r="L59" s="1"/>
    </row>
    <row r="60" spans="1:12" ht="18" thickTop="1" thickBot="1" x14ac:dyDescent="0.35">
      <c r="A60" s="1"/>
      <c r="B60" s="1"/>
      <c r="C60" s="1"/>
      <c r="D60" s="101"/>
      <c r="F60" s="128" t="s">
        <v>322</v>
      </c>
      <c r="G60" s="129">
        <f>+L54</f>
        <v>2384.98</v>
      </c>
      <c r="H60" s="100"/>
      <c r="I60" s="99"/>
      <c r="J60" s="1"/>
      <c r="K60" s="1"/>
      <c r="L60" s="1"/>
    </row>
    <row r="61" spans="1:12" ht="17.25" thickBot="1" x14ac:dyDescent="0.35">
      <c r="A61" s="1"/>
      <c r="B61" s="1"/>
      <c r="C61" s="1"/>
      <c r="D61" s="101"/>
      <c r="F61" s="124" t="s">
        <v>1</v>
      </c>
      <c r="G61" s="119">
        <f>SUM(G56:G60)</f>
        <v>563443.28</v>
      </c>
      <c r="H61" s="1"/>
      <c r="I61" s="558"/>
      <c r="J61" s="1"/>
      <c r="K61" s="1"/>
      <c r="L61" s="1"/>
    </row>
    <row r="62" spans="1:12" x14ac:dyDescent="0.25">
      <c r="D62" s="59"/>
    </row>
  </sheetData>
  <mergeCells count="3">
    <mergeCell ref="E3:H3"/>
    <mergeCell ref="A1:L1"/>
    <mergeCell ref="A2:L2"/>
  </mergeCells>
  <phoneticPr fontId="35" type="noConversion"/>
  <pageMargins left="0.70866141732283472" right="0.70866141732283472" top="0.66" bottom="0.74803149606299213" header="0.31496062992125984" footer="0.31496062992125984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zoomScale="120" zoomScaleNormal="120" workbookViewId="0">
      <pane ySplit="7" topLeftCell="A20" activePane="bottomLeft" state="frozen"/>
      <selection pane="bottomLeft" activeCell="D34" sqref="D34"/>
    </sheetView>
  </sheetViews>
  <sheetFormatPr baseColWidth="10" defaultRowHeight="15" x14ac:dyDescent="0.25"/>
  <cols>
    <col min="1" max="1" width="6" bestFit="1" customWidth="1"/>
    <col min="2" max="2" width="48.28515625" bestFit="1" customWidth="1"/>
    <col min="3" max="5" width="13.7109375" customWidth="1"/>
  </cols>
  <sheetData>
    <row r="1" spans="1:6" x14ac:dyDescent="0.25">
      <c r="A1" s="598" t="s">
        <v>242</v>
      </c>
      <c r="B1" s="598"/>
      <c r="C1" s="598"/>
      <c r="D1" s="598"/>
      <c r="E1" s="598"/>
      <c r="F1" s="88"/>
    </row>
    <row r="2" spans="1:6" x14ac:dyDescent="0.25">
      <c r="A2" s="598" t="s">
        <v>190</v>
      </c>
      <c r="B2" s="598"/>
      <c r="C2" s="598"/>
      <c r="D2" s="598"/>
      <c r="E2" s="598"/>
      <c r="F2" s="88"/>
    </row>
    <row r="3" spans="1:6" x14ac:dyDescent="0.25">
      <c r="A3" s="598" t="s">
        <v>243</v>
      </c>
      <c r="B3" s="598"/>
      <c r="C3" s="598"/>
      <c r="D3" s="598"/>
      <c r="E3" s="598"/>
      <c r="F3" s="88"/>
    </row>
    <row r="4" spans="1:6" ht="15.75" thickBot="1" x14ac:dyDescent="0.3">
      <c r="A4" s="599" t="s">
        <v>192</v>
      </c>
      <c r="B4" s="599"/>
      <c r="C4" s="599"/>
      <c r="D4" s="599"/>
      <c r="E4" s="599"/>
      <c r="F4" s="88"/>
    </row>
    <row r="5" spans="1:6" ht="15.75" thickBot="1" x14ac:dyDescent="0.3">
      <c r="A5" s="204"/>
      <c r="B5" s="205"/>
      <c r="C5" s="600" t="s">
        <v>244</v>
      </c>
      <c r="D5" s="601"/>
      <c r="E5" s="602"/>
      <c r="F5" s="88"/>
    </row>
    <row r="6" spans="1:6" x14ac:dyDescent="0.25">
      <c r="A6" s="224" t="s">
        <v>198</v>
      </c>
      <c r="B6" s="207"/>
      <c r="C6" s="596" t="s">
        <v>374</v>
      </c>
      <c r="D6" s="596" t="s">
        <v>375</v>
      </c>
      <c r="E6" s="596" t="s">
        <v>245</v>
      </c>
      <c r="F6" s="88"/>
    </row>
    <row r="7" spans="1:6" ht="38.25" customHeight="1" thickBot="1" x14ac:dyDescent="0.3">
      <c r="A7" s="224"/>
      <c r="B7" s="208" t="s">
        <v>173</v>
      </c>
      <c r="C7" s="603"/>
      <c r="D7" s="597"/>
      <c r="E7" s="597"/>
      <c r="F7" s="88"/>
    </row>
    <row r="8" spans="1:6" x14ac:dyDescent="0.25">
      <c r="A8" s="225">
        <v>54</v>
      </c>
      <c r="B8" s="226" t="s">
        <v>88</v>
      </c>
      <c r="C8" s="209">
        <f>+C9+C29+C35+C51+C56</f>
        <v>221587.24</v>
      </c>
      <c r="D8" s="209">
        <f>+D9+D29+D35+D51+D56</f>
        <v>0</v>
      </c>
      <c r="E8" s="210">
        <f t="shared" ref="E8:E34" si="0">+C8+D8</f>
        <v>221587.24</v>
      </c>
      <c r="F8" s="88"/>
    </row>
    <row r="9" spans="1:6" x14ac:dyDescent="0.25">
      <c r="A9" s="227">
        <v>541</v>
      </c>
      <c r="B9" s="132" t="s">
        <v>89</v>
      </c>
      <c r="C9" s="211">
        <v>0</v>
      </c>
      <c r="D9" s="211">
        <f>SUM(D10:D28)</f>
        <v>0</v>
      </c>
      <c r="E9" s="212">
        <f t="shared" si="0"/>
        <v>0</v>
      </c>
      <c r="F9" s="88"/>
    </row>
    <row r="10" spans="1:6" x14ac:dyDescent="0.25">
      <c r="A10" s="228">
        <v>54101</v>
      </c>
      <c r="B10" s="223" t="s">
        <v>202</v>
      </c>
      <c r="C10" s="213"/>
      <c r="D10" s="214">
        <v>0</v>
      </c>
      <c r="E10" s="229">
        <f t="shared" si="0"/>
        <v>0</v>
      </c>
      <c r="F10" s="88"/>
    </row>
    <row r="11" spans="1:6" x14ac:dyDescent="0.25">
      <c r="A11" s="228">
        <v>54103</v>
      </c>
      <c r="B11" s="223" t="s">
        <v>203</v>
      </c>
      <c r="C11" s="214"/>
      <c r="D11" s="214">
        <f>SUM([1]Egresos_CR!F13:N13)*[1]Egresos_CR!$I$106</f>
        <v>0</v>
      </c>
      <c r="E11" s="229">
        <f t="shared" si="0"/>
        <v>0</v>
      </c>
      <c r="F11" s="88"/>
    </row>
    <row r="12" spans="1:6" x14ac:dyDescent="0.25">
      <c r="A12" s="228">
        <v>54104</v>
      </c>
      <c r="B12" s="223" t="s">
        <v>91</v>
      </c>
      <c r="C12" s="214"/>
      <c r="D12" s="214">
        <v>0</v>
      </c>
      <c r="E12" s="229">
        <f t="shared" si="0"/>
        <v>0</v>
      </c>
      <c r="F12" s="88"/>
    </row>
    <row r="13" spans="1:6" x14ac:dyDescent="0.25">
      <c r="A13" s="228">
        <v>54105</v>
      </c>
      <c r="B13" s="223" t="s">
        <v>204</v>
      </c>
      <c r="C13" s="214"/>
      <c r="D13" s="214">
        <v>0</v>
      </c>
      <c r="E13" s="229">
        <f t="shared" si="0"/>
        <v>0</v>
      </c>
      <c r="F13" s="88"/>
    </row>
    <row r="14" spans="1:6" x14ac:dyDescent="0.25">
      <c r="A14" s="228">
        <v>54106</v>
      </c>
      <c r="B14" s="223" t="s">
        <v>93</v>
      </c>
      <c r="C14" s="213"/>
      <c r="D14" s="214">
        <v>0</v>
      </c>
      <c r="E14" s="229">
        <f t="shared" si="0"/>
        <v>0</v>
      </c>
      <c r="F14" s="88"/>
    </row>
    <row r="15" spans="1:6" x14ac:dyDescent="0.25">
      <c r="A15" s="228">
        <v>54107</v>
      </c>
      <c r="B15" s="223" t="s">
        <v>94</v>
      </c>
      <c r="C15" s="213"/>
      <c r="D15" s="214">
        <v>0</v>
      </c>
      <c r="E15" s="229">
        <f t="shared" si="0"/>
        <v>0</v>
      </c>
      <c r="F15" s="88"/>
    </row>
    <row r="16" spans="1:6" x14ac:dyDescent="0.25">
      <c r="A16" s="228">
        <v>54108</v>
      </c>
      <c r="B16" s="223" t="s">
        <v>95</v>
      </c>
      <c r="C16" s="213"/>
      <c r="D16" s="214">
        <f>SUM([1]Egresos_CR!F18:N18)*[1]Egresos_CR!$I$106</f>
        <v>0</v>
      </c>
      <c r="E16" s="229">
        <f t="shared" si="0"/>
        <v>0</v>
      </c>
      <c r="F16" s="88"/>
    </row>
    <row r="17" spans="1:6" x14ac:dyDescent="0.25">
      <c r="A17" s="228">
        <v>54109</v>
      </c>
      <c r="B17" s="223" t="s">
        <v>96</v>
      </c>
      <c r="C17" s="213"/>
      <c r="D17" s="214">
        <v>0</v>
      </c>
      <c r="E17" s="229">
        <f t="shared" si="0"/>
        <v>0</v>
      </c>
      <c r="F17" s="88"/>
    </row>
    <row r="18" spans="1:6" x14ac:dyDescent="0.25">
      <c r="A18" s="228">
        <v>54110</v>
      </c>
      <c r="B18" s="223" t="s">
        <v>97</v>
      </c>
      <c r="C18" s="213"/>
      <c r="D18" s="214">
        <v>0</v>
      </c>
      <c r="E18" s="229">
        <f t="shared" si="0"/>
        <v>0</v>
      </c>
      <c r="F18" s="88"/>
    </row>
    <row r="19" spans="1:6" x14ac:dyDescent="0.25">
      <c r="A19" s="228">
        <v>54111</v>
      </c>
      <c r="B19" s="223" t="s">
        <v>205</v>
      </c>
      <c r="C19" s="213"/>
      <c r="D19" s="214">
        <v>0</v>
      </c>
      <c r="E19" s="229">
        <f t="shared" si="0"/>
        <v>0</v>
      </c>
      <c r="F19" s="88"/>
    </row>
    <row r="20" spans="1:6" x14ac:dyDescent="0.25">
      <c r="A20" s="228">
        <v>54112</v>
      </c>
      <c r="B20" s="223" t="s">
        <v>206</v>
      </c>
      <c r="C20" s="213"/>
      <c r="D20" s="214">
        <v>0</v>
      </c>
      <c r="E20" s="229">
        <f t="shared" si="0"/>
        <v>0</v>
      </c>
      <c r="F20" s="88"/>
    </row>
    <row r="21" spans="1:6" x14ac:dyDescent="0.25">
      <c r="A21" s="228">
        <v>54114</v>
      </c>
      <c r="B21" s="223" t="s">
        <v>100</v>
      </c>
      <c r="C21" s="213"/>
      <c r="D21" s="214">
        <v>0</v>
      </c>
      <c r="E21" s="229">
        <f t="shared" si="0"/>
        <v>0</v>
      </c>
      <c r="F21" s="88"/>
    </row>
    <row r="22" spans="1:6" x14ac:dyDescent="0.25">
      <c r="A22" s="228">
        <v>54115</v>
      </c>
      <c r="B22" s="223" t="s">
        <v>101</v>
      </c>
      <c r="C22" s="213"/>
      <c r="D22" s="214">
        <v>0</v>
      </c>
      <c r="E22" s="229">
        <f t="shared" si="0"/>
        <v>0</v>
      </c>
      <c r="F22" s="88"/>
    </row>
    <row r="23" spans="1:6" x14ac:dyDescent="0.25">
      <c r="A23" s="228">
        <v>54116</v>
      </c>
      <c r="B23" s="223" t="s">
        <v>207</v>
      </c>
      <c r="C23" s="213"/>
      <c r="D23" s="214">
        <v>0</v>
      </c>
      <c r="E23" s="229">
        <f t="shared" si="0"/>
        <v>0</v>
      </c>
      <c r="F23" s="88"/>
    </row>
    <row r="24" spans="1:6" x14ac:dyDescent="0.25">
      <c r="A24" s="228">
        <v>54117</v>
      </c>
      <c r="B24" s="223" t="s">
        <v>102</v>
      </c>
      <c r="C24" s="213"/>
      <c r="D24" s="214">
        <v>0</v>
      </c>
      <c r="E24" s="229">
        <f t="shared" si="0"/>
        <v>0</v>
      </c>
      <c r="F24" s="88"/>
    </row>
    <row r="25" spans="1:6" x14ac:dyDescent="0.25">
      <c r="A25" s="228">
        <v>54118</v>
      </c>
      <c r="B25" s="223" t="s">
        <v>208</v>
      </c>
      <c r="C25" s="213"/>
      <c r="D25" s="214">
        <v>0</v>
      </c>
      <c r="E25" s="229">
        <f t="shared" si="0"/>
        <v>0</v>
      </c>
      <c r="F25" s="88"/>
    </row>
    <row r="26" spans="1:6" x14ac:dyDescent="0.25">
      <c r="A26" s="228">
        <v>54119</v>
      </c>
      <c r="B26" s="223" t="s">
        <v>104</v>
      </c>
      <c r="C26" s="213"/>
      <c r="D26" s="214">
        <v>0</v>
      </c>
      <c r="E26" s="229">
        <f t="shared" si="0"/>
        <v>0</v>
      </c>
      <c r="F26" s="88"/>
    </row>
    <row r="27" spans="1:6" x14ac:dyDescent="0.25">
      <c r="A27" s="228">
        <v>54121</v>
      </c>
      <c r="B27" s="223" t="s">
        <v>105</v>
      </c>
      <c r="C27" s="213"/>
      <c r="D27" s="214">
        <v>0</v>
      </c>
      <c r="E27" s="229">
        <f t="shared" si="0"/>
        <v>0</v>
      </c>
      <c r="F27" s="88"/>
    </row>
    <row r="28" spans="1:6" x14ac:dyDescent="0.25">
      <c r="A28" s="228">
        <v>54199</v>
      </c>
      <c r="B28" s="223" t="s">
        <v>209</v>
      </c>
      <c r="C28" s="213"/>
      <c r="D28" s="214">
        <v>0</v>
      </c>
      <c r="E28" s="229">
        <f t="shared" si="0"/>
        <v>0</v>
      </c>
      <c r="F28" s="88"/>
    </row>
    <row r="29" spans="1:6" x14ac:dyDescent="0.25">
      <c r="A29" s="227">
        <v>542</v>
      </c>
      <c r="B29" s="132" t="s">
        <v>47</v>
      </c>
      <c r="C29" s="211">
        <f>+C30+C32+C34</f>
        <v>221587.24</v>
      </c>
      <c r="D29" s="211">
        <f>SUM(D30:D34)</f>
        <v>0</v>
      </c>
      <c r="E29" s="212">
        <f t="shared" si="0"/>
        <v>221587.24</v>
      </c>
      <c r="F29" s="88"/>
    </row>
    <row r="30" spans="1:6" x14ac:dyDescent="0.25">
      <c r="A30" s="228">
        <v>54201</v>
      </c>
      <c r="B30" s="223" t="s">
        <v>107</v>
      </c>
      <c r="C30" s="214">
        <v>165587.24</v>
      </c>
      <c r="D30" s="81"/>
      <c r="E30" s="215">
        <f t="shared" si="0"/>
        <v>165587.24</v>
      </c>
      <c r="F30" s="88"/>
    </row>
    <row r="31" spans="1:6" x14ac:dyDescent="0.25">
      <c r="A31" s="228">
        <v>54202</v>
      </c>
      <c r="B31" s="223" t="s">
        <v>108</v>
      </c>
      <c r="C31" s="214"/>
      <c r="D31" s="81">
        <v>0</v>
      </c>
      <c r="E31" s="229">
        <f t="shared" si="0"/>
        <v>0</v>
      </c>
      <c r="F31" s="88"/>
    </row>
    <row r="32" spans="1:6" x14ac:dyDescent="0.25">
      <c r="A32" s="228">
        <v>54203</v>
      </c>
      <c r="B32" s="223" t="s">
        <v>109</v>
      </c>
      <c r="C32" s="214">
        <v>20000</v>
      </c>
      <c r="D32" s="81">
        <v>0</v>
      </c>
      <c r="E32" s="229">
        <f t="shared" si="0"/>
        <v>20000</v>
      </c>
      <c r="F32" s="88"/>
    </row>
    <row r="33" spans="1:6" x14ac:dyDescent="0.25">
      <c r="A33" s="228">
        <v>54204</v>
      </c>
      <c r="B33" s="223" t="s">
        <v>210</v>
      </c>
      <c r="C33" s="214"/>
      <c r="D33" s="81">
        <v>0</v>
      </c>
      <c r="E33" s="229">
        <f t="shared" si="0"/>
        <v>0</v>
      </c>
      <c r="F33" s="88"/>
    </row>
    <row r="34" spans="1:6" x14ac:dyDescent="0.25">
      <c r="A34" s="228">
        <v>54205</v>
      </c>
      <c r="B34" s="223" t="s">
        <v>30</v>
      </c>
      <c r="C34" s="214">
        <v>36000</v>
      </c>
      <c r="D34" s="81"/>
      <c r="E34" s="229">
        <f t="shared" si="0"/>
        <v>36000</v>
      </c>
      <c r="F34" s="88"/>
    </row>
    <row r="35" spans="1:6" x14ac:dyDescent="0.25">
      <c r="A35" s="227">
        <v>543</v>
      </c>
      <c r="B35" s="132" t="s">
        <v>211</v>
      </c>
      <c r="C35" s="211">
        <f>SUM(C36:C50)</f>
        <v>0</v>
      </c>
      <c r="D35" s="211"/>
      <c r="E35" s="212"/>
      <c r="F35" s="88"/>
    </row>
    <row r="36" spans="1:6" x14ac:dyDescent="0.25">
      <c r="A36" s="228">
        <v>54301</v>
      </c>
      <c r="B36" s="223" t="s">
        <v>212</v>
      </c>
      <c r="C36" s="213"/>
      <c r="D36" s="214"/>
      <c r="E36" s="229"/>
      <c r="F36" s="88"/>
    </row>
    <row r="37" spans="1:6" x14ac:dyDescent="0.25">
      <c r="A37" s="228">
        <v>54302</v>
      </c>
      <c r="B37" s="223" t="s">
        <v>213</v>
      </c>
      <c r="C37" s="213"/>
      <c r="D37" s="214"/>
      <c r="E37" s="229"/>
      <c r="F37" s="88"/>
    </row>
    <row r="38" spans="1:6" x14ac:dyDescent="0.25">
      <c r="A38" s="228">
        <v>54303</v>
      </c>
      <c r="B38" s="223" t="s">
        <v>214</v>
      </c>
      <c r="C38" s="213"/>
      <c r="D38" s="214"/>
      <c r="E38" s="229"/>
      <c r="F38" s="88"/>
    </row>
    <row r="39" spans="1:6" x14ac:dyDescent="0.25">
      <c r="A39" s="228">
        <v>54304</v>
      </c>
      <c r="B39" s="223" t="s">
        <v>115</v>
      </c>
      <c r="C39" s="81">
        <v>0</v>
      </c>
      <c r="D39" s="214"/>
      <c r="E39" s="229"/>
      <c r="F39" s="88"/>
    </row>
    <row r="40" spans="1:6" x14ac:dyDescent="0.25">
      <c r="A40" s="228">
        <v>54305</v>
      </c>
      <c r="B40" s="223" t="s">
        <v>116</v>
      </c>
      <c r="C40" s="213"/>
      <c r="D40" s="214"/>
      <c r="E40" s="229"/>
      <c r="F40" s="88"/>
    </row>
    <row r="41" spans="1:6" x14ac:dyDescent="0.25">
      <c r="A41" s="228">
        <v>54306</v>
      </c>
      <c r="B41" s="223" t="s">
        <v>215</v>
      </c>
      <c r="C41" s="213"/>
      <c r="D41" s="214"/>
      <c r="E41" s="229"/>
      <c r="F41" s="88"/>
    </row>
    <row r="42" spans="1:6" x14ac:dyDescent="0.25">
      <c r="A42" s="228">
        <v>54307</v>
      </c>
      <c r="B42" s="223" t="s">
        <v>216</v>
      </c>
      <c r="C42" s="213"/>
      <c r="D42" s="214"/>
      <c r="E42" s="229"/>
      <c r="F42" s="88"/>
    </row>
    <row r="43" spans="1:6" x14ac:dyDescent="0.25">
      <c r="A43" s="228">
        <v>54309</v>
      </c>
      <c r="B43" s="223" t="s">
        <v>217</v>
      </c>
      <c r="C43" s="213"/>
      <c r="D43" s="214"/>
      <c r="E43" s="229"/>
      <c r="F43" s="88"/>
    </row>
    <row r="44" spans="1:6" x14ac:dyDescent="0.25">
      <c r="A44" s="228">
        <v>54310</v>
      </c>
      <c r="B44" s="223" t="s">
        <v>117</v>
      </c>
      <c r="C44" s="213"/>
      <c r="D44" s="214"/>
      <c r="E44" s="229"/>
      <c r="F44" s="88"/>
    </row>
    <row r="45" spans="1:6" x14ac:dyDescent="0.25">
      <c r="A45" s="228">
        <v>54311</v>
      </c>
      <c r="B45" s="223" t="s">
        <v>118</v>
      </c>
      <c r="C45" s="213"/>
      <c r="D45" s="214"/>
      <c r="E45" s="229"/>
      <c r="F45" s="88"/>
    </row>
    <row r="46" spans="1:6" x14ac:dyDescent="0.25">
      <c r="A46" s="228">
        <v>54313</v>
      </c>
      <c r="B46" s="223" t="s">
        <v>218</v>
      </c>
      <c r="C46" s="213"/>
      <c r="D46" s="214"/>
      <c r="E46" s="229"/>
      <c r="F46" s="88"/>
    </row>
    <row r="47" spans="1:6" x14ac:dyDescent="0.25">
      <c r="A47" s="228">
        <v>54314</v>
      </c>
      <c r="B47" s="223" t="s">
        <v>120</v>
      </c>
      <c r="C47" s="213"/>
      <c r="D47" s="214"/>
      <c r="E47" s="229"/>
      <c r="F47" s="88"/>
    </row>
    <row r="48" spans="1:6" x14ac:dyDescent="0.25">
      <c r="A48" s="228">
        <v>54316</v>
      </c>
      <c r="B48" s="223" t="s">
        <v>121</v>
      </c>
      <c r="C48" s="213"/>
      <c r="D48" s="214"/>
      <c r="E48" s="229"/>
      <c r="F48" s="88"/>
    </row>
    <row r="49" spans="1:6" x14ac:dyDescent="0.25">
      <c r="A49" s="228">
        <v>54317</v>
      </c>
      <c r="B49" s="223" t="s">
        <v>122</v>
      </c>
      <c r="C49" s="213"/>
      <c r="D49" s="214"/>
      <c r="E49" s="229"/>
      <c r="F49" s="88"/>
    </row>
    <row r="50" spans="1:6" x14ac:dyDescent="0.25">
      <c r="A50" s="228">
        <v>54399</v>
      </c>
      <c r="B50" s="223" t="s">
        <v>219</v>
      </c>
      <c r="C50" s="213"/>
      <c r="D50" s="214"/>
      <c r="E50" s="229"/>
      <c r="F50" s="88"/>
    </row>
    <row r="51" spans="1:6" x14ac:dyDescent="0.25">
      <c r="A51" s="227">
        <v>544</v>
      </c>
      <c r="B51" s="132" t="s">
        <v>124</v>
      </c>
      <c r="C51" s="211"/>
      <c r="D51" s="211"/>
      <c r="E51" s="212"/>
      <c r="F51" s="88"/>
    </row>
    <row r="52" spans="1:6" x14ac:dyDescent="0.25">
      <c r="A52" s="228">
        <v>54401</v>
      </c>
      <c r="B52" s="223" t="s">
        <v>220</v>
      </c>
      <c r="C52" s="214"/>
      <c r="D52" s="214"/>
      <c r="E52" s="229"/>
      <c r="F52" s="88"/>
    </row>
    <row r="53" spans="1:6" x14ac:dyDescent="0.25">
      <c r="A53" s="228">
        <v>54402</v>
      </c>
      <c r="B53" s="223" t="s">
        <v>221</v>
      </c>
      <c r="C53" s="214"/>
      <c r="D53" s="214"/>
      <c r="E53" s="229"/>
      <c r="F53" s="88"/>
    </row>
    <row r="54" spans="1:6" x14ac:dyDescent="0.25">
      <c r="A54" s="228">
        <v>54403</v>
      </c>
      <c r="B54" s="223" t="s">
        <v>125</v>
      </c>
      <c r="C54" s="214"/>
      <c r="D54" s="214"/>
      <c r="E54" s="229"/>
      <c r="F54" s="88"/>
    </row>
    <row r="55" spans="1:6" x14ac:dyDescent="0.25">
      <c r="A55" s="228">
        <v>54404</v>
      </c>
      <c r="B55" s="223" t="s">
        <v>222</v>
      </c>
      <c r="C55" s="214"/>
      <c r="D55" s="214"/>
      <c r="E55" s="229"/>
      <c r="F55" s="88"/>
    </row>
    <row r="56" spans="1:6" x14ac:dyDescent="0.25">
      <c r="A56" s="227">
        <v>545</v>
      </c>
      <c r="B56" s="132" t="s">
        <v>223</v>
      </c>
      <c r="C56" s="211"/>
      <c r="D56" s="211"/>
      <c r="E56" s="212"/>
      <c r="F56" s="88"/>
    </row>
    <row r="57" spans="1:6" x14ac:dyDescent="0.25">
      <c r="A57" s="228">
        <v>54501</v>
      </c>
      <c r="B57" s="223" t="s">
        <v>224</v>
      </c>
      <c r="C57" s="214"/>
      <c r="D57" s="214"/>
      <c r="E57" s="229"/>
      <c r="F57" s="88"/>
    </row>
    <row r="58" spans="1:6" x14ac:dyDescent="0.25">
      <c r="A58" s="228">
        <v>54503</v>
      </c>
      <c r="B58" s="223" t="s">
        <v>127</v>
      </c>
      <c r="C58" s="214"/>
      <c r="D58" s="214"/>
      <c r="E58" s="229"/>
      <c r="F58" s="88"/>
    </row>
    <row r="59" spans="1:6" x14ac:dyDescent="0.25">
      <c r="A59" s="228">
        <v>54504</v>
      </c>
      <c r="B59" s="223" t="s">
        <v>128</v>
      </c>
      <c r="C59" s="214"/>
      <c r="D59" s="214"/>
      <c r="E59" s="229"/>
      <c r="F59" s="88"/>
    </row>
    <row r="60" spans="1:6" x14ac:dyDescent="0.25">
      <c r="A60" s="228">
        <v>54505</v>
      </c>
      <c r="B60" s="223" t="s">
        <v>225</v>
      </c>
      <c r="C60" s="214"/>
      <c r="D60" s="214"/>
      <c r="E60" s="229"/>
      <c r="F60" s="88"/>
    </row>
    <row r="61" spans="1:6" x14ac:dyDescent="0.25">
      <c r="A61" s="228">
        <v>54507</v>
      </c>
      <c r="B61" s="223" t="s">
        <v>226</v>
      </c>
      <c r="C61" s="214"/>
      <c r="D61" s="214"/>
      <c r="E61" s="229"/>
      <c r="F61" s="88"/>
    </row>
    <row r="62" spans="1:6" x14ac:dyDescent="0.25">
      <c r="A62" s="228">
        <v>54508</v>
      </c>
      <c r="B62" s="223" t="s">
        <v>227</v>
      </c>
      <c r="C62" s="214"/>
      <c r="D62" s="214"/>
      <c r="E62" s="229"/>
      <c r="F62" s="88"/>
    </row>
    <row r="63" spans="1:6" x14ac:dyDescent="0.25">
      <c r="A63" s="228">
        <v>54599</v>
      </c>
      <c r="B63" s="223" t="s">
        <v>228</v>
      </c>
      <c r="C63" s="214"/>
      <c r="D63" s="214"/>
      <c r="E63" s="229"/>
      <c r="F63" s="88"/>
    </row>
    <row r="64" spans="1:6" x14ac:dyDescent="0.25">
      <c r="A64" s="228"/>
      <c r="B64" s="223"/>
      <c r="C64" s="214"/>
      <c r="D64" s="214"/>
      <c r="E64" s="229"/>
      <c r="F64" s="88"/>
    </row>
    <row r="65" spans="1:6" x14ac:dyDescent="0.25">
      <c r="A65" s="227">
        <v>55</v>
      </c>
      <c r="B65" s="132" t="s">
        <v>129</v>
      </c>
      <c r="C65" s="211">
        <f>+C66+C71+C75</f>
        <v>300</v>
      </c>
      <c r="D65" s="211"/>
      <c r="E65" s="212">
        <f>+E66</f>
        <v>0</v>
      </c>
      <c r="F65" s="88"/>
    </row>
    <row r="66" spans="1:6" x14ac:dyDescent="0.25">
      <c r="A66" s="227">
        <v>553</v>
      </c>
      <c r="B66" s="132" t="s">
        <v>231</v>
      </c>
      <c r="C66" s="211">
        <f>C67+C68+C69+C70</f>
        <v>0</v>
      </c>
      <c r="D66" s="214"/>
      <c r="E66" s="212">
        <f>E67+E68+E69+E70</f>
        <v>0</v>
      </c>
      <c r="F66" s="88"/>
    </row>
    <row r="67" spans="1:6" x14ac:dyDescent="0.25">
      <c r="A67" s="228">
        <v>55302</v>
      </c>
      <c r="B67" s="223" t="s">
        <v>246</v>
      </c>
      <c r="C67" s="214"/>
      <c r="D67" s="214"/>
      <c r="E67" s="215"/>
      <c r="F67" s="88"/>
    </row>
    <row r="68" spans="1:6" x14ac:dyDescent="0.25">
      <c r="A68" s="228">
        <v>55303</v>
      </c>
      <c r="B68" s="223" t="s">
        <v>233</v>
      </c>
      <c r="C68" s="214"/>
      <c r="D68" s="214"/>
      <c r="E68" s="229"/>
      <c r="F68" s="88"/>
    </row>
    <row r="69" spans="1:6" x14ac:dyDescent="0.25">
      <c r="A69" s="228">
        <v>55304</v>
      </c>
      <c r="B69" s="223" t="s">
        <v>63</v>
      </c>
      <c r="C69" s="214"/>
      <c r="D69" s="214"/>
      <c r="E69" s="229"/>
      <c r="F69" s="88"/>
    </row>
    <row r="70" spans="1:6" x14ac:dyDescent="0.25">
      <c r="A70" s="228">
        <v>55308</v>
      </c>
      <c r="B70" s="223" t="s">
        <v>234</v>
      </c>
      <c r="C70" s="214"/>
      <c r="D70" s="214"/>
      <c r="E70" s="229"/>
      <c r="F70" s="88"/>
    </row>
    <row r="71" spans="1:6" x14ac:dyDescent="0.25">
      <c r="A71" s="227">
        <v>556</v>
      </c>
      <c r="B71" s="132" t="s">
        <v>235</v>
      </c>
      <c r="C71" s="211">
        <v>300</v>
      </c>
      <c r="D71" s="211"/>
      <c r="E71" s="212">
        <f t="shared" ref="E71:E86" si="1">+C71+D71</f>
        <v>300</v>
      </c>
      <c r="F71" s="88"/>
    </row>
    <row r="72" spans="1:6" x14ac:dyDescent="0.25">
      <c r="A72" s="228">
        <v>55601</v>
      </c>
      <c r="B72" s="223" t="s">
        <v>236</v>
      </c>
      <c r="C72" s="214"/>
      <c r="D72" s="214"/>
      <c r="E72" s="229">
        <f t="shared" si="1"/>
        <v>0</v>
      </c>
      <c r="F72" s="88"/>
    </row>
    <row r="73" spans="1:6" x14ac:dyDescent="0.25">
      <c r="A73" s="228">
        <v>55602</v>
      </c>
      <c r="B73" s="223" t="s">
        <v>134</v>
      </c>
      <c r="C73" s="214"/>
      <c r="D73" s="214"/>
      <c r="E73" s="229">
        <f t="shared" si="1"/>
        <v>0</v>
      </c>
      <c r="F73" s="88"/>
    </row>
    <row r="74" spans="1:6" x14ac:dyDescent="0.25">
      <c r="A74" s="228">
        <v>55603</v>
      </c>
      <c r="B74" s="223" t="s">
        <v>237</v>
      </c>
      <c r="C74" s="214">
        <v>300</v>
      </c>
      <c r="D74" s="214"/>
      <c r="E74" s="229">
        <f t="shared" si="1"/>
        <v>300</v>
      </c>
      <c r="F74" s="88"/>
    </row>
    <row r="75" spans="1:6" x14ac:dyDescent="0.25">
      <c r="A75" s="227">
        <v>557</v>
      </c>
      <c r="B75" s="132" t="s">
        <v>136</v>
      </c>
      <c r="C75" s="211"/>
      <c r="D75" s="211"/>
      <c r="E75" s="229">
        <f t="shared" si="1"/>
        <v>0</v>
      </c>
      <c r="F75" s="88"/>
    </row>
    <row r="76" spans="1:6" x14ac:dyDescent="0.25">
      <c r="A76" s="228">
        <v>55701</v>
      </c>
      <c r="B76" s="223" t="s">
        <v>238</v>
      </c>
      <c r="C76" s="214"/>
      <c r="D76" s="214"/>
      <c r="E76" s="229">
        <f t="shared" si="1"/>
        <v>0</v>
      </c>
      <c r="F76" s="88"/>
    </row>
    <row r="77" spans="1:6" x14ac:dyDescent="0.25">
      <c r="A77" s="228">
        <v>55702</v>
      </c>
      <c r="B77" s="223" t="s">
        <v>239</v>
      </c>
      <c r="C77" s="214"/>
      <c r="D77" s="214"/>
      <c r="E77" s="229">
        <f t="shared" si="1"/>
        <v>0</v>
      </c>
      <c r="F77" s="88"/>
    </row>
    <row r="78" spans="1:6" x14ac:dyDescent="0.25">
      <c r="A78" s="228">
        <v>55799</v>
      </c>
      <c r="B78" s="223" t="s">
        <v>137</v>
      </c>
      <c r="C78" s="214"/>
      <c r="D78" s="214"/>
      <c r="E78" s="229">
        <f t="shared" si="1"/>
        <v>0</v>
      </c>
      <c r="F78" s="88"/>
    </row>
    <row r="79" spans="1:6" x14ac:dyDescent="0.25">
      <c r="A79" s="228"/>
      <c r="B79" s="223"/>
      <c r="C79" s="214"/>
      <c r="D79" s="214"/>
      <c r="E79" s="229">
        <f t="shared" si="1"/>
        <v>0</v>
      </c>
      <c r="F79" s="88"/>
    </row>
    <row r="80" spans="1:6" x14ac:dyDescent="0.25">
      <c r="A80" s="227">
        <v>56</v>
      </c>
      <c r="B80" s="132" t="s">
        <v>57</v>
      </c>
      <c r="C80" s="211">
        <f>+C81+C83</f>
        <v>10814.16</v>
      </c>
      <c r="D80" s="211"/>
      <c r="E80" s="212">
        <f t="shared" si="1"/>
        <v>10814.16</v>
      </c>
      <c r="F80" s="88"/>
    </row>
    <row r="81" spans="1:6" x14ac:dyDescent="0.25">
      <c r="A81" s="227">
        <v>562</v>
      </c>
      <c r="B81" s="132" t="s">
        <v>138</v>
      </c>
      <c r="C81" s="211">
        <f>+C82</f>
        <v>10814.16</v>
      </c>
      <c r="D81" s="211"/>
      <c r="E81" s="212">
        <f t="shared" si="1"/>
        <v>10814.16</v>
      </c>
      <c r="F81" s="88"/>
    </row>
    <row r="82" spans="1:6" x14ac:dyDescent="0.25">
      <c r="A82" s="228">
        <v>56201</v>
      </c>
      <c r="B82" s="223" t="s">
        <v>241</v>
      </c>
      <c r="C82" s="81">
        <v>10814.16</v>
      </c>
      <c r="D82" s="214"/>
      <c r="E82" s="229">
        <f t="shared" si="1"/>
        <v>10814.16</v>
      </c>
      <c r="F82" s="88"/>
    </row>
    <row r="83" spans="1:6" x14ac:dyDescent="0.25">
      <c r="A83" s="227">
        <v>563</v>
      </c>
      <c r="B83" s="132" t="s">
        <v>139</v>
      </c>
      <c r="C83" s="211"/>
      <c r="D83" s="211"/>
      <c r="E83" s="229">
        <f t="shared" si="1"/>
        <v>0</v>
      </c>
      <c r="F83" s="88"/>
    </row>
    <row r="84" spans="1:6" x14ac:dyDescent="0.25">
      <c r="A84" s="228">
        <v>56303</v>
      </c>
      <c r="B84" s="223" t="s">
        <v>241</v>
      </c>
      <c r="C84" s="214"/>
      <c r="D84" s="214"/>
      <c r="E84" s="229">
        <f t="shared" si="1"/>
        <v>0</v>
      </c>
      <c r="F84" s="88"/>
    </row>
    <row r="85" spans="1:6" x14ac:dyDescent="0.25">
      <c r="A85" s="228">
        <v>56304</v>
      </c>
      <c r="B85" s="223" t="s">
        <v>247</v>
      </c>
      <c r="C85" s="214"/>
      <c r="D85" s="214"/>
      <c r="E85" s="229">
        <f t="shared" si="1"/>
        <v>0</v>
      </c>
      <c r="F85" s="88"/>
    </row>
    <row r="86" spans="1:6" ht="15.75" thickBot="1" x14ac:dyDescent="0.3">
      <c r="A86" s="230">
        <v>56305</v>
      </c>
      <c r="B86" s="231" t="s">
        <v>142</v>
      </c>
      <c r="C86" s="216"/>
      <c r="D86" s="216"/>
      <c r="E86" s="232">
        <f t="shared" si="1"/>
        <v>0</v>
      </c>
      <c r="F86" s="88"/>
    </row>
    <row r="87" spans="1:6" ht="15.75" thickBot="1" x14ac:dyDescent="0.3">
      <c r="A87" s="233"/>
      <c r="B87" s="217" t="s">
        <v>1</v>
      </c>
      <c r="C87" s="218">
        <f>+C8+C65+C80</f>
        <v>232701.4</v>
      </c>
      <c r="D87" s="218">
        <f>+D80+D65+D8</f>
        <v>0</v>
      </c>
      <c r="E87" s="219">
        <f>+C87+D87</f>
        <v>232701.4</v>
      </c>
      <c r="F87" s="88"/>
    </row>
    <row r="88" spans="1:6" x14ac:dyDescent="0.25">
      <c r="A88" s="88"/>
      <c r="B88" s="367"/>
      <c r="C88" s="368"/>
      <c r="D88" s="368"/>
      <c r="E88" s="368"/>
      <c r="F88" s="88"/>
    </row>
    <row r="89" spans="1:6" x14ac:dyDescent="0.25">
      <c r="A89" s="88"/>
      <c r="B89" s="88"/>
      <c r="C89" s="88"/>
      <c r="D89" s="88"/>
      <c r="E89" s="88"/>
      <c r="F89" s="88"/>
    </row>
    <row r="90" spans="1:6" x14ac:dyDescent="0.25">
      <c r="A90" s="88"/>
      <c r="B90" s="88"/>
      <c r="C90" s="88"/>
      <c r="D90" s="88"/>
      <c r="E90" s="88"/>
      <c r="F90" s="88"/>
    </row>
    <row r="91" spans="1:6" x14ac:dyDescent="0.25">
      <c r="A91" s="88"/>
      <c r="B91" s="88"/>
      <c r="C91" s="88"/>
      <c r="D91" s="88"/>
      <c r="E91" s="88"/>
      <c r="F91" s="88"/>
    </row>
    <row r="92" spans="1:6" x14ac:dyDescent="0.25">
      <c r="A92" s="88"/>
      <c r="B92" s="88"/>
      <c r="C92" s="88"/>
      <c r="D92" s="88"/>
      <c r="E92" s="88"/>
      <c r="F92" s="88"/>
    </row>
    <row r="93" spans="1:6" x14ac:dyDescent="0.25">
      <c r="A93" s="88"/>
      <c r="B93" s="88"/>
      <c r="C93" s="88"/>
      <c r="D93" s="88"/>
      <c r="E93" s="88"/>
      <c r="F93" s="88"/>
    </row>
    <row r="94" spans="1:6" x14ac:dyDescent="0.25">
      <c r="A94" s="88"/>
      <c r="B94" s="88"/>
      <c r="C94" s="88"/>
      <c r="D94" s="88"/>
      <c r="E94" s="88"/>
      <c r="F94" s="88"/>
    </row>
    <row r="95" spans="1:6" x14ac:dyDescent="0.25">
      <c r="A95" s="88"/>
      <c r="B95" s="88"/>
      <c r="C95" s="88"/>
      <c r="D95" s="88"/>
      <c r="E95" s="88"/>
      <c r="F95" s="88"/>
    </row>
    <row r="96" spans="1:6" x14ac:dyDescent="0.25">
      <c r="A96" s="88"/>
      <c r="B96" s="88"/>
      <c r="C96" s="88"/>
      <c r="D96" s="88"/>
      <c r="E96" s="88"/>
      <c r="F96" s="88"/>
    </row>
    <row r="97" spans="1:6" x14ac:dyDescent="0.25">
      <c r="A97" s="88"/>
      <c r="B97" s="88"/>
      <c r="C97" s="88"/>
      <c r="D97" s="88"/>
      <c r="E97" s="88"/>
      <c r="F97" s="88"/>
    </row>
    <row r="98" spans="1:6" x14ac:dyDescent="0.25">
      <c r="A98" s="88"/>
      <c r="B98" s="88"/>
      <c r="C98" s="88"/>
      <c r="D98" s="88"/>
      <c r="E98" s="88"/>
      <c r="F98" s="88"/>
    </row>
    <row r="99" spans="1:6" x14ac:dyDescent="0.25">
      <c r="A99" s="88"/>
      <c r="B99" s="88"/>
      <c r="C99" s="88"/>
      <c r="D99" s="88"/>
      <c r="E99" s="88"/>
      <c r="F99" s="88"/>
    </row>
    <row r="100" spans="1:6" x14ac:dyDescent="0.25">
      <c r="A100" s="88"/>
      <c r="B100" s="88"/>
      <c r="C100" s="88"/>
      <c r="D100" s="88"/>
      <c r="E100" s="88"/>
      <c r="F100" s="88"/>
    </row>
    <row r="101" spans="1:6" x14ac:dyDescent="0.25">
      <c r="A101" s="88"/>
      <c r="B101" s="88"/>
      <c r="C101" s="88"/>
      <c r="D101" s="88"/>
      <c r="E101" s="88"/>
      <c r="F101" s="88"/>
    </row>
    <row r="102" spans="1:6" x14ac:dyDescent="0.25">
      <c r="A102" s="88"/>
      <c r="B102" s="88"/>
      <c r="C102" s="88"/>
      <c r="D102" s="88"/>
      <c r="E102" s="88"/>
      <c r="F102" s="88"/>
    </row>
    <row r="103" spans="1:6" x14ac:dyDescent="0.25">
      <c r="A103" s="598" t="s">
        <v>248</v>
      </c>
      <c r="B103" s="598"/>
      <c r="C103" s="598"/>
      <c r="D103" s="598"/>
      <c r="E103" s="598"/>
      <c r="F103" s="88"/>
    </row>
    <row r="104" spans="1:6" x14ac:dyDescent="0.25">
      <c r="A104" s="598" t="s">
        <v>190</v>
      </c>
      <c r="B104" s="598"/>
      <c r="C104" s="598"/>
      <c r="D104" s="598"/>
      <c r="E104" s="598"/>
      <c r="F104" s="88"/>
    </row>
    <row r="105" spans="1:6" x14ac:dyDescent="0.25">
      <c r="A105" s="598" t="s">
        <v>243</v>
      </c>
      <c r="B105" s="598"/>
      <c r="C105" s="598"/>
      <c r="D105" s="598"/>
      <c r="E105" s="598"/>
      <c r="F105" s="88"/>
    </row>
    <row r="106" spans="1:6" x14ac:dyDescent="0.25">
      <c r="A106" s="599" t="s">
        <v>192</v>
      </c>
      <c r="B106" s="599"/>
      <c r="C106" s="599"/>
      <c r="D106" s="599"/>
      <c r="E106" s="599"/>
      <c r="F106" s="88"/>
    </row>
    <row r="107" spans="1:6" ht="15.75" thickBot="1" x14ac:dyDescent="0.3">
      <c r="A107" s="88"/>
      <c r="B107" s="88"/>
      <c r="C107" s="88"/>
      <c r="D107" s="88"/>
      <c r="E107" s="88"/>
      <c r="F107" s="88"/>
    </row>
    <row r="108" spans="1:6" ht="15.75" thickBot="1" x14ac:dyDescent="0.3">
      <c r="A108" s="204"/>
      <c r="B108" s="205"/>
      <c r="C108" s="600" t="s">
        <v>249</v>
      </c>
      <c r="D108" s="601"/>
      <c r="E108" s="602"/>
      <c r="F108" s="88"/>
    </row>
    <row r="109" spans="1:6" ht="15" customHeight="1" x14ac:dyDescent="0.25">
      <c r="A109" s="206" t="s">
        <v>198</v>
      </c>
      <c r="B109" s="207"/>
      <c r="C109" s="596" t="s">
        <v>374</v>
      </c>
      <c r="D109" s="596" t="s">
        <v>375</v>
      </c>
      <c r="E109" s="596" t="s">
        <v>245</v>
      </c>
      <c r="F109" s="88"/>
    </row>
    <row r="110" spans="1:6" ht="39.75" customHeight="1" thickBot="1" x14ac:dyDescent="0.3">
      <c r="A110" s="224"/>
      <c r="B110" s="208" t="s">
        <v>173</v>
      </c>
      <c r="C110" s="597"/>
      <c r="D110" s="597"/>
      <c r="E110" s="597"/>
      <c r="F110" s="88"/>
    </row>
    <row r="111" spans="1:6" x14ac:dyDescent="0.25">
      <c r="A111" s="234">
        <v>54</v>
      </c>
      <c r="B111" s="226" t="s">
        <v>88</v>
      </c>
      <c r="C111" s="209">
        <f>+C112+C133+C139+C155+C160+C165</f>
        <v>127417</v>
      </c>
      <c r="D111" s="209">
        <f>+D112+D133+D139+D155+D160-D165</f>
        <v>321071.7</v>
      </c>
      <c r="E111" s="210">
        <f>+E112+E133+E139+E155+E160+E165</f>
        <v>531688.69999999995</v>
      </c>
      <c r="F111" s="88"/>
    </row>
    <row r="112" spans="1:6" x14ac:dyDescent="0.25">
      <c r="A112" s="133">
        <v>541</v>
      </c>
      <c r="B112" s="132" t="s">
        <v>89</v>
      </c>
      <c r="C112" s="211">
        <f>SUM(C113:C132)</f>
        <v>55617</v>
      </c>
      <c r="D112" s="211">
        <f>SUM(D113:D132)</f>
        <v>154106.70000000001</v>
      </c>
      <c r="E112" s="212">
        <f>SUM(E113:E132)</f>
        <v>209723.7</v>
      </c>
      <c r="F112" s="88"/>
    </row>
    <row r="113" spans="1:6" x14ac:dyDescent="0.25">
      <c r="A113" s="134">
        <v>54101</v>
      </c>
      <c r="B113" s="223" t="s">
        <v>202</v>
      </c>
      <c r="C113" s="213">
        <v>13000</v>
      </c>
      <c r="D113" s="213">
        <v>4000</v>
      </c>
      <c r="E113" s="229">
        <f t="shared" ref="E113:E132" si="2">+C113+D113</f>
        <v>17000</v>
      </c>
      <c r="F113" s="88"/>
    </row>
    <row r="114" spans="1:6" x14ac:dyDescent="0.25">
      <c r="A114" s="134">
        <v>54103</v>
      </c>
      <c r="B114" s="223" t="s">
        <v>203</v>
      </c>
      <c r="C114" s="214"/>
      <c r="D114" s="213"/>
      <c r="E114" s="229">
        <f t="shared" si="2"/>
        <v>0</v>
      </c>
      <c r="F114" s="88"/>
    </row>
    <row r="115" spans="1:6" x14ac:dyDescent="0.25">
      <c r="A115" s="134">
        <v>54104</v>
      </c>
      <c r="B115" s="223" t="s">
        <v>91</v>
      </c>
      <c r="C115" s="214">
        <v>5000</v>
      </c>
      <c r="D115" s="213">
        <v>14224</v>
      </c>
      <c r="E115" s="229">
        <f t="shared" si="2"/>
        <v>19224</v>
      </c>
      <c r="F115" s="88"/>
    </row>
    <row r="116" spans="1:6" x14ac:dyDescent="0.25">
      <c r="A116" s="134">
        <v>54105</v>
      </c>
      <c r="B116" s="223" t="s">
        <v>204</v>
      </c>
      <c r="C116" s="214">
        <v>3000</v>
      </c>
      <c r="D116" s="213">
        <v>3532.7</v>
      </c>
      <c r="E116" s="229">
        <f t="shared" si="2"/>
        <v>6532.7</v>
      </c>
      <c r="F116" s="88"/>
    </row>
    <row r="117" spans="1:6" x14ac:dyDescent="0.25">
      <c r="A117" s="134">
        <v>54106</v>
      </c>
      <c r="B117" s="223" t="s">
        <v>93</v>
      </c>
      <c r="C117" s="213"/>
      <c r="D117" s="213">
        <v>3000</v>
      </c>
      <c r="E117" s="229">
        <f t="shared" si="2"/>
        <v>3000</v>
      </c>
      <c r="F117" s="88"/>
    </row>
    <row r="118" spans="1:6" x14ac:dyDescent="0.25">
      <c r="A118" s="134">
        <v>54107</v>
      </c>
      <c r="B118" s="223" t="s">
        <v>94</v>
      </c>
      <c r="C118" s="213">
        <v>500</v>
      </c>
      <c r="D118" s="213">
        <v>15000</v>
      </c>
      <c r="E118" s="229">
        <f t="shared" si="2"/>
        <v>15500</v>
      </c>
      <c r="F118" s="88"/>
    </row>
    <row r="119" spans="1:6" x14ac:dyDescent="0.25">
      <c r="A119" s="134">
        <v>54108</v>
      </c>
      <c r="B119" s="223" t="s">
        <v>95</v>
      </c>
      <c r="C119" s="213"/>
      <c r="D119" s="213">
        <v>3000</v>
      </c>
      <c r="E119" s="229">
        <f t="shared" si="2"/>
        <v>3000</v>
      </c>
      <c r="F119" s="88"/>
    </row>
    <row r="120" spans="1:6" x14ac:dyDescent="0.25">
      <c r="A120" s="134">
        <v>54109</v>
      </c>
      <c r="B120" s="223" t="s">
        <v>96</v>
      </c>
      <c r="C120" s="213">
        <v>750</v>
      </c>
      <c r="D120" s="213">
        <v>2250</v>
      </c>
      <c r="E120" s="229">
        <f t="shared" si="2"/>
        <v>3000</v>
      </c>
      <c r="F120" s="88"/>
    </row>
    <row r="121" spans="1:6" x14ac:dyDescent="0.25">
      <c r="A121" s="134">
        <v>54110</v>
      </c>
      <c r="B121" s="223" t="s">
        <v>97</v>
      </c>
      <c r="C121" s="213"/>
      <c r="D121" s="213">
        <v>48000</v>
      </c>
      <c r="E121" s="229">
        <f t="shared" si="2"/>
        <v>48000</v>
      </c>
      <c r="F121" s="88"/>
    </row>
    <row r="122" spans="1:6" x14ac:dyDescent="0.25">
      <c r="A122" s="134">
        <v>54111</v>
      </c>
      <c r="B122" s="223" t="s">
        <v>205</v>
      </c>
      <c r="C122" s="213">
        <v>5000</v>
      </c>
      <c r="D122" s="213">
        <v>2000</v>
      </c>
      <c r="E122" s="229">
        <f t="shared" si="2"/>
        <v>7000</v>
      </c>
      <c r="F122" s="88"/>
    </row>
    <row r="123" spans="1:6" x14ac:dyDescent="0.25">
      <c r="A123" s="134">
        <v>54112</v>
      </c>
      <c r="B123" s="223" t="s">
        <v>206</v>
      </c>
      <c r="C123" s="213"/>
      <c r="D123" s="213">
        <v>7000</v>
      </c>
      <c r="E123" s="229">
        <f t="shared" si="2"/>
        <v>7000</v>
      </c>
      <c r="F123" s="88"/>
    </row>
    <row r="124" spans="1:6" x14ac:dyDescent="0.25">
      <c r="A124" s="134">
        <v>54113</v>
      </c>
      <c r="B124" s="223" t="s">
        <v>250</v>
      </c>
      <c r="C124" s="213"/>
      <c r="D124" s="213"/>
      <c r="E124" s="229">
        <f t="shared" si="2"/>
        <v>0</v>
      </c>
      <c r="F124" s="88"/>
    </row>
    <row r="125" spans="1:6" x14ac:dyDescent="0.25">
      <c r="A125" s="134">
        <v>54114</v>
      </c>
      <c r="B125" s="223" t="s">
        <v>100</v>
      </c>
      <c r="C125" s="213">
        <v>2400</v>
      </c>
      <c r="D125" s="213">
        <v>2600</v>
      </c>
      <c r="E125" s="229">
        <f t="shared" si="2"/>
        <v>5000</v>
      </c>
      <c r="F125" s="88"/>
    </row>
    <row r="126" spans="1:6" x14ac:dyDescent="0.25">
      <c r="A126" s="134">
        <v>54115</v>
      </c>
      <c r="B126" s="223" t="s">
        <v>101</v>
      </c>
      <c r="C126" s="213">
        <v>3000</v>
      </c>
      <c r="D126" s="213">
        <v>7000</v>
      </c>
      <c r="E126" s="229">
        <f t="shared" si="2"/>
        <v>10000</v>
      </c>
      <c r="F126" s="88"/>
    </row>
    <row r="127" spans="1:6" x14ac:dyDescent="0.25">
      <c r="A127" s="134">
        <v>54116</v>
      </c>
      <c r="B127" s="223" t="s">
        <v>207</v>
      </c>
      <c r="C127" s="213"/>
      <c r="D127" s="213"/>
      <c r="E127" s="229">
        <f t="shared" si="2"/>
        <v>0</v>
      </c>
      <c r="F127" s="88"/>
    </row>
    <row r="128" spans="1:6" x14ac:dyDescent="0.25">
      <c r="A128" s="134">
        <v>54117</v>
      </c>
      <c r="B128" s="223" t="s">
        <v>102</v>
      </c>
      <c r="C128" s="213"/>
      <c r="D128" s="213">
        <v>5000</v>
      </c>
      <c r="E128" s="229">
        <f t="shared" si="2"/>
        <v>5000</v>
      </c>
      <c r="F128" s="88"/>
    </row>
    <row r="129" spans="1:6" x14ac:dyDescent="0.25">
      <c r="A129" s="134">
        <v>54118</v>
      </c>
      <c r="B129" s="223" t="s">
        <v>208</v>
      </c>
      <c r="C129" s="213"/>
      <c r="D129" s="213">
        <v>5500</v>
      </c>
      <c r="E129" s="229">
        <f t="shared" si="2"/>
        <v>5500</v>
      </c>
      <c r="F129" s="88"/>
    </row>
    <row r="130" spans="1:6" x14ac:dyDescent="0.25">
      <c r="A130" s="134">
        <v>54119</v>
      </c>
      <c r="B130" s="223" t="s">
        <v>104</v>
      </c>
      <c r="C130" s="213"/>
      <c r="D130" s="213">
        <v>25000</v>
      </c>
      <c r="E130" s="229">
        <f t="shared" si="2"/>
        <v>25000</v>
      </c>
      <c r="F130" s="88"/>
    </row>
    <row r="131" spans="1:6" x14ac:dyDescent="0.25">
      <c r="A131" s="134">
        <v>54121</v>
      </c>
      <c r="B131" s="223" t="s">
        <v>105</v>
      </c>
      <c r="C131" s="213">
        <v>20267</v>
      </c>
      <c r="D131" s="213"/>
      <c r="E131" s="229">
        <f t="shared" si="2"/>
        <v>20267</v>
      </c>
      <c r="F131" s="88"/>
    </row>
    <row r="132" spans="1:6" x14ac:dyDescent="0.25">
      <c r="A132" s="134">
        <v>54199</v>
      </c>
      <c r="B132" s="223" t="s">
        <v>209</v>
      </c>
      <c r="C132" s="214">
        <v>2700</v>
      </c>
      <c r="D132" s="214">
        <v>7000</v>
      </c>
      <c r="E132" s="229">
        <f t="shared" si="2"/>
        <v>9700</v>
      </c>
      <c r="F132" s="88"/>
    </row>
    <row r="133" spans="1:6" x14ac:dyDescent="0.25">
      <c r="A133" s="133">
        <v>542</v>
      </c>
      <c r="B133" s="132" t="s">
        <v>47</v>
      </c>
      <c r="C133" s="211">
        <f>SUM(C134:C138)</f>
        <v>0</v>
      </c>
      <c r="D133" s="211">
        <f>SUM(D134:D138)</f>
        <v>167965</v>
      </c>
      <c r="E133" s="212">
        <f>SUM(E134:E138)</f>
        <v>167965</v>
      </c>
      <c r="F133" s="88"/>
    </row>
    <row r="134" spans="1:6" x14ac:dyDescent="0.25">
      <c r="A134" s="134">
        <v>54201</v>
      </c>
      <c r="B134" s="223" t="s">
        <v>107</v>
      </c>
      <c r="C134" s="214"/>
      <c r="D134" s="214">
        <v>40065</v>
      </c>
      <c r="E134" s="229">
        <f>+C134+D134</f>
        <v>40065</v>
      </c>
      <c r="F134" s="88"/>
    </row>
    <row r="135" spans="1:6" x14ac:dyDescent="0.25">
      <c r="A135" s="134">
        <v>54202</v>
      </c>
      <c r="B135" s="223" t="s">
        <v>108</v>
      </c>
      <c r="C135" s="214"/>
      <c r="D135" s="81">
        <v>400</v>
      </c>
      <c r="E135" s="229">
        <f>+C135+D135</f>
        <v>400</v>
      </c>
      <c r="F135" s="88"/>
    </row>
    <row r="136" spans="1:6" x14ac:dyDescent="0.25">
      <c r="A136" s="134">
        <v>54203</v>
      </c>
      <c r="B136" s="223" t="s">
        <v>109</v>
      </c>
      <c r="C136" s="214"/>
      <c r="D136" s="81">
        <v>32500</v>
      </c>
      <c r="E136" s="229">
        <f>+C136+D136</f>
        <v>32500</v>
      </c>
      <c r="F136" s="88"/>
    </row>
    <row r="137" spans="1:6" x14ac:dyDescent="0.25">
      <c r="A137" s="134">
        <v>54204</v>
      </c>
      <c r="B137" s="223" t="s">
        <v>210</v>
      </c>
      <c r="C137" s="214"/>
      <c r="D137" s="81">
        <v>0</v>
      </c>
      <c r="E137" s="229">
        <f>+C137+D137</f>
        <v>0</v>
      </c>
      <c r="F137" s="88"/>
    </row>
    <row r="138" spans="1:6" x14ac:dyDescent="0.25">
      <c r="A138" s="134">
        <v>54205</v>
      </c>
      <c r="B138" s="223" t="s">
        <v>30</v>
      </c>
      <c r="C138" s="214"/>
      <c r="D138" s="81">
        <v>95000</v>
      </c>
      <c r="E138" s="229">
        <f>+C138+D138</f>
        <v>95000</v>
      </c>
      <c r="F138" s="88"/>
    </row>
    <row r="139" spans="1:6" x14ac:dyDescent="0.25">
      <c r="A139" s="133">
        <v>543</v>
      </c>
      <c r="B139" s="132" t="s">
        <v>211</v>
      </c>
      <c r="C139" s="211">
        <f>SUM(C140:C154)</f>
        <v>60300</v>
      </c>
      <c r="D139" s="211">
        <f>SUM(D140:D154)</f>
        <v>38500</v>
      </c>
      <c r="E139" s="212">
        <f>SUM(E140:E154)</f>
        <v>102000</v>
      </c>
      <c r="F139" s="88"/>
    </row>
    <row r="140" spans="1:6" x14ac:dyDescent="0.25">
      <c r="A140" s="134">
        <v>54301</v>
      </c>
      <c r="B140" s="223" t="s">
        <v>212</v>
      </c>
      <c r="C140" s="213">
        <v>2800</v>
      </c>
      <c r="D140" s="214">
        <v>4500</v>
      </c>
      <c r="E140" s="229">
        <f t="shared" ref="E140:E154" si="3">+C140+D140</f>
        <v>7300</v>
      </c>
      <c r="F140" s="88"/>
    </row>
    <row r="141" spans="1:6" x14ac:dyDescent="0.25">
      <c r="A141" s="134">
        <v>54302</v>
      </c>
      <c r="B141" s="223" t="s">
        <v>213</v>
      </c>
      <c r="C141" s="213">
        <v>750</v>
      </c>
      <c r="D141" s="214">
        <v>11750</v>
      </c>
      <c r="E141" s="229">
        <f t="shared" si="3"/>
        <v>12500</v>
      </c>
      <c r="F141" s="88"/>
    </row>
    <row r="142" spans="1:6" x14ac:dyDescent="0.25">
      <c r="A142" s="134">
        <v>54303</v>
      </c>
      <c r="B142" s="223" t="s">
        <v>214</v>
      </c>
      <c r="C142" s="213">
        <v>1100</v>
      </c>
      <c r="D142" s="214">
        <v>3500</v>
      </c>
      <c r="E142" s="229">
        <f t="shared" si="3"/>
        <v>4600</v>
      </c>
      <c r="F142" s="88"/>
    </row>
    <row r="143" spans="1:6" x14ac:dyDescent="0.25">
      <c r="A143" s="134">
        <v>54304</v>
      </c>
      <c r="B143" s="223" t="s">
        <v>115</v>
      </c>
      <c r="C143" s="213">
        <v>2000</v>
      </c>
      <c r="D143" s="214">
        <v>6500</v>
      </c>
      <c r="E143" s="229">
        <f t="shared" si="3"/>
        <v>8500</v>
      </c>
      <c r="F143" s="88"/>
    </row>
    <row r="144" spans="1:6" x14ac:dyDescent="0.25">
      <c r="A144" s="134">
        <v>54305</v>
      </c>
      <c r="B144" s="223" t="s">
        <v>116</v>
      </c>
      <c r="C144" s="213">
        <v>6500</v>
      </c>
      <c r="D144" s="214">
        <v>4000</v>
      </c>
      <c r="E144" s="229">
        <f t="shared" si="3"/>
        <v>10500</v>
      </c>
      <c r="F144" s="88"/>
    </row>
    <row r="145" spans="1:6" x14ac:dyDescent="0.25">
      <c r="A145" s="134">
        <v>54306</v>
      </c>
      <c r="B145" s="223" t="s">
        <v>215</v>
      </c>
      <c r="C145" s="213"/>
      <c r="D145" s="214"/>
      <c r="E145" s="229">
        <f t="shared" si="3"/>
        <v>0</v>
      </c>
      <c r="F145" s="88"/>
    </row>
    <row r="146" spans="1:6" x14ac:dyDescent="0.25">
      <c r="A146" s="134">
        <v>54307</v>
      </c>
      <c r="B146" s="223" t="s">
        <v>216</v>
      </c>
      <c r="C146" s="213"/>
      <c r="D146" s="214"/>
      <c r="E146" s="229">
        <f t="shared" si="3"/>
        <v>0</v>
      </c>
      <c r="F146" s="88"/>
    </row>
    <row r="147" spans="1:6" x14ac:dyDescent="0.25">
      <c r="A147" s="134">
        <v>54309</v>
      </c>
      <c r="B147" s="223" t="s">
        <v>217</v>
      </c>
      <c r="C147" s="213"/>
      <c r="D147" s="214"/>
      <c r="E147" s="229">
        <f t="shared" si="3"/>
        <v>0</v>
      </c>
      <c r="F147" s="88"/>
    </row>
    <row r="148" spans="1:6" x14ac:dyDescent="0.25">
      <c r="A148" s="134">
        <v>54310</v>
      </c>
      <c r="B148" s="223" t="s">
        <v>117</v>
      </c>
      <c r="C148" s="213">
        <v>5000</v>
      </c>
      <c r="D148" s="81">
        <v>1500</v>
      </c>
      <c r="E148" s="229">
        <f t="shared" si="3"/>
        <v>6500</v>
      </c>
      <c r="F148" s="88"/>
    </row>
    <row r="149" spans="1:6" x14ac:dyDescent="0.25">
      <c r="A149" s="134">
        <v>54311</v>
      </c>
      <c r="B149" s="223" t="s">
        <v>118</v>
      </c>
      <c r="C149" s="213">
        <v>5500</v>
      </c>
      <c r="D149" s="81"/>
      <c r="E149" s="229">
        <v>8700</v>
      </c>
      <c r="F149" s="88"/>
    </row>
    <row r="150" spans="1:6" x14ac:dyDescent="0.25">
      <c r="A150" s="134">
        <v>54313</v>
      </c>
      <c r="B150" s="223" t="s">
        <v>218</v>
      </c>
      <c r="C150" s="213">
        <v>5000</v>
      </c>
      <c r="D150" s="81">
        <v>1000</v>
      </c>
      <c r="E150" s="229">
        <f t="shared" si="3"/>
        <v>6000</v>
      </c>
      <c r="F150" s="88"/>
    </row>
    <row r="151" spans="1:6" x14ac:dyDescent="0.25">
      <c r="A151" s="134">
        <v>54314</v>
      </c>
      <c r="B151" s="223" t="s">
        <v>120</v>
      </c>
      <c r="C151" s="213">
        <v>15000</v>
      </c>
      <c r="D151" s="214"/>
      <c r="E151" s="229">
        <f t="shared" si="3"/>
        <v>15000</v>
      </c>
      <c r="F151" s="88"/>
    </row>
    <row r="152" spans="1:6" x14ac:dyDescent="0.25">
      <c r="A152" s="134">
        <v>54316</v>
      </c>
      <c r="B152" s="223" t="s">
        <v>121</v>
      </c>
      <c r="C152" s="213">
        <v>3500</v>
      </c>
      <c r="D152" s="214">
        <v>4500</v>
      </c>
      <c r="E152" s="229">
        <f t="shared" si="3"/>
        <v>8000</v>
      </c>
      <c r="F152" s="88"/>
    </row>
    <row r="153" spans="1:6" x14ac:dyDescent="0.25">
      <c r="A153" s="134">
        <v>54317</v>
      </c>
      <c r="B153" s="223" t="s">
        <v>122</v>
      </c>
      <c r="C153" s="213">
        <v>4400</v>
      </c>
      <c r="D153" s="214"/>
      <c r="E153" s="229">
        <f t="shared" si="3"/>
        <v>4400</v>
      </c>
      <c r="F153" s="88"/>
    </row>
    <row r="154" spans="1:6" x14ac:dyDescent="0.25">
      <c r="A154" s="134">
        <v>54399</v>
      </c>
      <c r="B154" s="223" t="s">
        <v>219</v>
      </c>
      <c r="C154" s="213">
        <v>8750</v>
      </c>
      <c r="D154" s="214">
        <v>1250</v>
      </c>
      <c r="E154" s="229">
        <f t="shared" si="3"/>
        <v>10000</v>
      </c>
      <c r="F154" s="88"/>
    </row>
    <row r="155" spans="1:6" x14ac:dyDescent="0.25">
      <c r="A155" s="133">
        <v>544</v>
      </c>
      <c r="B155" s="132" t="s">
        <v>124</v>
      </c>
      <c r="C155" s="211">
        <f>+C156+C157+C158+C159</f>
        <v>0</v>
      </c>
      <c r="D155" s="211">
        <f>+D156+D157+D158+D159</f>
        <v>500</v>
      </c>
      <c r="E155" s="212">
        <f>+E156+E157+E158+E159</f>
        <v>500</v>
      </c>
      <c r="F155" s="88"/>
    </row>
    <row r="156" spans="1:6" x14ac:dyDescent="0.25">
      <c r="A156" s="134">
        <v>54401</v>
      </c>
      <c r="B156" s="223" t="s">
        <v>220</v>
      </c>
      <c r="C156" s="214">
        <f>SUM([1]Egresos_CR!C145:E145)*[1]Egresos_CR!$I$106</f>
        <v>0</v>
      </c>
      <c r="D156" s="214">
        <f>SUM([1]Egresos_CR!F145:N145)*[1]Egresos_CR!$I$106</f>
        <v>0</v>
      </c>
      <c r="E156" s="229">
        <f>+C156+D156</f>
        <v>0</v>
      </c>
      <c r="F156" s="88"/>
    </row>
    <row r="157" spans="1:6" x14ac:dyDescent="0.25">
      <c r="A157" s="134">
        <v>54402</v>
      </c>
      <c r="B157" s="223" t="s">
        <v>221</v>
      </c>
      <c r="C157" s="214">
        <f>SUM([1]Egresos_CR!C146:E146)*[1]Egresos_CR!$I$106</f>
        <v>0</v>
      </c>
      <c r="D157" s="214">
        <f>SUM([1]Egresos_CR!F146:N146)*[1]Egresos_CR!$I$106</f>
        <v>0</v>
      </c>
      <c r="E157" s="229">
        <f>+C157+D157</f>
        <v>0</v>
      </c>
      <c r="F157" s="88"/>
    </row>
    <row r="158" spans="1:6" x14ac:dyDescent="0.25">
      <c r="A158" s="134">
        <v>54403</v>
      </c>
      <c r="B158" s="223" t="s">
        <v>125</v>
      </c>
      <c r="C158" s="214"/>
      <c r="D158" s="214">
        <v>500</v>
      </c>
      <c r="E158" s="229">
        <f>+C158+D158</f>
        <v>500</v>
      </c>
      <c r="F158" s="88"/>
    </row>
    <row r="159" spans="1:6" x14ac:dyDescent="0.25">
      <c r="A159" s="134">
        <v>54404</v>
      </c>
      <c r="B159" s="223" t="s">
        <v>222</v>
      </c>
      <c r="C159" s="214"/>
      <c r="D159" s="214">
        <f>SUM([1]Egresos_CR!F148:N148)*[1]Egresos_CR!$I$106</f>
        <v>0</v>
      </c>
      <c r="E159" s="229">
        <f>+C159+D159</f>
        <v>0</v>
      </c>
      <c r="F159" s="88"/>
    </row>
    <row r="160" spans="1:6" x14ac:dyDescent="0.25">
      <c r="A160" s="133">
        <v>545</v>
      </c>
      <c r="B160" s="132" t="s">
        <v>223</v>
      </c>
      <c r="C160" s="211">
        <f>+C161+C162+C163+C164+C165+C167</f>
        <v>11500</v>
      </c>
      <c r="D160" s="211">
        <f>+D161+D162+D163+D164</f>
        <v>0</v>
      </c>
      <c r="E160" s="212">
        <f>+E161+E162+E163+E164</f>
        <v>11500</v>
      </c>
      <c r="F160" s="88"/>
    </row>
    <row r="161" spans="1:6" x14ac:dyDescent="0.25">
      <c r="A161" s="134">
        <v>54501</v>
      </c>
      <c r="B161" s="223" t="s">
        <v>224</v>
      </c>
      <c r="C161" s="214">
        <f>SUM([1]Egresos_CR!C150:E150)*[1]Egresos_CR!$I$106</f>
        <v>0</v>
      </c>
      <c r="D161" s="214">
        <f>SUM([1]Egresos_CR!F150:N150)*[1]Egresos_CR!$I$106</f>
        <v>0</v>
      </c>
      <c r="E161" s="229">
        <f t="shared" ref="E161:E167" si="4">+C161+D161</f>
        <v>0</v>
      </c>
      <c r="F161" s="88"/>
    </row>
    <row r="162" spans="1:6" x14ac:dyDescent="0.25">
      <c r="A162" s="134">
        <v>54503</v>
      </c>
      <c r="B162" s="223" t="s">
        <v>127</v>
      </c>
      <c r="C162" s="81">
        <v>6000</v>
      </c>
      <c r="D162" s="214">
        <f>SUM([1]Egresos_CR!F151:N151)*[1]Egresos_CR!$I$106</f>
        <v>0</v>
      </c>
      <c r="E162" s="229">
        <f t="shared" si="4"/>
        <v>6000</v>
      </c>
      <c r="F162" s="88"/>
    </row>
    <row r="163" spans="1:6" x14ac:dyDescent="0.25">
      <c r="A163" s="134">
        <v>54504</v>
      </c>
      <c r="B163" s="223" t="s">
        <v>128</v>
      </c>
      <c r="C163" s="81">
        <v>3000</v>
      </c>
      <c r="D163" s="214">
        <f>SUM([1]Egresos_CR!F152:N152)*[1]Egresos_CR!$I$106</f>
        <v>0</v>
      </c>
      <c r="E163" s="229">
        <f t="shared" si="4"/>
        <v>3000</v>
      </c>
      <c r="F163" s="88"/>
    </row>
    <row r="164" spans="1:6" x14ac:dyDescent="0.25">
      <c r="A164" s="134">
        <v>54599</v>
      </c>
      <c r="B164" s="223" t="s">
        <v>228</v>
      </c>
      <c r="C164" s="214">
        <v>2500</v>
      </c>
      <c r="D164" s="214">
        <f>SUM([1]Egresos_CR!F153:N153)*[1]Egresos_CR!$I$106</f>
        <v>0</v>
      </c>
      <c r="E164" s="229">
        <f t="shared" si="4"/>
        <v>2500</v>
      </c>
      <c r="F164" s="88"/>
    </row>
    <row r="165" spans="1:6" x14ac:dyDescent="0.25">
      <c r="A165" s="133">
        <v>546</v>
      </c>
      <c r="B165" s="132" t="s">
        <v>229</v>
      </c>
      <c r="C165" s="214">
        <f>SUM([1]Egresos_CR!C154:E154)*[1]Egresos_CR!$I$106</f>
        <v>0</v>
      </c>
      <c r="D165" s="211">
        <f>+D166+D167+D168+D169+D170+D172</f>
        <v>40000</v>
      </c>
      <c r="E165" s="211">
        <f>+E166+E167+E168</f>
        <v>40000</v>
      </c>
      <c r="F165" s="88"/>
    </row>
    <row r="166" spans="1:6" x14ac:dyDescent="0.25">
      <c r="A166" s="134">
        <v>54602</v>
      </c>
      <c r="B166" s="223" t="s">
        <v>606</v>
      </c>
      <c r="C166" s="214">
        <f>SUM([1]Egresos_CR!C155:E155)*[1]Egresos_CR!$I$106</f>
        <v>0</v>
      </c>
      <c r="D166" s="214">
        <v>30000</v>
      </c>
      <c r="E166" s="229">
        <f t="shared" si="4"/>
        <v>30000</v>
      </c>
      <c r="F166" s="88"/>
    </row>
    <row r="167" spans="1:6" x14ac:dyDescent="0.25">
      <c r="A167" s="134">
        <v>54603</v>
      </c>
      <c r="B167" s="223" t="s">
        <v>607</v>
      </c>
      <c r="C167" s="214"/>
      <c r="D167" s="214">
        <v>10000</v>
      </c>
      <c r="E167" s="229">
        <f t="shared" si="4"/>
        <v>10000</v>
      </c>
      <c r="F167" s="88"/>
    </row>
    <row r="168" spans="1:6" x14ac:dyDescent="0.25">
      <c r="A168" s="134"/>
      <c r="B168" s="223"/>
      <c r="C168" s="214"/>
      <c r="D168" s="214"/>
      <c r="E168" s="229"/>
      <c r="F168" s="88"/>
    </row>
    <row r="169" spans="1:6" x14ac:dyDescent="0.25">
      <c r="A169" s="133">
        <v>55</v>
      </c>
      <c r="B169" s="132" t="s">
        <v>129</v>
      </c>
      <c r="C169" s="211">
        <f>+C170+C175+C179</f>
        <v>15109.27</v>
      </c>
      <c r="D169" s="211">
        <f>+D170+D175+D179</f>
        <v>0</v>
      </c>
      <c r="E169" s="212">
        <f>+E170+E175+E179</f>
        <v>15109.27</v>
      </c>
      <c r="F169" s="88"/>
    </row>
    <row r="170" spans="1:6" x14ac:dyDescent="0.25">
      <c r="A170" s="133">
        <v>553</v>
      </c>
      <c r="B170" s="132" t="s">
        <v>231</v>
      </c>
      <c r="C170" s="211">
        <f>+C171+C172+C173+C174</f>
        <v>0</v>
      </c>
      <c r="D170" s="211">
        <f>+D171+D172+D173+D174</f>
        <v>0</v>
      </c>
      <c r="E170" s="212">
        <f>+E171+E172+E173+E174</f>
        <v>0</v>
      </c>
      <c r="F170" s="88"/>
    </row>
    <row r="171" spans="1:6" x14ac:dyDescent="0.25">
      <c r="A171" s="134">
        <v>55302</v>
      </c>
      <c r="B171" s="223" t="s">
        <v>251</v>
      </c>
      <c r="C171" s="214">
        <v>0</v>
      </c>
      <c r="D171" s="214">
        <v>0</v>
      </c>
      <c r="E171" s="215">
        <f t="shared" ref="E171:E182" si="5">+C171+D171</f>
        <v>0</v>
      </c>
      <c r="F171" s="88"/>
    </row>
    <row r="172" spans="1:6" x14ac:dyDescent="0.25">
      <c r="A172" s="134">
        <v>55303</v>
      </c>
      <c r="B172" s="223" t="s">
        <v>233</v>
      </c>
      <c r="C172" s="214"/>
      <c r="D172" s="214">
        <f>SUM([1]Egresos_CR!F162:N162)*[1]Egresos_CR!$I$106</f>
        <v>0</v>
      </c>
      <c r="E172" s="229">
        <f t="shared" si="5"/>
        <v>0</v>
      </c>
      <c r="F172" s="88"/>
    </row>
    <row r="173" spans="1:6" x14ac:dyDescent="0.25">
      <c r="A173" s="134">
        <v>55304</v>
      </c>
      <c r="B173" s="223" t="s">
        <v>63</v>
      </c>
      <c r="C173" s="214">
        <v>0</v>
      </c>
      <c r="D173" s="214">
        <f>SUM([1]Egresos_CR!F163:N163)*[1]Egresos_CR!$I$106</f>
        <v>0</v>
      </c>
      <c r="E173" s="229">
        <f t="shared" si="5"/>
        <v>0</v>
      </c>
      <c r="F173" s="88"/>
    </row>
    <row r="174" spans="1:6" x14ac:dyDescent="0.25">
      <c r="A174" s="134">
        <v>55308</v>
      </c>
      <c r="B174" s="223" t="s">
        <v>234</v>
      </c>
      <c r="C174" s="214">
        <f>SUM([1]Egresos_CR!C164:E164)*[1]Egresos_CR!$I$106</f>
        <v>0</v>
      </c>
      <c r="D174" s="214">
        <f>SUM([1]Egresos_CR!F164:N164)*[1]Egresos_CR!$I$106</f>
        <v>0</v>
      </c>
      <c r="E174" s="229">
        <f t="shared" si="5"/>
        <v>0</v>
      </c>
      <c r="F174" s="88"/>
    </row>
    <row r="175" spans="1:6" x14ac:dyDescent="0.25">
      <c r="A175" s="133">
        <v>556</v>
      </c>
      <c r="B175" s="132" t="s">
        <v>235</v>
      </c>
      <c r="C175" s="211">
        <f>+C176+C177+C178</f>
        <v>14109.27</v>
      </c>
      <c r="D175" s="211">
        <f>+D178</f>
        <v>0</v>
      </c>
      <c r="E175" s="212">
        <f t="shared" si="5"/>
        <v>14109.27</v>
      </c>
      <c r="F175" s="88"/>
    </row>
    <row r="176" spans="1:6" x14ac:dyDescent="0.25">
      <c r="A176" s="134">
        <v>55601</v>
      </c>
      <c r="B176" s="223" t="s">
        <v>236</v>
      </c>
      <c r="C176" s="81">
        <v>7112.9</v>
      </c>
      <c r="D176" s="214">
        <v>0</v>
      </c>
      <c r="E176" s="229">
        <f t="shared" si="5"/>
        <v>7112.9</v>
      </c>
      <c r="F176" s="88"/>
    </row>
    <row r="177" spans="1:6" x14ac:dyDescent="0.25">
      <c r="A177" s="134">
        <v>55602</v>
      </c>
      <c r="B177" s="223" t="s">
        <v>134</v>
      </c>
      <c r="C177" s="81">
        <v>6500</v>
      </c>
      <c r="D177" s="214">
        <v>0</v>
      </c>
      <c r="E177" s="229">
        <f t="shared" si="5"/>
        <v>6500</v>
      </c>
      <c r="F177" s="88"/>
    </row>
    <row r="178" spans="1:6" x14ac:dyDescent="0.25">
      <c r="A178" s="134">
        <v>55603</v>
      </c>
      <c r="B178" s="223" t="s">
        <v>237</v>
      </c>
      <c r="C178" s="81">
        <v>496.37</v>
      </c>
      <c r="D178" s="214">
        <v>0</v>
      </c>
      <c r="E178" s="229">
        <f t="shared" si="5"/>
        <v>496.37</v>
      </c>
      <c r="F178" s="88"/>
    </row>
    <row r="179" spans="1:6" x14ac:dyDescent="0.25">
      <c r="A179" s="133">
        <v>557</v>
      </c>
      <c r="B179" s="132" t="s">
        <v>136</v>
      </c>
      <c r="C179" s="211">
        <f>+C180+C181+C182</f>
        <v>1000</v>
      </c>
      <c r="D179" s="211">
        <f>SUM([1]Egresos_CR!F169:N169)*[1]Egresos_CR!$I$106</f>
        <v>0</v>
      </c>
      <c r="E179" s="212">
        <f t="shared" si="5"/>
        <v>1000</v>
      </c>
      <c r="F179" s="88"/>
    </row>
    <row r="180" spans="1:6" x14ac:dyDescent="0.25">
      <c r="A180" s="134">
        <v>55701</v>
      </c>
      <c r="B180" s="223" t="s">
        <v>238</v>
      </c>
      <c r="C180" s="214">
        <f>SUM([1]Egresos_CR!C170:E170)*[1]Egresos_CR!$I$106</f>
        <v>0</v>
      </c>
      <c r="D180" s="214">
        <f>SUM([1]Egresos_CR!F170:N170)*[1]Egresos_CR!$I$106</f>
        <v>0</v>
      </c>
      <c r="E180" s="229">
        <f t="shared" si="5"/>
        <v>0</v>
      </c>
      <c r="F180" s="88"/>
    </row>
    <row r="181" spans="1:6" x14ac:dyDescent="0.25">
      <c r="A181" s="134">
        <v>55702</v>
      </c>
      <c r="B181" s="223" t="s">
        <v>239</v>
      </c>
      <c r="C181" s="214">
        <f>SUM([1]Egresos_CR!C171:E171)*[1]Egresos_CR!$I$106</f>
        <v>0</v>
      </c>
      <c r="D181" s="214">
        <f>SUM([1]Egresos_CR!F171:N171)*[1]Egresos_CR!$I$106</f>
        <v>0</v>
      </c>
      <c r="E181" s="229">
        <f t="shared" si="5"/>
        <v>0</v>
      </c>
      <c r="F181" s="88"/>
    </row>
    <row r="182" spans="1:6" x14ac:dyDescent="0.25">
      <c r="A182" s="134">
        <v>55799</v>
      </c>
      <c r="B182" s="223" t="s">
        <v>137</v>
      </c>
      <c r="C182" s="214">
        <v>1000</v>
      </c>
      <c r="D182" s="214">
        <f>SUM([1]Egresos_CR!F172:N172)*[1]Egresos_CR!$I$106</f>
        <v>0</v>
      </c>
      <c r="E182" s="229">
        <f t="shared" si="5"/>
        <v>1000</v>
      </c>
      <c r="F182" s="88"/>
    </row>
    <row r="183" spans="1:6" x14ac:dyDescent="0.25">
      <c r="A183" s="134"/>
      <c r="B183" s="223"/>
      <c r="C183" s="214"/>
      <c r="D183" s="214"/>
      <c r="E183" s="229"/>
      <c r="F183" s="88"/>
    </row>
    <row r="184" spans="1:6" x14ac:dyDescent="0.25">
      <c r="A184" s="133">
        <v>56</v>
      </c>
      <c r="B184" s="132" t="s">
        <v>57</v>
      </c>
      <c r="C184" s="211">
        <f>+C186+C189</f>
        <v>29036.93</v>
      </c>
      <c r="D184" s="211">
        <f>+D186+D189</f>
        <v>0</v>
      </c>
      <c r="E184" s="212">
        <f>+E186+E189</f>
        <v>29036.93</v>
      </c>
      <c r="F184" s="88"/>
    </row>
    <row r="185" spans="1:6" x14ac:dyDescent="0.25">
      <c r="A185" s="133">
        <v>562</v>
      </c>
      <c r="B185" s="132" t="s">
        <v>138</v>
      </c>
      <c r="C185" s="211">
        <f>+C187</f>
        <v>8036.93</v>
      </c>
      <c r="D185" s="211">
        <f>SUM([1]Egresos_CR!F175:N175)*[1]Egresos_CR!$I$106</f>
        <v>0</v>
      </c>
      <c r="E185" s="212">
        <f>+C185+D185</f>
        <v>8036.93</v>
      </c>
      <c r="F185" s="88"/>
    </row>
    <row r="186" spans="1:6" x14ac:dyDescent="0.25">
      <c r="A186" s="133">
        <v>562</v>
      </c>
      <c r="B186" s="132" t="s">
        <v>252</v>
      </c>
      <c r="C186" s="211">
        <f>+C187+C188</f>
        <v>8036.93</v>
      </c>
      <c r="D186" s="211"/>
      <c r="E186" s="212">
        <f>+C186+D186</f>
        <v>8036.93</v>
      </c>
      <c r="F186" s="88"/>
    </row>
    <row r="187" spans="1:6" x14ac:dyDescent="0.25">
      <c r="A187" s="134">
        <v>56201</v>
      </c>
      <c r="B187" s="223" t="s">
        <v>252</v>
      </c>
      <c r="C187" s="214">
        <v>8036.93</v>
      </c>
      <c r="D187" s="214">
        <v>0</v>
      </c>
      <c r="E187" s="229">
        <f>+C187</f>
        <v>8036.93</v>
      </c>
      <c r="F187" s="88"/>
    </row>
    <row r="188" spans="1:6" x14ac:dyDescent="0.25">
      <c r="A188" s="134">
        <v>56202</v>
      </c>
      <c r="B188" s="223" t="s">
        <v>253</v>
      </c>
      <c r="C188" s="214">
        <v>0</v>
      </c>
      <c r="D188" s="214"/>
      <c r="E188" s="229"/>
      <c r="F188" s="88"/>
    </row>
    <row r="189" spans="1:6" x14ac:dyDescent="0.25">
      <c r="A189" s="133">
        <v>563</v>
      </c>
      <c r="B189" s="132" t="s">
        <v>139</v>
      </c>
      <c r="C189" s="211">
        <f>+C190+C192</f>
        <v>21000</v>
      </c>
      <c r="D189" s="211">
        <v>0</v>
      </c>
      <c r="E189" s="212">
        <f>+E190+E192</f>
        <v>21000</v>
      </c>
      <c r="F189" s="88"/>
    </row>
    <row r="190" spans="1:6" x14ac:dyDescent="0.25">
      <c r="A190" s="134">
        <v>56303</v>
      </c>
      <c r="B190" s="223" t="s">
        <v>241</v>
      </c>
      <c r="C190" s="81">
        <v>20000</v>
      </c>
      <c r="D190" s="214"/>
      <c r="E190" s="215">
        <f>+C190</f>
        <v>20000</v>
      </c>
      <c r="F190" s="88"/>
    </row>
    <row r="191" spans="1:6" x14ac:dyDescent="0.25">
      <c r="A191" s="134">
        <v>56304</v>
      </c>
      <c r="B191" s="223" t="s">
        <v>141</v>
      </c>
      <c r="C191" s="81">
        <v>6000</v>
      </c>
      <c r="D191" s="214">
        <v>0</v>
      </c>
      <c r="E191" s="229">
        <f>+C191</f>
        <v>6000</v>
      </c>
      <c r="F191" s="88"/>
    </row>
    <row r="192" spans="1:6" ht="15.75" thickBot="1" x14ac:dyDescent="0.3">
      <c r="A192" s="235">
        <v>56305</v>
      </c>
      <c r="B192" s="236" t="s">
        <v>142</v>
      </c>
      <c r="C192" s="220">
        <v>1000</v>
      </c>
      <c r="D192" s="220">
        <v>0</v>
      </c>
      <c r="E192" s="229">
        <f>+C192</f>
        <v>1000</v>
      </c>
      <c r="F192" s="88"/>
    </row>
    <row r="193" spans="1:6" ht="15.75" thickBot="1" x14ac:dyDescent="0.3">
      <c r="A193" s="237"/>
      <c r="B193" s="104" t="s">
        <v>1</v>
      </c>
      <c r="C193" s="221">
        <f>+C111+C169+C184</f>
        <v>171563.19999999998</v>
      </c>
      <c r="D193" s="221">
        <f>+D111+D169+D184</f>
        <v>321071.7</v>
      </c>
      <c r="E193" s="222">
        <f>+E111+E169+E184</f>
        <v>575834.9</v>
      </c>
      <c r="F193" s="88"/>
    </row>
    <row r="194" spans="1:6" x14ac:dyDescent="0.25">
      <c r="A194" s="88"/>
      <c r="B194" s="88"/>
      <c r="C194" s="88"/>
      <c r="D194" s="88"/>
      <c r="E194" s="88"/>
      <c r="F194" s="88"/>
    </row>
    <row r="195" spans="1:6" x14ac:dyDescent="0.25">
      <c r="A195" s="88"/>
      <c r="B195" s="88"/>
      <c r="C195" s="88"/>
      <c r="D195" s="88"/>
      <c r="E195" s="88"/>
      <c r="F195" s="88"/>
    </row>
    <row r="196" spans="1:6" x14ac:dyDescent="0.25">
      <c r="A196" s="88"/>
      <c r="B196" s="88"/>
      <c r="C196" s="88"/>
      <c r="D196" s="88"/>
      <c r="E196" s="88"/>
      <c r="F196" s="88"/>
    </row>
    <row r="197" spans="1:6" x14ac:dyDescent="0.25">
      <c r="A197" s="88"/>
      <c r="B197" s="88"/>
      <c r="C197" s="88"/>
      <c r="D197" s="88"/>
      <c r="E197" s="88"/>
      <c r="F197" s="88"/>
    </row>
    <row r="198" spans="1:6" x14ac:dyDescent="0.25">
      <c r="A198" s="88"/>
      <c r="B198" s="88"/>
      <c r="C198" s="88"/>
      <c r="D198" s="88"/>
      <c r="E198" s="88"/>
      <c r="F198" s="88"/>
    </row>
    <row r="199" spans="1:6" x14ac:dyDescent="0.25">
      <c r="A199" s="88"/>
      <c r="B199" s="88"/>
      <c r="C199" s="88"/>
      <c r="D199" s="88"/>
      <c r="E199" s="88"/>
      <c r="F199" s="88"/>
    </row>
    <row r="200" spans="1:6" x14ac:dyDescent="0.25">
      <c r="A200" s="238"/>
      <c r="B200" s="238"/>
      <c r="C200" s="238"/>
      <c r="D200" s="238"/>
      <c r="E200" s="238"/>
      <c r="F200" s="238"/>
    </row>
    <row r="201" spans="1:6" x14ac:dyDescent="0.25">
      <c r="A201" s="238"/>
      <c r="B201" s="238"/>
      <c r="C201" s="238"/>
      <c r="D201" s="238"/>
      <c r="E201" s="238"/>
      <c r="F201" s="238"/>
    </row>
    <row r="202" spans="1:6" x14ac:dyDescent="0.25">
      <c r="A202" s="238"/>
      <c r="B202" s="238"/>
      <c r="C202" s="238"/>
      <c r="D202" s="238"/>
      <c r="E202" s="238"/>
      <c r="F202" s="238"/>
    </row>
  </sheetData>
  <mergeCells count="16">
    <mergeCell ref="C109:C110"/>
    <mergeCell ref="D109:D110"/>
    <mergeCell ref="E109:E110"/>
    <mergeCell ref="A1:E1"/>
    <mergeCell ref="A2:E2"/>
    <mergeCell ref="A3:E3"/>
    <mergeCell ref="A4:E4"/>
    <mergeCell ref="C5:E5"/>
    <mergeCell ref="C6:C7"/>
    <mergeCell ref="D6:D7"/>
    <mergeCell ref="E6:E7"/>
    <mergeCell ref="A103:E103"/>
    <mergeCell ref="A104:E104"/>
    <mergeCell ref="A105:E105"/>
    <mergeCell ref="A106:E106"/>
    <mergeCell ref="C108:E108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3"/>
  <sheetViews>
    <sheetView zoomScale="125" zoomScaleNormal="125" workbookViewId="0">
      <selection activeCell="D120" sqref="D120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56.42578125" bestFit="1" customWidth="1"/>
    <col min="4" max="4" width="12.85546875" customWidth="1"/>
    <col min="5" max="5" width="12.5703125" customWidth="1"/>
    <col min="6" max="6" width="13" bestFit="1" customWidth="1"/>
    <col min="7" max="7" width="1.42578125" customWidth="1"/>
  </cols>
  <sheetData>
    <row r="1" spans="1:7" ht="16.5" x14ac:dyDescent="0.3">
      <c r="B1" s="591" t="s">
        <v>170</v>
      </c>
      <c r="C1" s="591"/>
      <c r="D1" s="591"/>
      <c r="E1" s="591"/>
      <c r="F1" s="591"/>
    </row>
    <row r="2" spans="1:7" ht="16.5" x14ac:dyDescent="0.3">
      <c r="B2" s="592" t="s">
        <v>165</v>
      </c>
      <c r="C2" s="592"/>
      <c r="D2" s="592"/>
      <c r="E2" s="592"/>
      <c r="F2" s="592"/>
    </row>
    <row r="3" spans="1:7" ht="16.5" x14ac:dyDescent="0.3">
      <c r="B3" s="592" t="s">
        <v>166</v>
      </c>
      <c r="C3" s="592"/>
      <c r="D3" s="592"/>
      <c r="E3" s="592"/>
      <c r="F3" s="592"/>
    </row>
    <row r="4" spans="1:7" ht="16.5" x14ac:dyDescent="0.3">
      <c r="B4" s="1" t="s">
        <v>168</v>
      </c>
      <c r="C4" s="1"/>
      <c r="D4" s="1" t="s">
        <v>169</v>
      </c>
      <c r="E4" s="1"/>
      <c r="F4" s="1"/>
    </row>
    <row r="5" spans="1:7" ht="16.5" x14ac:dyDescent="0.3">
      <c r="B5" s="592" t="s">
        <v>694</v>
      </c>
      <c r="C5" s="592"/>
      <c r="D5" s="592"/>
      <c r="E5" s="592"/>
      <c r="F5" s="592"/>
    </row>
    <row r="6" spans="1:7" ht="17.25" thickBot="1" x14ac:dyDescent="0.35">
      <c r="B6" s="590" t="s">
        <v>171</v>
      </c>
      <c r="C6" s="590"/>
      <c r="D6" s="590"/>
      <c r="E6" s="590"/>
      <c r="F6" s="590"/>
    </row>
    <row r="7" spans="1:7" ht="16.5" x14ac:dyDescent="0.3">
      <c r="A7" s="1"/>
      <c r="B7" s="2"/>
      <c r="C7" s="3"/>
      <c r="D7" s="25"/>
      <c r="E7" s="25"/>
      <c r="F7" s="26"/>
      <c r="G7" s="1"/>
    </row>
    <row r="8" spans="1:7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7" t="s">
        <v>1</v>
      </c>
      <c r="G8" s="1"/>
    </row>
    <row r="9" spans="1:7" ht="16.5" x14ac:dyDescent="0.3">
      <c r="A9" s="1"/>
      <c r="B9" s="30">
        <v>51</v>
      </c>
      <c r="C9" s="31" t="s">
        <v>71</v>
      </c>
      <c r="D9" s="32"/>
      <c r="E9" s="32"/>
      <c r="F9" s="364">
        <f>SUM(E10:E29)</f>
        <v>1745798.66</v>
      </c>
      <c r="G9" s="1"/>
    </row>
    <row r="10" spans="1:7" ht="16.5" x14ac:dyDescent="0.3">
      <c r="A10" s="1"/>
      <c r="B10" s="4">
        <v>511</v>
      </c>
      <c r="C10" s="5" t="s">
        <v>72</v>
      </c>
      <c r="D10" s="29"/>
      <c r="E10" s="20">
        <f>SUM(D11:D14)</f>
        <v>1454229.54</v>
      </c>
      <c r="F10" s="34"/>
      <c r="G10" s="1"/>
    </row>
    <row r="11" spans="1:7" ht="16.5" x14ac:dyDescent="0.3">
      <c r="A11" s="1"/>
      <c r="B11" s="6">
        <v>51101</v>
      </c>
      <c r="C11" s="7" t="s">
        <v>73</v>
      </c>
      <c r="D11" s="29">
        <v>1133573.04</v>
      </c>
      <c r="E11" s="20"/>
      <c r="F11" s="34"/>
      <c r="G11" s="1"/>
    </row>
    <row r="12" spans="1:7" ht="16.5" x14ac:dyDescent="0.3">
      <c r="A12" s="1"/>
      <c r="B12" s="6">
        <v>51103</v>
      </c>
      <c r="C12" s="7" t="s">
        <v>74</v>
      </c>
      <c r="D12" s="29">
        <v>78400</v>
      </c>
      <c r="E12" s="20"/>
      <c r="F12" s="34"/>
      <c r="G12" s="1"/>
    </row>
    <row r="13" spans="1:7" ht="16.5" x14ac:dyDescent="0.3">
      <c r="A13" s="1"/>
      <c r="B13" s="6">
        <v>51105</v>
      </c>
      <c r="C13" s="7" t="s">
        <v>75</v>
      </c>
      <c r="D13" s="29">
        <v>125568</v>
      </c>
      <c r="E13" s="20"/>
      <c r="F13" s="34"/>
      <c r="G13" s="1"/>
    </row>
    <row r="14" spans="1:7" ht="16.5" x14ac:dyDescent="0.3">
      <c r="A14" s="1"/>
      <c r="B14" s="6">
        <v>51107</v>
      </c>
      <c r="C14" s="7" t="s">
        <v>76</v>
      </c>
      <c r="D14" s="29">
        <v>116688.5</v>
      </c>
      <c r="E14" s="20"/>
      <c r="F14" s="34"/>
      <c r="G14" s="1"/>
    </row>
    <row r="15" spans="1:7" ht="16.5" x14ac:dyDescent="0.3">
      <c r="A15" s="1"/>
      <c r="B15" s="4">
        <v>512</v>
      </c>
      <c r="C15" s="5" t="s">
        <v>77</v>
      </c>
      <c r="D15" s="29"/>
      <c r="E15" s="20">
        <f>+D16</f>
        <v>30000</v>
      </c>
      <c r="F15" s="34"/>
      <c r="G15" s="1"/>
    </row>
    <row r="16" spans="1:7" ht="16.5" x14ac:dyDescent="0.3">
      <c r="A16" s="1"/>
      <c r="B16" s="6">
        <v>51201</v>
      </c>
      <c r="C16" s="7" t="s">
        <v>73</v>
      </c>
      <c r="D16" s="29">
        <v>30000</v>
      </c>
      <c r="E16" s="20"/>
      <c r="F16" s="34"/>
      <c r="G16" s="1"/>
    </row>
    <row r="17" spans="1:7" ht="16.5" x14ac:dyDescent="0.3">
      <c r="A17" s="1"/>
      <c r="B17" s="4">
        <v>513</v>
      </c>
      <c r="C17" s="5" t="s">
        <v>78</v>
      </c>
      <c r="D17" s="29"/>
      <c r="E17" s="20">
        <f>+D18</f>
        <v>25000</v>
      </c>
      <c r="F17" s="34"/>
      <c r="G17" s="1"/>
    </row>
    <row r="18" spans="1:7" ht="16.5" x14ac:dyDescent="0.3">
      <c r="A18" s="1"/>
      <c r="B18" s="6">
        <v>51301</v>
      </c>
      <c r="C18" s="7" t="s">
        <v>79</v>
      </c>
      <c r="D18" s="29">
        <v>25000</v>
      </c>
      <c r="E18" s="20"/>
      <c r="F18" s="34"/>
      <c r="G18" s="1"/>
    </row>
    <row r="19" spans="1:7" ht="16.5" x14ac:dyDescent="0.3">
      <c r="A19" s="1"/>
      <c r="B19" s="4">
        <v>514</v>
      </c>
      <c r="C19" s="5" t="s">
        <v>161</v>
      </c>
      <c r="D19" s="29"/>
      <c r="E19" s="20">
        <f>+D20</f>
        <v>94423.92</v>
      </c>
      <c r="F19" s="34"/>
      <c r="G19" s="1"/>
    </row>
    <row r="20" spans="1:7" ht="16.5" x14ac:dyDescent="0.3">
      <c r="A20" s="1"/>
      <c r="B20" s="6">
        <v>51401</v>
      </c>
      <c r="C20" s="7" t="s">
        <v>80</v>
      </c>
      <c r="D20" s="29">
        <v>94423.92</v>
      </c>
      <c r="E20" s="20"/>
      <c r="F20" s="34"/>
      <c r="G20" s="1"/>
    </row>
    <row r="21" spans="1:7" ht="16.5" x14ac:dyDescent="0.3">
      <c r="A21" s="1"/>
      <c r="B21" s="4">
        <v>515</v>
      </c>
      <c r="C21" s="5" t="s">
        <v>162</v>
      </c>
      <c r="D21" s="29"/>
      <c r="E21" s="20">
        <f>+D22</f>
        <v>88411.92</v>
      </c>
      <c r="F21" s="34"/>
      <c r="G21" s="1"/>
    </row>
    <row r="22" spans="1:7" ht="16.5" x14ac:dyDescent="0.3">
      <c r="A22" s="1"/>
      <c r="B22" s="6">
        <v>51501</v>
      </c>
      <c r="C22" s="7" t="s">
        <v>80</v>
      </c>
      <c r="D22" s="29">
        <v>88411.92</v>
      </c>
      <c r="E22" s="20"/>
      <c r="F22" s="34"/>
      <c r="G22" s="1"/>
    </row>
    <row r="23" spans="1:7" ht="16.5" x14ac:dyDescent="0.3">
      <c r="A23" s="1"/>
      <c r="B23" s="4">
        <v>516</v>
      </c>
      <c r="C23" s="5" t="s">
        <v>81</v>
      </c>
      <c r="D23" s="29"/>
      <c r="E23" s="20">
        <f>SUM(D24:D25)</f>
        <v>15000</v>
      </c>
      <c r="F23" s="34"/>
      <c r="G23" s="1"/>
    </row>
    <row r="24" spans="1:7" ht="16.5" x14ac:dyDescent="0.3">
      <c r="A24" s="1"/>
      <c r="B24" s="6">
        <v>51601</v>
      </c>
      <c r="C24" s="7" t="s">
        <v>82</v>
      </c>
      <c r="D24" s="29">
        <v>12000</v>
      </c>
      <c r="E24" s="20"/>
      <c r="F24" s="34"/>
      <c r="G24" s="1"/>
    </row>
    <row r="25" spans="1:7" ht="16.5" x14ac:dyDescent="0.3">
      <c r="A25" s="1"/>
      <c r="B25" s="6">
        <v>51602</v>
      </c>
      <c r="C25" s="7" t="s">
        <v>83</v>
      </c>
      <c r="D25" s="29">
        <v>3000</v>
      </c>
      <c r="E25" s="20"/>
      <c r="F25" s="34"/>
      <c r="G25" s="1"/>
    </row>
    <row r="26" spans="1:7" ht="16.5" x14ac:dyDescent="0.3">
      <c r="A26" s="1"/>
      <c r="B26" s="4">
        <v>517</v>
      </c>
      <c r="C26" s="5" t="s">
        <v>84</v>
      </c>
      <c r="D26" s="29"/>
      <c r="E26" s="20">
        <f>+D27</f>
        <v>25000</v>
      </c>
      <c r="F26" s="34"/>
      <c r="G26" s="1"/>
    </row>
    <row r="27" spans="1:7" ht="16.5" x14ac:dyDescent="0.3">
      <c r="A27" s="1"/>
      <c r="B27" s="6">
        <v>51701</v>
      </c>
      <c r="C27" s="7" t="s">
        <v>85</v>
      </c>
      <c r="D27" s="29">
        <v>25000</v>
      </c>
      <c r="E27" s="20"/>
      <c r="F27" s="34"/>
      <c r="G27" s="1"/>
    </row>
    <row r="28" spans="1:7" ht="16.5" x14ac:dyDescent="0.3">
      <c r="A28" s="1"/>
      <c r="B28" s="4">
        <v>519</v>
      </c>
      <c r="C28" s="5" t="s">
        <v>86</v>
      </c>
      <c r="D28" s="29"/>
      <c r="E28" s="20">
        <f>+D29</f>
        <v>13733.28</v>
      </c>
      <c r="F28" s="34"/>
      <c r="G28" s="1"/>
    </row>
    <row r="29" spans="1:7" ht="16.5" x14ac:dyDescent="0.3">
      <c r="A29" s="1"/>
      <c r="B29" s="6">
        <v>51901</v>
      </c>
      <c r="C29" s="7" t="s">
        <v>87</v>
      </c>
      <c r="D29" s="29">
        <v>13733.28</v>
      </c>
      <c r="E29" s="20"/>
      <c r="F29" s="34"/>
      <c r="G29" s="1"/>
    </row>
    <row r="30" spans="1:7" ht="16.5" x14ac:dyDescent="0.3">
      <c r="A30" s="1"/>
      <c r="B30" s="6"/>
      <c r="C30" s="7"/>
      <c r="D30" s="29"/>
      <c r="E30" s="20"/>
      <c r="F30" s="34"/>
      <c r="G30" s="1"/>
    </row>
    <row r="31" spans="1:7" ht="16.5" x14ac:dyDescent="0.3">
      <c r="A31" s="1"/>
      <c r="B31" s="4">
        <v>54</v>
      </c>
      <c r="C31" s="5" t="s">
        <v>88</v>
      </c>
      <c r="D31" s="29"/>
      <c r="E31" s="20"/>
      <c r="F31" s="34">
        <f>SUM(E32:E75)</f>
        <v>714872.59999999986</v>
      </c>
      <c r="G31" s="1"/>
    </row>
    <row r="32" spans="1:7" ht="16.5" x14ac:dyDescent="0.3">
      <c r="A32" s="1"/>
      <c r="B32" s="4">
        <v>541</v>
      </c>
      <c r="C32" s="5" t="s">
        <v>89</v>
      </c>
      <c r="D32" s="29"/>
      <c r="E32" s="20">
        <f>SUM(D33:D50)</f>
        <v>182749.08</v>
      </c>
      <c r="F32" s="34"/>
      <c r="G32" s="1"/>
    </row>
    <row r="33" spans="1:7" ht="16.5" x14ac:dyDescent="0.3">
      <c r="A33" s="1"/>
      <c r="B33" s="6">
        <v>54101</v>
      </c>
      <c r="C33" s="7" t="s">
        <v>90</v>
      </c>
      <c r="D33" s="29">
        <v>15800.4</v>
      </c>
      <c r="E33" s="20"/>
      <c r="F33" s="34"/>
      <c r="G33" s="1"/>
    </row>
    <row r="34" spans="1:7" ht="16.5" x14ac:dyDescent="0.3">
      <c r="A34" s="1"/>
      <c r="B34" s="6">
        <v>54103</v>
      </c>
      <c r="C34" s="7" t="s">
        <v>639</v>
      </c>
      <c r="D34" s="29">
        <v>192</v>
      </c>
      <c r="E34" s="20"/>
      <c r="F34" s="34"/>
      <c r="G34" s="1"/>
    </row>
    <row r="35" spans="1:7" ht="16.5" x14ac:dyDescent="0.3">
      <c r="A35" s="1"/>
      <c r="B35" s="6">
        <v>54104</v>
      </c>
      <c r="C35" s="7" t="s">
        <v>91</v>
      </c>
      <c r="D35" s="29">
        <v>20476.95</v>
      </c>
      <c r="E35" s="20"/>
      <c r="F35" s="34"/>
      <c r="G35" s="1"/>
    </row>
    <row r="36" spans="1:7" ht="16.5" x14ac:dyDescent="0.3">
      <c r="A36" s="1"/>
      <c r="B36" s="6">
        <v>54105</v>
      </c>
      <c r="C36" s="7" t="s">
        <v>92</v>
      </c>
      <c r="D36" s="29">
        <v>11693.78</v>
      </c>
      <c r="E36" s="20"/>
      <c r="F36" s="34"/>
      <c r="G36" s="1"/>
    </row>
    <row r="37" spans="1:7" ht="16.5" x14ac:dyDescent="0.3">
      <c r="A37" s="1"/>
      <c r="B37" s="6">
        <v>54106</v>
      </c>
      <c r="C37" s="7" t="s">
        <v>93</v>
      </c>
      <c r="D37" s="29">
        <v>872.55</v>
      </c>
      <c r="E37" s="20"/>
      <c r="F37" s="34"/>
      <c r="G37" s="1"/>
    </row>
    <row r="38" spans="1:7" ht="16.5" x14ac:dyDescent="0.3">
      <c r="A38" s="1"/>
      <c r="B38" s="6">
        <v>54107</v>
      </c>
      <c r="C38" s="7" t="s">
        <v>94</v>
      </c>
      <c r="D38" s="29">
        <v>14545.72</v>
      </c>
      <c r="E38" s="20"/>
      <c r="F38" s="34"/>
      <c r="G38" s="1"/>
    </row>
    <row r="39" spans="1:7" ht="16.5" x14ac:dyDescent="0.3">
      <c r="A39" s="1"/>
      <c r="B39" s="6">
        <v>54108</v>
      </c>
      <c r="C39" s="7" t="s">
        <v>95</v>
      </c>
      <c r="D39" s="29">
        <v>1000</v>
      </c>
      <c r="E39" s="20"/>
      <c r="F39" s="34"/>
      <c r="G39" s="1"/>
    </row>
    <row r="40" spans="1:7" ht="16.5" x14ac:dyDescent="0.3">
      <c r="A40" s="1"/>
      <c r="B40" s="6">
        <v>54109</v>
      </c>
      <c r="C40" s="7" t="s">
        <v>96</v>
      </c>
      <c r="D40" s="29">
        <v>3000</v>
      </c>
      <c r="E40" s="20"/>
      <c r="F40" s="34"/>
      <c r="G40" s="1"/>
    </row>
    <row r="41" spans="1:7" ht="16.5" x14ac:dyDescent="0.3">
      <c r="A41" s="1"/>
      <c r="B41" s="6">
        <v>54110</v>
      </c>
      <c r="C41" s="7" t="s">
        <v>97</v>
      </c>
      <c r="D41" s="29">
        <v>45000</v>
      </c>
      <c r="E41" s="20"/>
      <c r="F41" s="34"/>
      <c r="G41" s="1"/>
    </row>
    <row r="42" spans="1:7" ht="16.5" x14ac:dyDescent="0.3">
      <c r="A42" s="1"/>
      <c r="B42" s="6">
        <v>54111</v>
      </c>
      <c r="C42" s="7" t="s">
        <v>98</v>
      </c>
      <c r="D42" s="29">
        <v>4493.3999999999996</v>
      </c>
      <c r="E42" s="20"/>
      <c r="F42" s="34"/>
      <c r="G42" s="1"/>
    </row>
    <row r="43" spans="1:7" ht="16.5" x14ac:dyDescent="0.3">
      <c r="A43" s="1"/>
      <c r="B43" s="6">
        <v>54112</v>
      </c>
      <c r="C43" s="7" t="s">
        <v>99</v>
      </c>
      <c r="D43" s="29">
        <v>1000</v>
      </c>
      <c r="E43" s="20"/>
      <c r="F43" s="34"/>
      <c r="G43" s="1"/>
    </row>
    <row r="44" spans="1:7" ht="16.5" x14ac:dyDescent="0.3">
      <c r="A44" s="1"/>
      <c r="B44" s="6">
        <v>54114</v>
      </c>
      <c r="C44" s="7" t="s">
        <v>100</v>
      </c>
      <c r="D44" s="29">
        <v>6279.99</v>
      </c>
      <c r="E44" s="20"/>
      <c r="F44" s="34"/>
      <c r="G44" s="1"/>
    </row>
    <row r="45" spans="1:7" ht="16.5" x14ac:dyDescent="0.3">
      <c r="A45" s="1"/>
      <c r="B45" s="6">
        <v>54115</v>
      </c>
      <c r="C45" s="7" t="s">
        <v>101</v>
      </c>
      <c r="D45" s="29">
        <v>10280.85</v>
      </c>
      <c r="E45" s="20"/>
      <c r="F45" s="34"/>
      <c r="G45" s="1"/>
    </row>
    <row r="46" spans="1:7" ht="16.5" x14ac:dyDescent="0.3">
      <c r="A46" s="1"/>
      <c r="B46" s="6">
        <v>54117</v>
      </c>
      <c r="C46" s="7" t="s">
        <v>102</v>
      </c>
      <c r="D46" s="29">
        <v>4357.5</v>
      </c>
      <c r="E46" s="20"/>
      <c r="F46" s="34"/>
      <c r="G46" s="1"/>
    </row>
    <row r="47" spans="1:7" ht="16.5" x14ac:dyDescent="0.3">
      <c r="A47" s="1"/>
      <c r="B47" s="6">
        <v>54118</v>
      </c>
      <c r="C47" s="7" t="s">
        <v>103</v>
      </c>
      <c r="D47" s="29">
        <v>6604.2</v>
      </c>
      <c r="E47" s="20"/>
      <c r="F47" s="34"/>
      <c r="G47" s="1"/>
    </row>
    <row r="48" spans="1:7" ht="16.5" x14ac:dyDescent="0.3">
      <c r="A48" s="1"/>
      <c r="B48" s="6">
        <v>54119</v>
      </c>
      <c r="C48" s="7" t="s">
        <v>104</v>
      </c>
      <c r="D48" s="29">
        <v>1473.5</v>
      </c>
      <c r="E48" s="20"/>
      <c r="F48" s="34"/>
      <c r="G48" s="1"/>
    </row>
    <row r="49" spans="1:7" ht="16.5" x14ac:dyDescent="0.3">
      <c r="A49" s="1"/>
      <c r="B49" s="6">
        <v>54121</v>
      </c>
      <c r="C49" s="7" t="s">
        <v>105</v>
      </c>
      <c r="D49" s="29">
        <v>30000</v>
      </c>
      <c r="E49" s="20"/>
      <c r="F49" s="34"/>
      <c r="G49" s="1"/>
    </row>
    <row r="50" spans="1:7" ht="16.5" x14ac:dyDescent="0.3">
      <c r="A50" s="1"/>
      <c r="B50" s="6">
        <v>54199</v>
      </c>
      <c r="C50" s="7" t="s">
        <v>106</v>
      </c>
      <c r="D50" s="29">
        <v>5678.24</v>
      </c>
      <c r="E50" s="20"/>
      <c r="F50" s="34"/>
      <c r="G50" s="1"/>
    </row>
    <row r="51" spans="1:7" ht="16.5" x14ac:dyDescent="0.3">
      <c r="A51" s="1"/>
      <c r="B51" s="4">
        <v>542</v>
      </c>
      <c r="C51" s="5" t="s">
        <v>47</v>
      </c>
      <c r="D51" s="29"/>
      <c r="E51" s="20">
        <f>SUM(D52:D55)</f>
        <v>355708.70999999996</v>
      </c>
      <c r="F51" s="34"/>
      <c r="G51" s="1"/>
    </row>
    <row r="52" spans="1:7" ht="16.5" x14ac:dyDescent="0.3">
      <c r="A52" s="1"/>
      <c r="B52" s="6">
        <v>54201</v>
      </c>
      <c r="C52" s="7" t="s">
        <v>107</v>
      </c>
      <c r="D52" s="37">
        <v>209708.71</v>
      </c>
      <c r="E52" s="20"/>
      <c r="F52" s="34"/>
      <c r="G52" s="1"/>
    </row>
    <row r="53" spans="1:7" ht="16.5" x14ac:dyDescent="0.3">
      <c r="A53" s="1"/>
      <c r="B53" s="6">
        <v>54202</v>
      </c>
      <c r="C53" s="7" t="s">
        <v>108</v>
      </c>
      <c r="D53" s="37">
        <v>5000</v>
      </c>
      <c r="E53" s="20"/>
      <c r="F53" s="34"/>
      <c r="G53" s="1"/>
    </row>
    <row r="54" spans="1:7" ht="16.5" x14ac:dyDescent="0.3">
      <c r="A54" s="1"/>
      <c r="B54" s="6">
        <v>54203</v>
      </c>
      <c r="C54" s="7" t="s">
        <v>109</v>
      </c>
      <c r="D54" s="37">
        <v>55000</v>
      </c>
      <c r="E54" s="20"/>
      <c r="F54" s="34"/>
      <c r="G54" s="1"/>
    </row>
    <row r="55" spans="1:7" ht="16.5" x14ac:dyDescent="0.3">
      <c r="A55" s="1"/>
      <c r="B55" s="6">
        <v>54205</v>
      </c>
      <c r="C55" s="7" t="s">
        <v>110</v>
      </c>
      <c r="D55" s="37">
        <v>86000</v>
      </c>
      <c r="E55" s="20"/>
      <c r="F55" s="34"/>
      <c r="G55" s="1"/>
    </row>
    <row r="56" spans="1:7" ht="16.5" x14ac:dyDescent="0.3">
      <c r="A56" s="1"/>
      <c r="B56" s="4">
        <v>543</v>
      </c>
      <c r="C56" s="5" t="s">
        <v>111</v>
      </c>
      <c r="D56" s="37"/>
      <c r="E56" s="20">
        <f>SUM(D57:D68)</f>
        <v>167914.81</v>
      </c>
      <c r="F56" s="34"/>
      <c r="G56" s="1"/>
    </row>
    <row r="57" spans="1:7" ht="16.5" x14ac:dyDescent="0.3">
      <c r="A57" s="1"/>
      <c r="B57" s="6">
        <v>54301</v>
      </c>
      <c r="C57" s="7" t="s">
        <v>112</v>
      </c>
      <c r="D57" s="37">
        <v>6665</v>
      </c>
      <c r="E57" s="20"/>
      <c r="F57" s="34"/>
      <c r="G57" s="1"/>
    </row>
    <row r="58" spans="1:7" ht="16.5" x14ac:dyDescent="0.3">
      <c r="A58" s="1"/>
      <c r="B58" s="6">
        <v>54302</v>
      </c>
      <c r="C58" s="7" t="s">
        <v>113</v>
      </c>
      <c r="D58" s="37">
        <v>98170.93</v>
      </c>
      <c r="E58" s="20"/>
      <c r="F58" s="34"/>
      <c r="G58" s="1"/>
    </row>
    <row r="59" spans="1:7" ht="16.5" x14ac:dyDescent="0.3">
      <c r="A59" s="1"/>
      <c r="B59" s="6">
        <v>54303</v>
      </c>
      <c r="C59" s="7" t="s">
        <v>114</v>
      </c>
      <c r="D59" s="37">
        <v>4362.88</v>
      </c>
      <c r="E59" s="20"/>
      <c r="F59" s="34"/>
      <c r="G59" s="1"/>
    </row>
    <row r="60" spans="1:7" ht="16.5" x14ac:dyDescent="0.3">
      <c r="A60" s="1"/>
      <c r="B60" s="6">
        <v>54304</v>
      </c>
      <c r="C60" s="7" t="s">
        <v>115</v>
      </c>
      <c r="D60" s="37">
        <v>5000</v>
      </c>
      <c r="E60" s="20"/>
      <c r="F60" s="34"/>
      <c r="G60" s="1"/>
    </row>
    <row r="61" spans="1:7" ht="16.5" x14ac:dyDescent="0.3">
      <c r="A61" s="1"/>
      <c r="B61" s="6">
        <v>54305</v>
      </c>
      <c r="C61" s="7" t="s">
        <v>116</v>
      </c>
      <c r="D61" s="37">
        <v>8000</v>
      </c>
      <c r="E61" s="20"/>
      <c r="F61" s="34"/>
      <c r="G61" s="1"/>
    </row>
    <row r="62" spans="1:7" ht="16.5" x14ac:dyDescent="0.3">
      <c r="A62" s="1"/>
      <c r="B62" s="6">
        <v>54310</v>
      </c>
      <c r="C62" s="7" t="s">
        <v>117</v>
      </c>
      <c r="D62" s="37">
        <v>8000</v>
      </c>
      <c r="E62" s="20"/>
      <c r="F62" s="34"/>
      <c r="G62" s="1"/>
    </row>
    <row r="63" spans="1:7" ht="16.5" x14ac:dyDescent="0.3">
      <c r="A63" s="1"/>
      <c r="B63" s="6">
        <v>54311</v>
      </c>
      <c r="C63" s="7" t="s">
        <v>118</v>
      </c>
      <c r="D63" s="37">
        <v>2000</v>
      </c>
      <c r="E63" s="20"/>
      <c r="F63" s="34"/>
      <c r="G63" s="1"/>
    </row>
    <row r="64" spans="1:7" ht="16.5" x14ac:dyDescent="0.3">
      <c r="A64" s="1"/>
      <c r="B64" s="6">
        <v>54313</v>
      </c>
      <c r="C64" s="7" t="s">
        <v>119</v>
      </c>
      <c r="D64" s="37">
        <v>1216</v>
      </c>
      <c r="E64" s="20"/>
      <c r="F64" s="34"/>
      <c r="G64" s="1"/>
    </row>
    <row r="65" spans="1:7" ht="16.5" x14ac:dyDescent="0.3">
      <c r="A65" s="1"/>
      <c r="B65" s="6">
        <v>54314</v>
      </c>
      <c r="C65" s="7" t="s">
        <v>120</v>
      </c>
      <c r="D65" s="37">
        <v>5000</v>
      </c>
      <c r="E65" s="20"/>
      <c r="F65" s="34"/>
      <c r="G65" s="1"/>
    </row>
    <row r="66" spans="1:7" ht="16.5" x14ac:dyDescent="0.3">
      <c r="A66" s="1"/>
      <c r="B66" s="6">
        <v>54316</v>
      </c>
      <c r="C66" s="7" t="s">
        <v>121</v>
      </c>
      <c r="D66" s="37">
        <v>6000</v>
      </c>
      <c r="E66" s="20"/>
      <c r="F66" s="34"/>
      <c r="G66" s="1"/>
    </row>
    <row r="67" spans="1:7" ht="16.5" x14ac:dyDescent="0.3">
      <c r="A67" s="1"/>
      <c r="B67" s="6">
        <v>54317</v>
      </c>
      <c r="C67" s="7" t="s">
        <v>122</v>
      </c>
      <c r="D67" s="37">
        <v>8500</v>
      </c>
      <c r="E67" s="20"/>
      <c r="F67" s="34"/>
      <c r="G67" s="1"/>
    </row>
    <row r="68" spans="1:7" ht="16.5" x14ac:dyDescent="0.3">
      <c r="A68" s="1"/>
      <c r="B68" s="6">
        <v>54399</v>
      </c>
      <c r="C68" s="7" t="s">
        <v>123</v>
      </c>
      <c r="D68" s="37">
        <v>15000</v>
      </c>
      <c r="E68" s="20"/>
      <c r="F68" s="34"/>
      <c r="G68" s="1"/>
    </row>
    <row r="69" spans="1:7" ht="16.5" x14ac:dyDescent="0.3">
      <c r="A69" s="1"/>
      <c r="B69" s="4">
        <v>544</v>
      </c>
      <c r="C69" s="5" t="s">
        <v>124</v>
      </c>
      <c r="D69" s="37"/>
      <c r="E69" s="20">
        <f>+D70</f>
        <v>1000</v>
      </c>
      <c r="F69" s="34"/>
      <c r="G69" s="1"/>
    </row>
    <row r="70" spans="1:7" ht="16.5" x14ac:dyDescent="0.3">
      <c r="A70" s="1"/>
      <c r="B70" s="6">
        <v>54403</v>
      </c>
      <c r="C70" s="7" t="s">
        <v>125</v>
      </c>
      <c r="D70" s="37">
        <v>1000</v>
      </c>
      <c r="E70" s="20"/>
      <c r="F70" s="34"/>
      <c r="G70" s="1"/>
    </row>
    <row r="71" spans="1:7" ht="16.5" x14ac:dyDescent="0.3">
      <c r="A71" s="1"/>
      <c r="B71" s="4">
        <v>545</v>
      </c>
      <c r="C71" s="5" t="s">
        <v>126</v>
      </c>
      <c r="D71" s="37"/>
      <c r="E71" s="20">
        <f>SUM(D72:D74)</f>
        <v>7500</v>
      </c>
      <c r="F71" s="34"/>
      <c r="G71" s="1"/>
    </row>
    <row r="72" spans="1:7" ht="16.5" x14ac:dyDescent="0.3">
      <c r="A72" s="1"/>
      <c r="B72" s="6">
        <v>54503</v>
      </c>
      <c r="C72" s="7" t="s">
        <v>127</v>
      </c>
      <c r="D72" s="37">
        <v>500</v>
      </c>
      <c r="E72" s="20"/>
      <c r="F72" s="34"/>
      <c r="G72" s="1"/>
    </row>
    <row r="73" spans="1:7" ht="16.5" x14ac:dyDescent="0.3">
      <c r="A73" s="1"/>
      <c r="B73" s="6">
        <v>54504</v>
      </c>
      <c r="C73" s="7" t="s">
        <v>128</v>
      </c>
      <c r="D73" s="37">
        <v>5000</v>
      </c>
      <c r="E73" s="20"/>
      <c r="F73" s="34"/>
      <c r="G73" s="1"/>
    </row>
    <row r="74" spans="1:7" ht="16.5" x14ac:dyDescent="0.3">
      <c r="A74" s="1"/>
      <c r="B74" s="6">
        <v>54599</v>
      </c>
      <c r="C74" s="7" t="s">
        <v>126</v>
      </c>
      <c r="D74" s="37">
        <v>2000</v>
      </c>
      <c r="E74" s="20"/>
      <c r="F74" s="34"/>
      <c r="G74" s="1"/>
    </row>
    <row r="75" spans="1:7" ht="16.5" x14ac:dyDescent="0.3">
      <c r="A75" s="1"/>
      <c r="B75" s="4">
        <v>546</v>
      </c>
      <c r="C75" s="5" t="s">
        <v>229</v>
      </c>
      <c r="D75" s="37"/>
      <c r="E75" s="20">
        <f>+D76+D77</f>
        <v>0</v>
      </c>
      <c r="F75" s="34"/>
      <c r="G75" s="1"/>
    </row>
    <row r="76" spans="1:7" ht="16.5" x14ac:dyDescent="0.3">
      <c r="A76" s="1"/>
      <c r="B76" s="79">
        <v>54602</v>
      </c>
      <c r="C76" s="80" t="s">
        <v>600</v>
      </c>
      <c r="D76" s="37"/>
      <c r="E76" s="20"/>
      <c r="F76" s="34"/>
      <c r="G76" s="1"/>
    </row>
    <row r="77" spans="1:7" ht="16.5" x14ac:dyDescent="0.3">
      <c r="A77" s="1"/>
      <c r="B77" s="79">
        <v>54603</v>
      </c>
      <c r="C77" s="80" t="s">
        <v>230</v>
      </c>
      <c r="D77" s="37"/>
      <c r="E77" s="20"/>
      <c r="F77" s="34"/>
      <c r="G77" s="1"/>
    </row>
    <row r="78" spans="1:7" ht="16.5" x14ac:dyDescent="0.3">
      <c r="A78" s="1"/>
      <c r="B78" s="4">
        <v>55</v>
      </c>
      <c r="C78" s="5" t="s">
        <v>129</v>
      </c>
      <c r="D78" s="37"/>
      <c r="E78" s="20"/>
      <c r="F78" s="34">
        <f>SUM(E79:E88)</f>
        <v>75868.960000000006</v>
      </c>
      <c r="G78" s="1"/>
    </row>
    <row r="79" spans="1:7" ht="16.5" x14ac:dyDescent="0.3">
      <c r="A79" s="1"/>
      <c r="B79" s="4">
        <v>553</v>
      </c>
      <c r="C79" s="5" t="s">
        <v>130</v>
      </c>
      <c r="D79" s="37"/>
      <c r="E79" s="20">
        <f>SUM(D80:D82)</f>
        <v>56223.48</v>
      </c>
      <c r="F79" s="34"/>
      <c r="G79" s="1"/>
    </row>
    <row r="80" spans="1:7" ht="16.5" x14ac:dyDescent="0.3">
      <c r="A80" s="1"/>
      <c r="B80" s="6">
        <v>55302</v>
      </c>
      <c r="C80" s="7" t="s">
        <v>131</v>
      </c>
      <c r="D80" s="37">
        <v>3900</v>
      </c>
      <c r="E80" s="20"/>
      <c r="F80" s="34"/>
      <c r="G80" s="1"/>
    </row>
    <row r="81" spans="1:7" ht="16.5" x14ac:dyDescent="0.3">
      <c r="A81" s="1"/>
      <c r="B81" s="453">
        <v>55303</v>
      </c>
      <c r="C81" s="454" t="s">
        <v>233</v>
      </c>
      <c r="D81" s="37"/>
      <c r="E81" s="20"/>
      <c r="F81" s="34"/>
      <c r="G81" s="1"/>
    </row>
    <row r="82" spans="1:7" ht="16.5" x14ac:dyDescent="0.3">
      <c r="A82" s="1"/>
      <c r="B82" s="6">
        <v>55304</v>
      </c>
      <c r="C82" s="7" t="s">
        <v>63</v>
      </c>
      <c r="D82" s="37">
        <v>52323.48</v>
      </c>
      <c r="E82" s="20"/>
      <c r="F82" s="34"/>
      <c r="G82" s="1"/>
    </row>
    <row r="83" spans="1:7" ht="16.5" x14ac:dyDescent="0.3">
      <c r="A83" s="1"/>
      <c r="B83" s="4">
        <v>556</v>
      </c>
      <c r="C83" s="5" t="s">
        <v>132</v>
      </c>
      <c r="D83" s="37"/>
      <c r="E83" s="20">
        <f>SUM(D84:D86)</f>
        <v>19145.48</v>
      </c>
      <c r="F83" s="34"/>
      <c r="G83" s="1"/>
    </row>
    <row r="84" spans="1:7" ht="16.5" x14ac:dyDescent="0.3">
      <c r="A84" s="1"/>
      <c r="B84" s="6">
        <v>55601</v>
      </c>
      <c r="C84" s="7" t="s">
        <v>133</v>
      </c>
      <c r="D84" s="37">
        <v>12000</v>
      </c>
      <c r="E84" s="20"/>
      <c r="F84" s="34"/>
      <c r="G84" s="1"/>
    </row>
    <row r="85" spans="1:7" ht="16.5" x14ac:dyDescent="0.3">
      <c r="A85" s="1"/>
      <c r="B85" s="6">
        <v>55602</v>
      </c>
      <c r="C85" s="7" t="s">
        <v>134</v>
      </c>
      <c r="D85" s="37">
        <v>6000</v>
      </c>
      <c r="E85" s="20"/>
      <c r="F85" s="34"/>
      <c r="G85" s="1"/>
    </row>
    <row r="86" spans="1:7" ht="16.5" x14ac:dyDescent="0.3">
      <c r="A86" s="1"/>
      <c r="B86" s="6">
        <v>55603</v>
      </c>
      <c r="C86" s="7" t="s">
        <v>135</v>
      </c>
      <c r="D86" s="37">
        <v>1145.48</v>
      </c>
      <c r="E86" s="20"/>
      <c r="F86" s="34"/>
      <c r="G86" s="1"/>
    </row>
    <row r="87" spans="1:7" ht="16.5" x14ac:dyDescent="0.3">
      <c r="A87" s="1"/>
      <c r="B87" s="4">
        <v>557</v>
      </c>
      <c r="C87" s="5" t="s">
        <v>136</v>
      </c>
      <c r="D87" s="37"/>
      <c r="E87" s="20">
        <f>+D88</f>
        <v>500</v>
      </c>
      <c r="F87" s="34"/>
      <c r="G87" s="1"/>
    </row>
    <row r="88" spans="1:7" ht="16.5" x14ac:dyDescent="0.3">
      <c r="A88" s="1"/>
      <c r="B88" s="6">
        <v>55799</v>
      </c>
      <c r="C88" s="7" t="s">
        <v>137</v>
      </c>
      <c r="D88" s="37">
        <v>500</v>
      </c>
      <c r="E88" s="20"/>
      <c r="F88" s="34"/>
      <c r="G88" s="1"/>
    </row>
    <row r="89" spans="1:7" ht="16.5" x14ac:dyDescent="0.3">
      <c r="A89" s="1"/>
      <c r="B89" s="6"/>
      <c r="C89" s="7"/>
      <c r="D89" s="37"/>
      <c r="E89" s="20"/>
      <c r="F89" s="34"/>
      <c r="G89" s="1"/>
    </row>
    <row r="90" spans="1:7" ht="16.5" x14ac:dyDescent="0.3">
      <c r="A90" s="1"/>
      <c r="B90" s="4">
        <v>56</v>
      </c>
      <c r="C90" s="5" t="s">
        <v>57</v>
      </c>
      <c r="D90" s="37"/>
      <c r="E90" s="20"/>
      <c r="F90" s="34">
        <f>SUM(E91:E96)</f>
        <v>18314.16</v>
      </c>
      <c r="G90" s="1"/>
    </row>
    <row r="91" spans="1:7" ht="16.5" x14ac:dyDescent="0.3">
      <c r="A91" s="1"/>
      <c r="B91" s="4">
        <v>562</v>
      </c>
      <c r="C91" s="5" t="s">
        <v>138</v>
      </c>
      <c r="D91" s="37"/>
      <c r="E91" s="20">
        <f>+D92</f>
        <v>11314.16</v>
      </c>
      <c r="F91" s="34"/>
      <c r="G91" s="1"/>
    </row>
    <row r="92" spans="1:7" ht="16.5" x14ac:dyDescent="0.3">
      <c r="A92" s="1"/>
      <c r="B92" s="6">
        <v>56201</v>
      </c>
      <c r="C92" s="7" t="s">
        <v>140</v>
      </c>
      <c r="D92" s="37">
        <v>11314.16</v>
      </c>
      <c r="E92" s="20"/>
      <c r="F92" s="34"/>
      <c r="G92" s="1"/>
    </row>
    <row r="93" spans="1:7" ht="16.5" x14ac:dyDescent="0.3">
      <c r="A93" s="1"/>
      <c r="B93" s="4">
        <v>563</v>
      </c>
      <c r="C93" s="5" t="s">
        <v>139</v>
      </c>
      <c r="D93" s="37"/>
      <c r="E93" s="20">
        <f>SUM(D94:D96)</f>
        <v>7000</v>
      </c>
      <c r="F93" s="34"/>
      <c r="G93" s="1"/>
    </row>
    <row r="94" spans="1:7" ht="16.5" x14ac:dyDescent="0.3">
      <c r="A94" s="1"/>
      <c r="B94" s="6">
        <v>56303</v>
      </c>
      <c r="C94" s="7" t="s">
        <v>140</v>
      </c>
      <c r="D94" s="37">
        <v>4000</v>
      </c>
      <c r="E94" s="20"/>
      <c r="F94" s="34"/>
      <c r="G94" s="1"/>
    </row>
    <row r="95" spans="1:7" ht="16.5" x14ac:dyDescent="0.3">
      <c r="A95" s="1"/>
      <c r="B95" s="6">
        <v>56304</v>
      </c>
      <c r="C95" s="7" t="s">
        <v>141</v>
      </c>
      <c r="D95" s="37">
        <v>3000</v>
      </c>
      <c r="E95" s="20"/>
      <c r="F95" s="34"/>
      <c r="G95" s="1"/>
    </row>
    <row r="96" spans="1:7" ht="16.5" x14ac:dyDescent="0.3">
      <c r="A96" s="1"/>
      <c r="B96" s="6">
        <v>56305</v>
      </c>
      <c r="C96" s="7" t="s">
        <v>142</v>
      </c>
      <c r="D96" s="37"/>
      <c r="E96" s="20"/>
      <c r="F96" s="34"/>
      <c r="G96" s="1"/>
    </row>
    <row r="97" spans="1:7" ht="16.5" x14ac:dyDescent="0.3">
      <c r="A97" s="1"/>
      <c r="B97" s="6"/>
      <c r="C97" s="7"/>
      <c r="D97" s="37"/>
      <c r="E97" s="20"/>
      <c r="F97" s="34"/>
      <c r="G97" s="1"/>
    </row>
    <row r="98" spans="1:7" ht="16.5" x14ac:dyDescent="0.3">
      <c r="A98" s="1"/>
      <c r="B98" s="4">
        <v>61</v>
      </c>
      <c r="C98" s="5" t="s">
        <v>143</v>
      </c>
      <c r="D98" s="37"/>
      <c r="E98" s="20"/>
      <c r="F98" s="34">
        <f>SUM(E99:E114)</f>
        <v>2559535.19</v>
      </c>
      <c r="G98" s="1"/>
    </row>
    <row r="99" spans="1:7" ht="16.5" x14ac:dyDescent="0.3">
      <c r="A99" s="1"/>
      <c r="B99" s="4">
        <v>611</v>
      </c>
      <c r="C99" s="5" t="s">
        <v>144</v>
      </c>
      <c r="D99" s="37"/>
      <c r="E99" s="20">
        <f>SUM(D100:D103)</f>
        <v>17500</v>
      </c>
      <c r="F99" s="34"/>
      <c r="G99" s="1"/>
    </row>
    <row r="100" spans="1:7" ht="16.5" x14ac:dyDescent="0.3">
      <c r="A100" s="1"/>
      <c r="B100" s="6">
        <v>61101</v>
      </c>
      <c r="C100" s="7" t="s">
        <v>145</v>
      </c>
      <c r="D100" s="37">
        <v>12500</v>
      </c>
      <c r="E100" s="20"/>
      <c r="F100" s="34"/>
      <c r="G100" s="1"/>
    </row>
    <row r="101" spans="1:7" ht="16.5" x14ac:dyDescent="0.3">
      <c r="A101" s="1"/>
      <c r="B101" s="6">
        <v>61102</v>
      </c>
      <c r="C101" s="7" t="s">
        <v>146</v>
      </c>
      <c r="D101" s="37">
        <v>3000</v>
      </c>
      <c r="E101" s="20"/>
      <c r="F101" s="34"/>
      <c r="G101" s="1"/>
    </row>
    <row r="102" spans="1:7" ht="16.5" x14ac:dyDescent="0.3">
      <c r="A102" s="1"/>
      <c r="B102" s="6">
        <v>61104</v>
      </c>
      <c r="C102" s="7" t="s">
        <v>147</v>
      </c>
      <c r="D102" s="37">
        <v>2000</v>
      </c>
      <c r="E102" s="20"/>
      <c r="F102" s="34"/>
      <c r="G102" s="1"/>
    </row>
    <row r="103" spans="1:7" ht="16.5" x14ac:dyDescent="0.3">
      <c r="A103" s="1"/>
      <c r="B103" s="6">
        <v>61105</v>
      </c>
      <c r="C103" s="7" t="s">
        <v>163</v>
      </c>
      <c r="D103" s="37"/>
      <c r="E103" s="20"/>
      <c r="F103" s="34"/>
      <c r="G103" s="1"/>
    </row>
    <row r="104" spans="1:7" ht="16.5" x14ac:dyDescent="0.3">
      <c r="A104" s="1"/>
      <c r="B104" s="4">
        <v>612</v>
      </c>
      <c r="C104" s="5" t="s">
        <v>148</v>
      </c>
      <c r="D104" s="37"/>
      <c r="E104" s="20">
        <f>+D105</f>
        <v>0</v>
      </c>
      <c r="F104" s="34"/>
      <c r="G104" s="1"/>
    </row>
    <row r="105" spans="1:7" ht="16.5" x14ac:dyDescent="0.3">
      <c r="A105" s="1"/>
      <c r="B105" s="6">
        <v>61201</v>
      </c>
      <c r="C105" s="7" t="s">
        <v>149</v>
      </c>
      <c r="D105" s="37">
        <v>0</v>
      </c>
      <c r="E105" s="20"/>
      <c r="F105" s="34"/>
      <c r="G105" s="1"/>
    </row>
    <row r="106" spans="1:7" ht="16.5" x14ac:dyDescent="0.3">
      <c r="A106" s="1"/>
      <c r="B106" s="4">
        <v>615</v>
      </c>
      <c r="C106" s="5" t="s">
        <v>150</v>
      </c>
      <c r="D106" s="37"/>
      <c r="E106" s="20">
        <f>+D107</f>
        <v>22977.81</v>
      </c>
      <c r="F106" s="34"/>
      <c r="G106" s="1"/>
    </row>
    <row r="107" spans="1:7" ht="16.5" x14ac:dyDescent="0.3">
      <c r="A107" s="1"/>
      <c r="B107" s="6">
        <v>61599</v>
      </c>
      <c r="C107" s="7" t="s">
        <v>151</v>
      </c>
      <c r="D107" s="37">
        <v>22977.81</v>
      </c>
      <c r="E107" s="20"/>
      <c r="F107" s="34"/>
      <c r="G107" s="1"/>
    </row>
    <row r="108" spans="1:7" ht="16.5" x14ac:dyDescent="0.3">
      <c r="A108" s="1"/>
      <c r="B108" s="4">
        <v>616</v>
      </c>
      <c r="C108" s="5" t="s">
        <v>152</v>
      </c>
      <c r="D108" s="37"/>
      <c r="E108" s="20">
        <f>SUM(D109:D115)</f>
        <v>2519057.38</v>
      </c>
      <c r="F108" s="34"/>
      <c r="G108" s="1"/>
    </row>
    <row r="109" spans="1:7" ht="16.5" x14ac:dyDescent="0.3">
      <c r="A109" s="1"/>
      <c r="B109" s="6">
        <v>61601</v>
      </c>
      <c r="C109" s="7" t="s">
        <v>153</v>
      </c>
      <c r="D109" s="37">
        <v>1296026.96</v>
      </c>
      <c r="E109" s="20"/>
      <c r="F109" s="34"/>
      <c r="G109" s="1"/>
    </row>
    <row r="110" spans="1:7" ht="16.5" x14ac:dyDescent="0.3">
      <c r="A110" s="1"/>
      <c r="B110" s="6">
        <v>61602</v>
      </c>
      <c r="C110" s="7" t="s">
        <v>484</v>
      </c>
      <c r="D110" s="37">
        <v>7151.59</v>
      </c>
      <c r="E110" s="20"/>
      <c r="F110" s="34"/>
      <c r="G110" s="1"/>
    </row>
    <row r="111" spans="1:7" ht="16.5" x14ac:dyDescent="0.3">
      <c r="A111" s="1"/>
      <c r="B111" s="6">
        <v>61603</v>
      </c>
      <c r="C111" s="7" t="s">
        <v>154</v>
      </c>
      <c r="D111" s="37">
        <v>274598.17</v>
      </c>
      <c r="E111" s="20"/>
      <c r="F111" s="34"/>
      <c r="G111" s="1"/>
    </row>
    <row r="112" spans="1:7" ht="16.5" x14ac:dyDescent="0.3">
      <c r="A112" s="1"/>
      <c r="B112" s="6">
        <v>61604</v>
      </c>
      <c r="C112" s="7" t="s">
        <v>155</v>
      </c>
      <c r="D112" s="37">
        <v>95883.66</v>
      </c>
      <c r="E112" s="20"/>
      <c r="F112" s="34"/>
      <c r="G112" s="1"/>
    </row>
    <row r="113" spans="1:7" ht="16.5" x14ac:dyDescent="0.3">
      <c r="A113" s="1"/>
      <c r="B113" s="6">
        <v>61606</v>
      </c>
      <c r="C113" s="7" t="s">
        <v>159</v>
      </c>
      <c r="D113" s="37">
        <v>20969</v>
      </c>
      <c r="E113" s="20"/>
      <c r="F113" s="34"/>
      <c r="G113" s="1"/>
    </row>
    <row r="114" spans="1:7" ht="16.5" x14ac:dyDescent="0.3">
      <c r="A114" s="1"/>
      <c r="B114" s="6">
        <v>61607</v>
      </c>
      <c r="C114" s="7" t="s">
        <v>156</v>
      </c>
      <c r="D114" s="37">
        <v>304351.68</v>
      </c>
      <c r="E114" s="20"/>
      <c r="F114" s="34"/>
      <c r="G114" s="1"/>
    </row>
    <row r="115" spans="1:7" ht="16.5" x14ac:dyDescent="0.3">
      <c r="A115" s="1"/>
      <c r="B115" s="6">
        <v>61699</v>
      </c>
      <c r="C115" s="7" t="s">
        <v>160</v>
      </c>
      <c r="D115" s="37">
        <v>520076.32</v>
      </c>
      <c r="E115" s="20"/>
      <c r="F115" s="34"/>
      <c r="G115" s="1"/>
    </row>
    <row r="116" spans="1:7" ht="16.5" x14ac:dyDescent="0.3">
      <c r="A116" s="1"/>
      <c r="B116" s="4">
        <v>71</v>
      </c>
      <c r="C116" s="5" t="s">
        <v>157</v>
      </c>
      <c r="D116" s="37"/>
      <c r="E116" s="20"/>
      <c r="F116" s="34">
        <f>+E117</f>
        <v>578973.36</v>
      </c>
      <c r="G116" s="1"/>
    </row>
    <row r="117" spans="1:7" ht="16.5" x14ac:dyDescent="0.3">
      <c r="A117" s="1"/>
      <c r="B117" s="4">
        <v>713</v>
      </c>
      <c r="C117" s="5" t="s">
        <v>158</v>
      </c>
      <c r="D117" s="37"/>
      <c r="E117" s="20">
        <f>+D118+D119</f>
        <v>578973.36</v>
      </c>
      <c r="F117" s="34"/>
      <c r="G117" s="1"/>
    </row>
    <row r="118" spans="1:7" ht="16.5" x14ac:dyDescent="0.3">
      <c r="A118" s="1"/>
      <c r="B118" s="10">
        <v>71304</v>
      </c>
      <c r="C118" s="11" t="s">
        <v>63</v>
      </c>
      <c r="D118" s="36">
        <v>482973.36</v>
      </c>
      <c r="E118" s="33"/>
      <c r="F118" s="35"/>
      <c r="G118" s="1"/>
    </row>
    <row r="119" spans="1:7" ht="17.25" thickBot="1" x14ac:dyDescent="0.35">
      <c r="A119" s="1"/>
      <c r="B119" s="10">
        <v>71307</v>
      </c>
      <c r="C119" s="11" t="s">
        <v>61</v>
      </c>
      <c r="D119" s="36">
        <v>96000</v>
      </c>
      <c r="E119" s="33"/>
      <c r="F119" s="35"/>
      <c r="G119" s="1"/>
    </row>
    <row r="120" spans="1:7" ht="17.25" thickBot="1" x14ac:dyDescent="0.35">
      <c r="A120" s="1"/>
      <c r="B120" s="50"/>
      <c r="C120" s="28" t="s">
        <v>67</v>
      </c>
      <c r="D120" s="51">
        <f>SUM(D11:D119)</f>
        <v>5693362.9299999997</v>
      </c>
      <c r="E120" s="51">
        <f>SUM(E10:E119)</f>
        <v>5693362.9300000006</v>
      </c>
      <c r="F120" s="52">
        <f>SUM(F9:F119)</f>
        <v>5693362.9300000006</v>
      </c>
      <c r="G120" s="1"/>
    </row>
    <row r="121" spans="1:7" ht="16.5" x14ac:dyDescent="0.3">
      <c r="A121" s="1"/>
      <c r="B121" s="1"/>
      <c r="C121" s="1"/>
      <c r="D121" s="1"/>
      <c r="E121" s="1"/>
      <c r="F121" s="1"/>
      <c r="G121" s="1"/>
    </row>
    <row r="122" spans="1:7" ht="16.5" x14ac:dyDescent="0.3">
      <c r="A122" s="1"/>
      <c r="B122" s="1"/>
      <c r="C122" s="1"/>
      <c r="D122" s="1"/>
      <c r="E122" s="1"/>
      <c r="F122" s="15"/>
      <c r="G122" s="1"/>
    </row>
    <row r="123" spans="1:7" ht="16.5" x14ac:dyDescent="0.3">
      <c r="A123" s="1"/>
      <c r="B123" s="1"/>
      <c r="C123" s="1"/>
      <c r="D123" s="1"/>
      <c r="E123" s="1"/>
      <c r="F123" s="15"/>
      <c r="G123" s="1"/>
    </row>
    <row r="124" spans="1:7" ht="16.5" x14ac:dyDescent="0.3">
      <c r="A124" s="1"/>
      <c r="B124" s="1"/>
      <c r="C124" s="1"/>
      <c r="D124" s="1"/>
      <c r="E124" s="1"/>
      <c r="F124" s="1"/>
      <c r="G124" s="1"/>
    </row>
    <row r="125" spans="1:7" ht="16.5" x14ac:dyDescent="0.3">
      <c r="A125" s="1"/>
      <c r="B125" s="1"/>
      <c r="C125" s="1"/>
      <c r="D125" s="1"/>
      <c r="E125" s="1"/>
      <c r="F125" s="1"/>
      <c r="G125" s="1"/>
    </row>
    <row r="126" spans="1:7" ht="16.5" x14ac:dyDescent="0.3">
      <c r="A126" s="1"/>
      <c r="B126" s="1"/>
      <c r="C126" s="1"/>
      <c r="D126" s="1"/>
      <c r="E126" s="1"/>
      <c r="F126" s="1"/>
      <c r="G126" s="1"/>
    </row>
    <row r="127" spans="1:7" ht="16.5" x14ac:dyDescent="0.3">
      <c r="A127" s="1"/>
      <c r="B127" s="1"/>
      <c r="C127" s="1"/>
      <c r="D127" s="1"/>
      <c r="E127" s="1"/>
      <c r="F127" s="1"/>
      <c r="G127" s="1"/>
    </row>
    <row r="128" spans="1:7" ht="16.5" x14ac:dyDescent="0.3">
      <c r="A128" s="1"/>
      <c r="B128" s="1"/>
      <c r="C128" s="1"/>
      <c r="D128" s="1"/>
      <c r="E128" s="1"/>
      <c r="F128" s="1"/>
      <c r="G128" s="1"/>
    </row>
    <row r="129" spans="1:7" ht="16.5" x14ac:dyDescent="0.3">
      <c r="A129" s="1"/>
      <c r="B129" s="1"/>
      <c r="C129" s="1"/>
      <c r="D129" s="1"/>
      <c r="E129" s="1"/>
      <c r="F129" s="1"/>
      <c r="G129" s="1"/>
    </row>
    <row r="130" spans="1:7" ht="16.5" x14ac:dyDescent="0.3">
      <c r="A130" s="1"/>
      <c r="B130" s="1"/>
      <c r="C130" s="1"/>
      <c r="D130" s="1"/>
      <c r="E130" s="1"/>
      <c r="F130" s="1"/>
      <c r="G130" s="1"/>
    </row>
    <row r="131" spans="1:7" ht="16.5" x14ac:dyDescent="0.3">
      <c r="A131" s="1"/>
      <c r="B131" s="1"/>
      <c r="C131" s="1"/>
      <c r="D131" s="1"/>
      <c r="E131" s="1"/>
      <c r="F131" s="1"/>
      <c r="G131" s="1"/>
    </row>
    <row r="132" spans="1:7" ht="16.5" x14ac:dyDescent="0.3">
      <c r="A132" s="1"/>
      <c r="B132" s="1"/>
      <c r="C132" s="1"/>
      <c r="D132" s="1"/>
      <c r="E132" s="1"/>
      <c r="F132" s="1"/>
      <c r="G132" s="1"/>
    </row>
    <row r="133" spans="1:7" ht="16.5" x14ac:dyDescent="0.3">
      <c r="A133" s="1"/>
      <c r="B133" s="1"/>
      <c r="C133" s="1"/>
      <c r="D133" s="1"/>
      <c r="E133" s="1"/>
      <c r="F133" s="1"/>
      <c r="G133" s="1"/>
    </row>
    <row r="134" spans="1:7" ht="16.5" x14ac:dyDescent="0.3">
      <c r="A134" s="1"/>
      <c r="B134" s="1"/>
      <c r="C134" s="1"/>
      <c r="D134" s="1"/>
      <c r="E134" s="1"/>
      <c r="F134" s="1"/>
      <c r="G134" s="1"/>
    </row>
    <row r="135" spans="1:7" ht="16.5" x14ac:dyDescent="0.3">
      <c r="A135" s="1"/>
      <c r="B135" s="1"/>
      <c r="C135" s="1"/>
      <c r="D135" s="1"/>
      <c r="E135" s="1"/>
      <c r="F135" s="1"/>
      <c r="G135" s="1"/>
    </row>
    <row r="136" spans="1:7" ht="16.5" x14ac:dyDescent="0.3">
      <c r="A136" s="1"/>
      <c r="B136" s="1"/>
      <c r="C136" s="1"/>
      <c r="D136" s="1"/>
      <c r="E136" s="1"/>
      <c r="F136" s="1"/>
      <c r="G136" s="1"/>
    </row>
    <row r="137" spans="1:7" ht="16.5" x14ac:dyDescent="0.3">
      <c r="A137" s="1"/>
      <c r="B137" s="1"/>
      <c r="C137" s="1"/>
      <c r="D137" s="1"/>
      <c r="E137" s="1"/>
      <c r="F137" s="1"/>
      <c r="G137" s="1"/>
    </row>
    <row r="138" spans="1:7" ht="16.5" x14ac:dyDescent="0.3">
      <c r="A138" s="1"/>
      <c r="B138" s="1"/>
      <c r="C138" s="1"/>
      <c r="D138" s="1"/>
      <c r="E138" s="1"/>
      <c r="F138" s="1"/>
      <c r="G138" s="1"/>
    </row>
    <row r="139" spans="1:7" ht="16.5" x14ac:dyDescent="0.3">
      <c r="A139" s="1"/>
      <c r="B139" s="1"/>
      <c r="C139" s="1"/>
      <c r="D139" s="1"/>
      <c r="E139" s="1"/>
      <c r="F139" s="1"/>
      <c r="G139" s="1"/>
    </row>
    <row r="140" spans="1:7" ht="16.5" x14ac:dyDescent="0.3">
      <c r="A140" s="1"/>
      <c r="B140" s="1"/>
      <c r="C140" s="1"/>
      <c r="D140" s="1"/>
      <c r="E140" s="1"/>
      <c r="F140" s="1"/>
      <c r="G140" s="1"/>
    </row>
    <row r="141" spans="1:7" ht="16.5" x14ac:dyDescent="0.3">
      <c r="A141" s="1"/>
      <c r="B141" s="1"/>
      <c r="C141" s="1"/>
      <c r="D141" s="1"/>
      <c r="E141" s="1"/>
      <c r="F141" s="1"/>
      <c r="G141" s="1"/>
    </row>
    <row r="142" spans="1:7" ht="16.5" x14ac:dyDescent="0.3">
      <c r="A142" s="1"/>
      <c r="B142" s="1"/>
      <c r="C142" s="1"/>
      <c r="D142" s="1"/>
      <c r="E142" s="1"/>
      <c r="F142" s="1"/>
      <c r="G142" s="1"/>
    </row>
    <row r="143" spans="1:7" ht="16.5" x14ac:dyDescent="0.3">
      <c r="A143" s="1"/>
      <c r="B143" s="1"/>
      <c r="C143" s="1"/>
      <c r="D143" s="1"/>
      <c r="E143" s="1"/>
      <c r="F143" s="1"/>
      <c r="G143" s="1"/>
    </row>
    <row r="144" spans="1:7" ht="16.5" x14ac:dyDescent="0.3">
      <c r="A144" s="1"/>
      <c r="B144" s="1"/>
      <c r="C144" s="1"/>
      <c r="D144" s="1"/>
      <c r="E144" s="1"/>
      <c r="F144" s="1"/>
      <c r="G144" s="1"/>
    </row>
    <row r="145" spans="1:7" ht="16.5" x14ac:dyDescent="0.3">
      <c r="A145" s="1"/>
      <c r="B145" s="1"/>
      <c r="C145" s="1"/>
      <c r="D145" s="1"/>
      <c r="E145" s="1"/>
      <c r="F145" s="1"/>
      <c r="G145" s="1"/>
    </row>
    <row r="146" spans="1:7" ht="16.5" x14ac:dyDescent="0.3">
      <c r="A146" s="1"/>
      <c r="B146" s="1"/>
      <c r="C146" s="1"/>
      <c r="D146" s="1"/>
      <c r="E146" s="1"/>
      <c r="F146" s="1"/>
      <c r="G146" s="1"/>
    </row>
    <row r="147" spans="1:7" ht="16.5" x14ac:dyDescent="0.3">
      <c r="A147" s="1"/>
      <c r="B147" s="1"/>
      <c r="C147" s="1"/>
      <c r="D147" s="1"/>
      <c r="E147" s="1"/>
      <c r="F147" s="1"/>
      <c r="G147" s="1"/>
    </row>
    <row r="148" spans="1:7" ht="16.5" x14ac:dyDescent="0.3">
      <c r="A148" s="1"/>
      <c r="B148" s="1"/>
      <c r="C148" s="1"/>
      <c r="D148" s="1"/>
      <c r="E148" s="1"/>
      <c r="F148" s="1"/>
      <c r="G148" s="1"/>
    </row>
    <row r="149" spans="1:7" ht="16.5" x14ac:dyDescent="0.3">
      <c r="A149" s="1"/>
      <c r="B149" s="1"/>
      <c r="C149" s="1"/>
      <c r="D149" s="1"/>
      <c r="E149" s="1"/>
      <c r="F149" s="1"/>
      <c r="G149" s="1"/>
    </row>
    <row r="150" spans="1:7" ht="16.5" x14ac:dyDescent="0.3">
      <c r="A150" s="1"/>
      <c r="B150" s="1"/>
      <c r="C150" s="1"/>
      <c r="D150" s="1"/>
      <c r="E150" s="1"/>
      <c r="F150" s="1"/>
      <c r="G150" s="1"/>
    </row>
    <row r="151" spans="1:7" ht="16.5" x14ac:dyDescent="0.3">
      <c r="A151" s="1"/>
      <c r="B151" s="1"/>
      <c r="C151" s="1"/>
      <c r="D151" s="1"/>
      <c r="E151" s="1"/>
      <c r="F151" s="1"/>
      <c r="G151" s="1"/>
    </row>
    <row r="152" spans="1:7" ht="16.5" x14ac:dyDescent="0.3">
      <c r="A152" s="1"/>
      <c r="B152" s="1"/>
      <c r="C152" s="1"/>
      <c r="D152" s="1"/>
      <c r="E152" s="1"/>
      <c r="F152" s="1"/>
      <c r="G152" s="1"/>
    </row>
    <row r="153" spans="1:7" ht="16.5" x14ac:dyDescent="0.3">
      <c r="A153" s="1"/>
      <c r="B153" s="1"/>
      <c r="C153" s="1"/>
      <c r="D153" s="1"/>
      <c r="E153" s="1"/>
      <c r="F153" s="1"/>
      <c r="G153" s="1"/>
    </row>
    <row r="154" spans="1:7" ht="16.5" x14ac:dyDescent="0.3">
      <c r="A154" s="1"/>
      <c r="B154" s="1"/>
      <c r="C154" s="1"/>
      <c r="D154" s="1"/>
      <c r="E154" s="1"/>
      <c r="F154" s="1"/>
      <c r="G154" s="1"/>
    </row>
    <row r="155" spans="1:7" ht="16.5" x14ac:dyDescent="0.3">
      <c r="A155" s="1"/>
      <c r="B155" s="1"/>
      <c r="C155" s="1"/>
      <c r="D155" s="1"/>
      <c r="E155" s="1"/>
      <c r="F155" s="1"/>
      <c r="G155" s="1"/>
    </row>
    <row r="156" spans="1:7" ht="16.5" x14ac:dyDescent="0.3">
      <c r="A156" s="1"/>
      <c r="B156" s="1"/>
      <c r="C156" s="1"/>
      <c r="D156" s="1"/>
      <c r="E156" s="1"/>
      <c r="F156" s="1"/>
      <c r="G156" s="1"/>
    </row>
    <row r="157" spans="1:7" ht="16.5" x14ac:dyDescent="0.3">
      <c r="A157" s="1"/>
      <c r="B157" s="1"/>
      <c r="C157" s="1"/>
      <c r="D157" s="1"/>
      <c r="E157" s="1"/>
      <c r="F157" s="1"/>
      <c r="G157" s="1"/>
    </row>
    <row r="158" spans="1:7" ht="16.5" x14ac:dyDescent="0.3">
      <c r="A158" s="1"/>
      <c r="B158" s="1"/>
      <c r="C158" s="1"/>
      <c r="D158" s="1"/>
      <c r="E158" s="1"/>
      <c r="F158" s="1"/>
      <c r="G158" s="1"/>
    </row>
    <row r="159" spans="1:7" ht="16.5" x14ac:dyDescent="0.3">
      <c r="A159" s="1"/>
      <c r="B159" s="1"/>
      <c r="C159" s="1"/>
      <c r="D159" s="1"/>
      <c r="E159" s="1"/>
      <c r="F159" s="1"/>
      <c r="G159" s="1"/>
    </row>
    <row r="160" spans="1:7" ht="16.5" x14ac:dyDescent="0.3">
      <c r="A160" s="1"/>
      <c r="B160" s="1"/>
      <c r="C160" s="1"/>
      <c r="D160" s="1"/>
      <c r="E160" s="1"/>
      <c r="F160" s="1"/>
      <c r="G160" s="1"/>
    </row>
    <row r="161" spans="1:7" ht="16.5" x14ac:dyDescent="0.3">
      <c r="A161" s="1"/>
      <c r="B161" s="1"/>
      <c r="C161" s="1"/>
      <c r="D161" s="1"/>
      <c r="E161" s="1"/>
      <c r="F161" s="1"/>
      <c r="G161" s="1"/>
    </row>
    <row r="162" spans="1:7" ht="16.5" x14ac:dyDescent="0.3">
      <c r="A162" s="1"/>
      <c r="B162" s="1"/>
      <c r="C162" s="1"/>
      <c r="D162" s="1"/>
      <c r="E162" s="1"/>
      <c r="F162" s="1"/>
      <c r="G162" s="1"/>
    </row>
    <row r="163" spans="1:7" ht="16.5" x14ac:dyDescent="0.3">
      <c r="A163" s="1"/>
      <c r="B163" s="1"/>
      <c r="C163" s="1"/>
      <c r="D163" s="1"/>
      <c r="E163" s="1"/>
      <c r="F163" s="1"/>
      <c r="G163" s="1"/>
    </row>
  </sheetData>
  <mergeCells count="5">
    <mergeCell ref="B1:F1"/>
    <mergeCell ref="B2:F2"/>
    <mergeCell ref="B3:F3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opLeftCell="A10" zoomScale="120" zoomScaleNormal="120" workbookViewId="0">
      <selection activeCell="E23" sqref="E23"/>
    </sheetView>
  </sheetViews>
  <sheetFormatPr baseColWidth="10" defaultRowHeight="15" x14ac:dyDescent="0.25"/>
  <cols>
    <col min="1" max="1" width="11" customWidth="1"/>
    <col min="2" max="2" width="42.85546875" bestFit="1" customWidth="1"/>
    <col min="3" max="3" width="11.5703125" bestFit="1" customWidth="1"/>
    <col min="4" max="4" width="12.42578125" bestFit="1" customWidth="1"/>
    <col min="5" max="6" width="9.85546875" customWidth="1"/>
    <col min="7" max="7" width="9.140625" customWidth="1"/>
  </cols>
  <sheetData>
    <row r="1" spans="1:9" ht="16.5" x14ac:dyDescent="0.3">
      <c r="A1" s="591" t="s">
        <v>512</v>
      </c>
      <c r="B1" s="591"/>
      <c r="C1" s="591"/>
      <c r="D1" s="591"/>
      <c r="E1" s="591"/>
      <c r="F1" s="591"/>
      <c r="G1" s="591"/>
      <c r="H1" s="591"/>
      <c r="I1" s="88"/>
    </row>
    <row r="2" spans="1:9" x14ac:dyDescent="0.25">
      <c r="A2" s="599" t="s">
        <v>513</v>
      </c>
      <c r="B2" s="599"/>
      <c r="C2" s="599"/>
      <c r="D2" s="599"/>
      <c r="E2" s="599"/>
      <c r="F2" s="599"/>
      <c r="G2" s="599"/>
      <c r="H2" s="599"/>
      <c r="I2" s="88"/>
    </row>
    <row r="3" spans="1:9" x14ac:dyDescent="0.25">
      <c r="A3" s="88" t="s">
        <v>373</v>
      </c>
      <c r="B3" s="88"/>
      <c r="C3" s="88"/>
      <c r="D3" s="88"/>
      <c r="E3" s="88"/>
      <c r="F3" s="88"/>
      <c r="G3" s="88"/>
      <c r="H3" s="88"/>
      <c r="I3" s="88"/>
    </row>
    <row r="4" spans="1:9" ht="15.75" x14ac:dyDescent="0.25">
      <c r="A4" s="88" t="s">
        <v>784</v>
      </c>
      <c r="B4" s="88"/>
      <c r="C4" s="88"/>
      <c r="D4" s="88"/>
      <c r="E4" s="88"/>
      <c r="F4" s="88"/>
      <c r="G4" s="88"/>
      <c r="H4" s="88"/>
      <c r="I4" s="88"/>
    </row>
    <row r="5" spans="1:9" x14ac:dyDescent="0.25">
      <c r="A5" s="88" t="s">
        <v>514</v>
      </c>
      <c r="B5" s="88"/>
      <c r="C5" s="88"/>
      <c r="D5" s="88"/>
      <c r="E5" s="88"/>
      <c r="F5" s="88"/>
      <c r="G5" s="88"/>
      <c r="H5" s="88"/>
      <c r="I5" s="88"/>
    </row>
    <row r="6" spans="1:9" x14ac:dyDescent="0.25">
      <c r="A6" s="88" t="s">
        <v>515</v>
      </c>
      <c r="B6" s="88"/>
      <c r="C6" s="88"/>
      <c r="D6" s="88"/>
      <c r="E6" s="88"/>
      <c r="F6" s="88"/>
      <c r="G6" s="88"/>
      <c r="H6" s="88"/>
      <c r="I6" s="88"/>
    </row>
    <row r="7" spans="1:9" ht="15.75" thickBot="1" x14ac:dyDescent="0.3">
      <c r="A7" s="88" t="s">
        <v>516</v>
      </c>
      <c r="B7" s="88"/>
      <c r="C7" s="88"/>
      <c r="D7" s="88"/>
      <c r="E7" s="88"/>
      <c r="F7" s="88"/>
      <c r="G7" s="88"/>
      <c r="H7" s="88"/>
      <c r="I7" s="88"/>
    </row>
    <row r="8" spans="1:9" x14ac:dyDescent="0.25">
      <c r="A8" s="418" t="s">
        <v>172</v>
      </c>
      <c r="B8" s="604" t="s">
        <v>173</v>
      </c>
      <c r="C8" s="419"/>
      <c r="D8" s="419"/>
      <c r="E8" s="419" t="s">
        <v>519</v>
      </c>
      <c r="F8" s="419" t="s">
        <v>519</v>
      </c>
      <c r="G8" s="419"/>
      <c r="H8" s="420" t="s">
        <v>1</v>
      </c>
      <c r="I8" s="88"/>
    </row>
    <row r="9" spans="1:9" ht="15.75" thickBot="1" x14ac:dyDescent="0.3">
      <c r="A9" s="421" t="s">
        <v>517</v>
      </c>
      <c r="B9" s="605"/>
      <c r="C9" s="422" t="s">
        <v>260</v>
      </c>
      <c r="D9" s="422" t="s">
        <v>518</v>
      </c>
      <c r="E9" s="422" t="s">
        <v>370</v>
      </c>
      <c r="F9" s="422" t="s">
        <v>371</v>
      </c>
      <c r="G9" s="422" t="s">
        <v>263</v>
      </c>
      <c r="H9" s="423" t="s">
        <v>186</v>
      </c>
      <c r="I9" s="88"/>
    </row>
    <row r="10" spans="1:9" x14ac:dyDescent="0.25">
      <c r="A10" s="424"/>
      <c r="B10" s="425"/>
      <c r="C10" s="425"/>
      <c r="D10" s="425"/>
      <c r="E10" s="425"/>
      <c r="F10" s="425"/>
      <c r="G10" s="425"/>
      <c r="H10" s="426"/>
      <c r="I10" s="88"/>
    </row>
    <row r="11" spans="1:9" x14ac:dyDescent="0.25">
      <c r="A11" s="417">
        <v>55</v>
      </c>
      <c r="B11" s="416" t="s">
        <v>129</v>
      </c>
      <c r="C11" s="429">
        <f>+C12</f>
        <v>56223.48</v>
      </c>
      <c r="D11" s="429">
        <f t="shared" ref="D11:G11" si="0">+D12</f>
        <v>0</v>
      </c>
      <c r="E11" s="429">
        <f t="shared" si="0"/>
        <v>0</v>
      </c>
      <c r="F11" s="429">
        <f t="shared" si="0"/>
        <v>0</v>
      </c>
      <c r="G11" s="429">
        <f t="shared" si="0"/>
        <v>0</v>
      </c>
      <c r="H11" s="430">
        <f>+H12</f>
        <v>56223.48</v>
      </c>
      <c r="I11" s="88"/>
    </row>
    <row r="12" spans="1:9" x14ac:dyDescent="0.25">
      <c r="A12" s="417">
        <v>553</v>
      </c>
      <c r="B12" s="416" t="s">
        <v>520</v>
      </c>
      <c r="C12" s="429">
        <f>SUM(C13:C15)</f>
        <v>56223.48</v>
      </c>
      <c r="D12" s="429">
        <f t="shared" ref="D12:G12" si="1">SUM(D13:D15)</f>
        <v>0</v>
      </c>
      <c r="E12" s="429">
        <f t="shared" si="1"/>
        <v>0</v>
      </c>
      <c r="F12" s="429">
        <f t="shared" si="1"/>
        <v>0</v>
      </c>
      <c r="G12" s="429">
        <f t="shared" si="1"/>
        <v>0</v>
      </c>
      <c r="H12" s="430">
        <f>SUM(C12:G12)</f>
        <v>56223.48</v>
      </c>
      <c r="I12" s="88"/>
    </row>
    <row r="13" spans="1:9" x14ac:dyDescent="0.25">
      <c r="A13" s="414">
        <v>55302</v>
      </c>
      <c r="B13" s="412" t="s">
        <v>521</v>
      </c>
      <c r="C13" s="411">
        <v>3900</v>
      </c>
      <c r="D13" s="411">
        <v>0</v>
      </c>
      <c r="E13" s="411">
        <v>0</v>
      </c>
      <c r="F13" s="411"/>
      <c r="G13" s="411">
        <v>0</v>
      </c>
      <c r="H13" s="431">
        <f>SUM(C13:G13)</f>
        <v>3900</v>
      </c>
      <c r="I13" s="88"/>
    </row>
    <row r="14" spans="1:9" x14ac:dyDescent="0.25">
      <c r="A14" s="414">
        <v>55304</v>
      </c>
      <c r="B14" s="412" t="s">
        <v>522</v>
      </c>
      <c r="C14" s="411"/>
      <c r="D14" s="411">
        <v>0</v>
      </c>
      <c r="E14" s="411">
        <v>0</v>
      </c>
      <c r="F14" s="411">
        <v>0</v>
      </c>
      <c r="G14" s="411">
        <v>0</v>
      </c>
      <c r="H14" s="431">
        <f t="shared" ref="H14:H15" si="2">SUM(C14:G14)</f>
        <v>0</v>
      </c>
      <c r="I14" s="88"/>
    </row>
    <row r="15" spans="1:9" x14ac:dyDescent="0.25">
      <c r="A15" s="414">
        <v>55304</v>
      </c>
      <c r="B15" s="412" t="s">
        <v>523</v>
      </c>
      <c r="C15" s="411">
        <v>52323.48</v>
      </c>
      <c r="D15" s="411">
        <v>0</v>
      </c>
      <c r="E15" s="411">
        <v>0</v>
      </c>
      <c r="F15" s="411">
        <v>0</v>
      </c>
      <c r="G15" s="411">
        <v>0</v>
      </c>
      <c r="H15" s="431">
        <f t="shared" si="2"/>
        <v>52323.48</v>
      </c>
      <c r="I15" s="88"/>
    </row>
    <row r="16" spans="1:9" x14ac:dyDescent="0.25">
      <c r="A16" s="414"/>
      <c r="B16" s="412"/>
      <c r="C16" s="411"/>
      <c r="D16" s="411"/>
      <c r="E16" s="411"/>
      <c r="F16" s="411"/>
      <c r="G16" s="411"/>
      <c r="H16" s="431"/>
      <c r="I16" s="88"/>
    </row>
    <row r="17" spans="1:9" x14ac:dyDescent="0.25">
      <c r="A17" s="417">
        <v>71</v>
      </c>
      <c r="B17" s="416" t="s">
        <v>157</v>
      </c>
      <c r="C17" s="429">
        <f>+C18</f>
        <v>578973.36</v>
      </c>
      <c r="D17" s="429">
        <f t="shared" ref="D17:G17" si="3">+D18</f>
        <v>0</v>
      </c>
      <c r="E17" s="429">
        <f t="shared" si="3"/>
        <v>0</v>
      </c>
      <c r="F17" s="429">
        <f t="shared" si="3"/>
        <v>0</v>
      </c>
      <c r="G17" s="429">
        <f t="shared" si="3"/>
        <v>0</v>
      </c>
      <c r="H17" s="430">
        <f>+H18</f>
        <v>578973.36</v>
      </c>
      <c r="I17" s="88"/>
    </row>
    <row r="18" spans="1:9" x14ac:dyDescent="0.25">
      <c r="A18" s="417">
        <v>713</v>
      </c>
      <c r="B18" s="416" t="s">
        <v>158</v>
      </c>
      <c r="C18" s="429">
        <f>SUM(C19:C20)</f>
        <v>578973.36</v>
      </c>
      <c r="D18" s="429">
        <f t="shared" ref="D18:G18" si="4">SUM(D19:D20)</f>
        <v>0</v>
      </c>
      <c r="E18" s="429">
        <f t="shared" si="4"/>
        <v>0</v>
      </c>
      <c r="F18" s="429">
        <f t="shared" si="4"/>
        <v>0</v>
      </c>
      <c r="G18" s="429">
        <f t="shared" si="4"/>
        <v>0</v>
      </c>
      <c r="H18" s="430">
        <f>SUM(C18:G18)</f>
        <v>578973.36</v>
      </c>
      <c r="I18" s="88"/>
    </row>
    <row r="19" spans="1:9" x14ac:dyDescent="0.25">
      <c r="A19" s="415">
        <v>71304</v>
      </c>
      <c r="B19" s="413" t="s">
        <v>689</v>
      </c>
      <c r="C19" s="411">
        <v>482973.36</v>
      </c>
      <c r="D19" s="411">
        <v>0</v>
      </c>
      <c r="E19" s="411">
        <v>0</v>
      </c>
      <c r="F19" s="411">
        <v>0</v>
      </c>
      <c r="G19" s="411">
        <v>0</v>
      </c>
      <c r="H19" s="431">
        <f t="shared" ref="H19:H20" si="5">SUM(C19:G19)</f>
        <v>482973.36</v>
      </c>
      <c r="I19" s="88"/>
    </row>
    <row r="20" spans="1:9" x14ac:dyDescent="0.25">
      <c r="A20" s="415">
        <v>71307</v>
      </c>
      <c r="B20" s="413" t="s">
        <v>690</v>
      </c>
      <c r="C20" s="411">
        <v>96000</v>
      </c>
      <c r="D20" s="411">
        <v>0</v>
      </c>
      <c r="E20" s="411">
        <v>0</v>
      </c>
      <c r="F20" s="411"/>
      <c r="G20" s="411">
        <v>0</v>
      </c>
      <c r="H20" s="431">
        <f t="shared" si="5"/>
        <v>96000</v>
      </c>
      <c r="I20" s="88"/>
    </row>
    <row r="21" spans="1:9" x14ac:dyDescent="0.25">
      <c r="A21" s="414"/>
      <c r="B21" s="412"/>
      <c r="C21" s="411"/>
      <c r="D21" s="411"/>
      <c r="E21" s="411"/>
      <c r="F21" s="411"/>
      <c r="G21" s="411"/>
      <c r="H21" s="431"/>
      <c r="I21" s="88"/>
    </row>
    <row r="22" spans="1:9" x14ac:dyDescent="0.25">
      <c r="A22" s="414"/>
      <c r="B22" s="412"/>
      <c r="C22" s="411"/>
      <c r="D22" s="411"/>
      <c r="E22" s="411"/>
      <c r="F22" s="411"/>
      <c r="G22" s="411"/>
      <c r="H22" s="431"/>
      <c r="I22" s="88"/>
    </row>
    <row r="23" spans="1:9" x14ac:dyDescent="0.25">
      <c r="A23" s="414"/>
      <c r="B23" s="412"/>
      <c r="C23" s="411"/>
      <c r="D23" s="411"/>
      <c r="E23" s="411"/>
      <c r="F23" s="411"/>
      <c r="G23" s="411"/>
      <c r="H23" s="431"/>
      <c r="I23" s="88"/>
    </row>
    <row r="24" spans="1:9" ht="15.75" thickBot="1" x14ac:dyDescent="0.3">
      <c r="A24" s="415"/>
      <c r="B24" s="413"/>
      <c r="C24" s="432"/>
      <c r="D24" s="432"/>
      <c r="E24" s="432"/>
      <c r="F24" s="432"/>
      <c r="G24" s="432"/>
      <c r="H24" s="433"/>
      <c r="I24" s="88"/>
    </row>
    <row r="25" spans="1:9" ht="15.75" thickBot="1" x14ac:dyDescent="0.3">
      <c r="A25" s="427"/>
      <c r="B25" s="428" t="s">
        <v>67</v>
      </c>
      <c r="C25" s="434">
        <f>+C11+C17</f>
        <v>635196.84</v>
      </c>
      <c r="D25" s="434">
        <f t="shared" ref="D25:H25" si="6">+D11+D17</f>
        <v>0</v>
      </c>
      <c r="E25" s="434">
        <f t="shared" si="6"/>
        <v>0</v>
      </c>
      <c r="F25" s="434">
        <f t="shared" si="6"/>
        <v>0</v>
      </c>
      <c r="G25" s="434">
        <f t="shared" si="6"/>
        <v>0</v>
      </c>
      <c r="H25" s="434">
        <f t="shared" si="6"/>
        <v>635196.84</v>
      </c>
      <c r="I25" s="88"/>
    </row>
    <row r="26" spans="1:9" x14ac:dyDescent="0.25">
      <c r="A26" s="137"/>
      <c r="B26" s="88"/>
      <c r="C26" s="88"/>
      <c r="D26" s="88"/>
      <c r="E26" s="88"/>
      <c r="F26" s="88"/>
      <c r="G26" s="88"/>
      <c r="H26" s="88"/>
      <c r="I26" s="88"/>
    </row>
    <row r="27" spans="1:9" x14ac:dyDescent="0.25">
      <c r="A27" s="137"/>
      <c r="B27" s="88"/>
      <c r="C27" s="88"/>
      <c r="D27" s="88"/>
      <c r="E27" s="88"/>
      <c r="F27" s="88"/>
      <c r="G27" s="88"/>
      <c r="H27" s="88"/>
      <c r="I27" s="88"/>
    </row>
    <row r="28" spans="1:9" x14ac:dyDescent="0.25">
      <c r="A28" s="137"/>
      <c r="B28" s="88"/>
      <c r="C28" s="88"/>
      <c r="D28" s="88"/>
      <c r="E28" s="88"/>
      <c r="F28" s="88"/>
      <c r="G28" s="88"/>
      <c r="H28" s="88"/>
      <c r="I28" s="88"/>
    </row>
    <row r="29" spans="1:9" x14ac:dyDescent="0.25">
      <c r="A29" s="137"/>
      <c r="B29" s="88"/>
      <c r="C29" s="88"/>
      <c r="D29" s="88"/>
      <c r="E29" s="88"/>
      <c r="F29" s="88"/>
      <c r="G29" s="88"/>
      <c r="H29" s="88"/>
      <c r="I29" s="88"/>
    </row>
    <row r="30" spans="1:9" x14ac:dyDescent="0.25">
      <c r="A30" s="137"/>
      <c r="B30" s="88"/>
      <c r="C30" s="88"/>
      <c r="D30" s="88"/>
      <c r="E30" s="88"/>
      <c r="F30" s="88"/>
      <c r="G30" s="88"/>
      <c r="H30" s="88"/>
      <c r="I30" s="88"/>
    </row>
    <row r="31" spans="1:9" x14ac:dyDescent="0.25">
      <c r="A31" s="137"/>
      <c r="B31" s="88"/>
      <c r="C31" s="88"/>
      <c r="D31" s="88"/>
      <c r="E31" s="88"/>
      <c r="F31" s="88"/>
      <c r="G31" s="88"/>
      <c r="H31" s="88"/>
      <c r="I31" s="88"/>
    </row>
    <row r="32" spans="1:9" x14ac:dyDescent="0.25">
      <c r="A32" s="88"/>
      <c r="B32" s="88"/>
      <c r="C32" s="88"/>
      <c r="D32" s="88"/>
      <c r="E32" s="88"/>
      <c r="F32" s="88"/>
      <c r="G32" s="88"/>
      <c r="H32" s="88"/>
      <c r="I32" s="88"/>
    </row>
    <row r="33" spans="1:9" x14ac:dyDescent="0.25">
      <c r="A33" s="88"/>
      <c r="B33" s="88"/>
      <c r="C33" s="88"/>
      <c r="D33" s="88"/>
      <c r="E33" s="88"/>
      <c r="F33" s="88"/>
      <c r="G33" s="88"/>
      <c r="H33" s="88"/>
      <c r="I33" s="88"/>
    </row>
    <row r="34" spans="1:9" x14ac:dyDescent="0.25">
      <c r="A34" s="88"/>
      <c r="B34" s="88"/>
      <c r="C34" s="88"/>
      <c r="D34" s="88"/>
      <c r="E34" s="88"/>
      <c r="F34" s="88"/>
      <c r="G34" s="88"/>
      <c r="H34" s="88"/>
      <c r="I34" s="88"/>
    </row>
    <row r="35" spans="1:9" x14ac:dyDescent="0.25">
      <c r="A35" s="88"/>
      <c r="B35" s="88"/>
      <c r="C35" s="88"/>
      <c r="D35" s="88"/>
      <c r="E35" s="88"/>
      <c r="F35" s="88"/>
      <c r="G35" s="88"/>
      <c r="H35" s="88"/>
      <c r="I35" s="88"/>
    </row>
    <row r="36" spans="1:9" x14ac:dyDescent="0.25">
      <c r="A36" s="88"/>
      <c r="B36" s="88"/>
      <c r="C36" s="88"/>
      <c r="D36" s="88"/>
      <c r="E36" s="88"/>
      <c r="F36" s="88"/>
      <c r="G36" s="88"/>
      <c r="H36" s="88"/>
      <c r="I36" s="88"/>
    </row>
    <row r="37" spans="1:9" x14ac:dyDescent="0.25">
      <c r="A37" s="88"/>
      <c r="B37" s="88"/>
      <c r="C37" s="88"/>
      <c r="D37" s="88"/>
      <c r="E37" s="88"/>
      <c r="F37" s="88"/>
      <c r="G37" s="88"/>
      <c r="H37" s="88"/>
      <c r="I37" s="88"/>
    </row>
    <row r="38" spans="1:9" x14ac:dyDescent="0.25">
      <c r="A38" s="88"/>
      <c r="B38" s="88"/>
      <c r="C38" s="88"/>
      <c r="D38" s="88"/>
      <c r="E38" s="88"/>
      <c r="F38" s="88"/>
      <c r="G38" s="88"/>
      <c r="H38" s="88"/>
      <c r="I38" s="88"/>
    </row>
    <row r="39" spans="1:9" x14ac:dyDescent="0.25">
      <c r="A39" s="88"/>
      <c r="B39" s="88"/>
      <c r="C39" s="88"/>
      <c r="D39" s="88"/>
      <c r="E39" s="88"/>
      <c r="F39" s="88"/>
      <c r="G39" s="88"/>
      <c r="H39" s="88"/>
      <c r="I39" s="88"/>
    </row>
    <row r="40" spans="1:9" x14ac:dyDescent="0.25">
      <c r="A40" s="88"/>
      <c r="B40" s="88"/>
      <c r="C40" s="88"/>
      <c r="D40" s="88"/>
      <c r="E40" s="88"/>
      <c r="F40" s="88"/>
      <c r="G40" s="88"/>
      <c r="H40" s="88"/>
      <c r="I40" s="88"/>
    </row>
    <row r="41" spans="1:9" x14ac:dyDescent="0.25">
      <c r="A41" s="88"/>
      <c r="B41" s="88"/>
      <c r="C41" s="88"/>
      <c r="D41" s="88"/>
      <c r="E41" s="88"/>
      <c r="F41" s="88"/>
      <c r="G41" s="88"/>
      <c r="H41" s="88"/>
      <c r="I41" s="88"/>
    </row>
    <row r="42" spans="1:9" x14ac:dyDescent="0.25">
      <c r="A42" s="88"/>
      <c r="B42" s="88"/>
      <c r="C42" s="88"/>
      <c r="D42" s="88"/>
      <c r="E42" s="88"/>
      <c r="F42" s="88"/>
      <c r="G42" s="88"/>
      <c r="H42" s="88"/>
      <c r="I42" s="88"/>
    </row>
    <row r="43" spans="1:9" x14ac:dyDescent="0.25">
      <c r="A43" s="88"/>
      <c r="B43" s="88"/>
      <c r="C43" s="88"/>
      <c r="D43" s="88"/>
      <c r="E43" s="88"/>
      <c r="F43" s="88"/>
      <c r="G43" s="88"/>
      <c r="H43" s="88"/>
      <c r="I43" s="88"/>
    </row>
    <row r="44" spans="1:9" x14ac:dyDescent="0.25">
      <c r="A44" s="88"/>
      <c r="B44" s="88"/>
      <c r="C44" s="88"/>
      <c r="D44" s="88"/>
      <c r="E44" s="88"/>
      <c r="F44" s="88"/>
      <c r="G44" s="88"/>
      <c r="H44" s="88"/>
      <c r="I44" s="88"/>
    </row>
    <row r="45" spans="1:9" x14ac:dyDescent="0.25">
      <c r="A45" s="88"/>
      <c r="B45" s="88"/>
      <c r="C45" s="88"/>
      <c r="D45" s="88"/>
      <c r="E45" s="88"/>
      <c r="F45" s="88"/>
      <c r="G45" s="88"/>
      <c r="H45" s="88"/>
      <c r="I45" s="88"/>
    </row>
  </sheetData>
  <mergeCells count="3">
    <mergeCell ref="B8:B9"/>
    <mergeCell ref="A1:H1"/>
    <mergeCell ref="A2:H2"/>
  </mergeCells>
  <pageMargins left="0.97" right="0.70866141732283472" top="0.74803149606299213" bottom="0.74803149606299213" header="0.31496062992125984" footer="0.31496062992125984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topLeftCell="A10" workbookViewId="0">
      <selection activeCell="F121" sqref="F121"/>
    </sheetView>
  </sheetViews>
  <sheetFormatPr baseColWidth="10" defaultRowHeight="15" x14ac:dyDescent="0.25"/>
  <cols>
    <col min="1" max="1" width="7.85546875" customWidth="1"/>
    <col min="2" max="2" width="62.85546875" bestFit="1" customWidth="1"/>
    <col min="3" max="3" width="13.28515625" customWidth="1"/>
    <col min="4" max="4" width="16.140625" bestFit="1" customWidth="1"/>
    <col min="8" max="8" width="13.28515625" bestFit="1" customWidth="1"/>
  </cols>
  <sheetData>
    <row r="1" spans="1:8" ht="16.5" x14ac:dyDescent="0.3">
      <c r="A1" s="589" t="s">
        <v>379</v>
      </c>
      <c r="B1" s="589"/>
      <c r="C1" s="589"/>
      <c r="D1" s="589"/>
      <c r="E1" s="589"/>
      <c r="F1" s="589"/>
      <c r="G1" s="589"/>
      <c r="H1" s="589"/>
    </row>
    <row r="2" spans="1:8" ht="16.5" x14ac:dyDescent="0.3">
      <c r="A2" s="589" t="s">
        <v>380</v>
      </c>
      <c r="B2" s="589"/>
      <c r="C2" s="589"/>
      <c r="D2" s="589"/>
      <c r="E2" s="589"/>
      <c r="F2" s="589"/>
      <c r="G2" s="589"/>
      <c r="H2" s="589"/>
    </row>
    <row r="3" spans="1:8" ht="16.5" x14ac:dyDescent="0.3">
      <c r="A3" s="592" t="s">
        <v>192</v>
      </c>
      <c r="B3" s="592"/>
      <c r="C3" s="592"/>
      <c r="D3" s="592"/>
      <c r="E3" s="592"/>
      <c r="F3" s="592"/>
      <c r="G3" s="592"/>
      <c r="H3" s="592"/>
    </row>
    <row r="4" spans="1:8" ht="16.5" x14ac:dyDescent="0.3">
      <c r="A4" s="241" t="s">
        <v>415</v>
      </c>
      <c r="B4" s="242"/>
      <c r="C4" s="242"/>
      <c r="D4" s="242"/>
      <c r="E4" s="242"/>
      <c r="F4" s="242"/>
      <c r="G4" s="242"/>
      <c r="H4" s="242"/>
    </row>
    <row r="5" spans="1:8" ht="16.5" x14ac:dyDescent="0.3">
      <c r="A5" s="241" t="s">
        <v>810</v>
      </c>
      <c r="B5" s="242"/>
      <c r="C5" s="242"/>
      <c r="D5" s="242"/>
      <c r="E5" s="242"/>
      <c r="F5" s="242"/>
      <c r="G5" s="242"/>
      <c r="H5" s="242"/>
    </row>
    <row r="6" spans="1:8" ht="16.5" x14ac:dyDescent="0.3">
      <c r="A6" s="241" t="s">
        <v>417</v>
      </c>
      <c r="B6" s="242"/>
      <c r="C6" s="242"/>
      <c r="D6" s="242"/>
      <c r="E6" s="242"/>
      <c r="F6" s="242"/>
      <c r="G6" s="242"/>
      <c r="H6" s="242"/>
    </row>
    <row r="7" spans="1:8" ht="16.5" x14ac:dyDescent="0.3">
      <c r="A7" s="241" t="s">
        <v>381</v>
      </c>
      <c r="B7" s="242"/>
      <c r="C7" s="242"/>
      <c r="D7" s="242"/>
      <c r="E7" s="242"/>
      <c r="F7" s="242"/>
      <c r="G7" s="242" t="s">
        <v>8</v>
      </c>
      <c r="H7" s="242"/>
    </row>
    <row r="8" spans="1:8" ht="17.25" thickBot="1" x14ac:dyDescent="0.35">
      <c r="A8" s="241" t="s">
        <v>416</v>
      </c>
      <c r="B8" s="242"/>
      <c r="C8" s="242"/>
      <c r="D8" s="242"/>
      <c r="E8" s="242"/>
      <c r="F8" s="242"/>
      <c r="G8" s="242"/>
      <c r="H8" s="242"/>
    </row>
    <row r="9" spans="1:8" ht="16.5" x14ac:dyDescent="0.3">
      <c r="A9" s="606" t="s">
        <v>382</v>
      </c>
      <c r="B9" s="607"/>
      <c r="C9" s="608" t="s">
        <v>383</v>
      </c>
      <c r="D9" s="608"/>
      <c r="E9" s="608"/>
      <c r="F9" s="608"/>
      <c r="G9" s="607"/>
      <c r="H9" s="609" t="s">
        <v>1</v>
      </c>
    </row>
    <row r="10" spans="1:8" ht="50.25" thickBot="1" x14ac:dyDescent="0.35">
      <c r="A10" s="300" t="s">
        <v>172</v>
      </c>
      <c r="B10" s="301" t="s">
        <v>69</v>
      </c>
      <c r="C10" s="302" t="s">
        <v>384</v>
      </c>
      <c r="D10" s="302" t="s">
        <v>385</v>
      </c>
      <c r="E10" s="302" t="s">
        <v>261</v>
      </c>
      <c r="F10" s="302" t="s">
        <v>262</v>
      </c>
      <c r="G10" s="302" t="s">
        <v>263</v>
      </c>
      <c r="H10" s="610"/>
    </row>
    <row r="11" spans="1:8" ht="16.5" x14ac:dyDescent="0.3">
      <c r="A11" s="280">
        <v>51</v>
      </c>
      <c r="B11" s="281" t="s">
        <v>71</v>
      </c>
      <c r="C11" s="303">
        <f>+C12+C17+C19+C21+C23+C25+C28+C30</f>
        <v>232701.4</v>
      </c>
      <c r="D11" s="303">
        <f>+D12+D17+D19+D21+D23+D25+D28+D30</f>
        <v>1511097.2599999998</v>
      </c>
      <c r="E11" s="304"/>
      <c r="F11" s="304"/>
      <c r="G11" s="304"/>
      <c r="H11" s="305">
        <f>SUM(C11:G11)</f>
        <v>1743798.6599999997</v>
      </c>
    </row>
    <row r="12" spans="1:8" ht="16.5" x14ac:dyDescent="0.3">
      <c r="A12" s="266">
        <v>511</v>
      </c>
      <c r="B12" s="243" t="s">
        <v>72</v>
      </c>
      <c r="C12" s="244">
        <f>SUM(C13:C16)</f>
        <v>232701.4</v>
      </c>
      <c r="D12" s="245">
        <f>SUM(D13:D16)</f>
        <v>1219528.1399999999</v>
      </c>
      <c r="E12" s="246"/>
      <c r="F12" s="246"/>
      <c r="G12" s="246"/>
      <c r="H12" s="306">
        <f>SUM(C12:G12)</f>
        <v>1452229.5399999998</v>
      </c>
    </row>
    <row r="13" spans="1:8" ht="16.5" x14ac:dyDescent="0.3">
      <c r="A13" s="307" t="s">
        <v>386</v>
      </c>
      <c r="B13" s="247" t="s">
        <v>73</v>
      </c>
      <c r="C13" s="248">
        <v>126818.56</v>
      </c>
      <c r="D13" s="249">
        <v>1006754.48</v>
      </c>
      <c r="E13" s="250"/>
      <c r="F13" s="250"/>
      <c r="G13" s="250"/>
      <c r="H13" s="308">
        <f>SUM(C13:G13)</f>
        <v>1133573.04</v>
      </c>
    </row>
    <row r="14" spans="1:8" ht="16.5" x14ac:dyDescent="0.3">
      <c r="A14" s="269">
        <v>51103</v>
      </c>
      <c r="B14" s="247" t="s">
        <v>74</v>
      </c>
      <c r="C14" s="248">
        <v>0</v>
      </c>
      <c r="D14" s="249">
        <v>76400</v>
      </c>
      <c r="E14" s="253"/>
      <c r="F14" s="253"/>
      <c r="G14" s="253"/>
      <c r="H14" s="308">
        <f t="shared" ref="H14:H66" si="0">SUM(C14:G14)</f>
        <v>76400</v>
      </c>
    </row>
    <row r="15" spans="1:8" ht="16.5" x14ac:dyDescent="0.3">
      <c r="A15" s="307" t="s">
        <v>387</v>
      </c>
      <c r="B15" s="247" t="s">
        <v>75</v>
      </c>
      <c r="C15" s="248">
        <v>105882.84</v>
      </c>
      <c r="D15" s="249">
        <v>19685.16</v>
      </c>
      <c r="E15" s="250"/>
      <c r="F15" s="250"/>
      <c r="G15" s="250"/>
      <c r="H15" s="308">
        <f t="shared" si="0"/>
        <v>125568</v>
      </c>
    </row>
    <row r="16" spans="1:8" ht="16.5" x14ac:dyDescent="0.3">
      <c r="A16" s="307" t="s">
        <v>418</v>
      </c>
      <c r="B16" s="247" t="s">
        <v>76</v>
      </c>
      <c r="C16" s="248">
        <v>0</v>
      </c>
      <c r="D16" s="249">
        <v>116688.5</v>
      </c>
      <c r="E16" s="250"/>
      <c r="F16" s="250"/>
      <c r="G16" s="250"/>
      <c r="H16" s="308">
        <f t="shared" si="0"/>
        <v>116688.5</v>
      </c>
    </row>
    <row r="17" spans="1:8" ht="16.5" x14ac:dyDescent="0.3">
      <c r="A17" s="309" t="s">
        <v>388</v>
      </c>
      <c r="B17" s="255" t="s">
        <v>77</v>
      </c>
      <c r="C17" s="244">
        <f>+C18</f>
        <v>0</v>
      </c>
      <c r="D17" s="245">
        <f>+D18</f>
        <v>30000</v>
      </c>
      <c r="E17" s="256"/>
      <c r="F17" s="256"/>
      <c r="G17" s="256"/>
      <c r="H17" s="310">
        <f t="shared" si="0"/>
        <v>30000</v>
      </c>
    </row>
    <row r="18" spans="1:8" ht="16.5" x14ac:dyDescent="0.3">
      <c r="A18" s="307" t="s">
        <v>389</v>
      </c>
      <c r="B18" s="247" t="s">
        <v>73</v>
      </c>
      <c r="C18" s="248">
        <v>0</v>
      </c>
      <c r="D18" s="254">
        <v>30000</v>
      </c>
      <c r="E18" s="256"/>
      <c r="F18" s="256"/>
      <c r="G18" s="256"/>
      <c r="H18" s="308">
        <f t="shared" si="0"/>
        <v>30000</v>
      </c>
    </row>
    <row r="19" spans="1:8" ht="16.5" x14ac:dyDescent="0.3">
      <c r="A19" s="309" t="s">
        <v>390</v>
      </c>
      <c r="B19" s="255" t="s">
        <v>78</v>
      </c>
      <c r="C19" s="244">
        <f>+C20</f>
        <v>0</v>
      </c>
      <c r="D19" s="245">
        <f>+D20</f>
        <v>25000</v>
      </c>
      <c r="E19" s="250"/>
      <c r="F19" s="250"/>
      <c r="G19" s="250"/>
      <c r="H19" s="310">
        <f t="shared" si="0"/>
        <v>25000</v>
      </c>
    </row>
    <row r="20" spans="1:8" ht="16.5" x14ac:dyDescent="0.3">
      <c r="A20" s="269">
        <v>51301</v>
      </c>
      <c r="B20" s="252" t="s">
        <v>79</v>
      </c>
      <c r="C20" s="248">
        <f>+[2]Res_Nom_FF!C22</f>
        <v>0</v>
      </c>
      <c r="D20" s="254">
        <v>25000</v>
      </c>
      <c r="E20" s="253"/>
      <c r="F20" s="253"/>
      <c r="G20" s="253"/>
      <c r="H20" s="308">
        <f t="shared" si="0"/>
        <v>25000</v>
      </c>
    </row>
    <row r="21" spans="1:8" ht="16.5" x14ac:dyDescent="0.3">
      <c r="A21" s="266">
        <v>514</v>
      </c>
      <c r="B21" s="258" t="s">
        <v>419</v>
      </c>
      <c r="C21" s="244">
        <f>+C22</f>
        <v>0</v>
      </c>
      <c r="D21" s="245">
        <f>+D22</f>
        <v>94423.92</v>
      </c>
      <c r="E21" s="256"/>
      <c r="F21" s="256"/>
      <c r="G21" s="256"/>
      <c r="H21" s="310">
        <f t="shared" si="0"/>
        <v>94423.92</v>
      </c>
    </row>
    <row r="22" spans="1:8" ht="16.5" x14ac:dyDescent="0.3">
      <c r="A22" s="307" t="s">
        <v>391</v>
      </c>
      <c r="B22" s="247" t="s">
        <v>80</v>
      </c>
      <c r="C22" s="248">
        <v>0</v>
      </c>
      <c r="D22" s="254">
        <v>94423.92</v>
      </c>
      <c r="E22" s="257"/>
      <c r="F22" s="257"/>
      <c r="G22" s="257"/>
      <c r="H22" s="308">
        <f t="shared" si="0"/>
        <v>94423.92</v>
      </c>
    </row>
    <row r="23" spans="1:8" ht="16.5" x14ac:dyDescent="0.3">
      <c r="A23" s="266">
        <v>515</v>
      </c>
      <c r="B23" s="258" t="s">
        <v>420</v>
      </c>
      <c r="C23" s="244">
        <f>+C24</f>
        <v>0</v>
      </c>
      <c r="D23" s="245">
        <f>+D24</f>
        <v>88411.92</v>
      </c>
      <c r="E23" s="256"/>
      <c r="F23" s="256"/>
      <c r="G23" s="256"/>
      <c r="H23" s="310">
        <f t="shared" si="0"/>
        <v>88411.92</v>
      </c>
    </row>
    <row r="24" spans="1:8" ht="16.5" x14ac:dyDescent="0.3">
      <c r="A24" s="307" t="s">
        <v>392</v>
      </c>
      <c r="B24" s="247" t="s">
        <v>80</v>
      </c>
      <c r="C24" s="248">
        <v>0</v>
      </c>
      <c r="D24" s="254">
        <v>88411.92</v>
      </c>
      <c r="E24" s="253"/>
      <c r="F24" s="253"/>
      <c r="G24" s="253"/>
      <c r="H24" s="308">
        <f t="shared" si="0"/>
        <v>88411.92</v>
      </c>
    </row>
    <row r="25" spans="1:8" ht="16.5" x14ac:dyDescent="0.3">
      <c r="A25" s="309" t="s">
        <v>393</v>
      </c>
      <c r="B25" s="255" t="s">
        <v>81</v>
      </c>
      <c r="C25" s="244">
        <f>SUM(C26:C27)</f>
        <v>0</v>
      </c>
      <c r="D25" s="245">
        <f>SUM(D26:D27)</f>
        <v>15000</v>
      </c>
      <c r="E25" s="256"/>
      <c r="F25" s="256"/>
      <c r="G25" s="256"/>
      <c r="H25" s="310">
        <f t="shared" si="0"/>
        <v>15000</v>
      </c>
    </row>
    <row r="26" spans="1:8" ht="16.5" x14ac:dyDescent="0.3">
      <c r="A26" s="269">
        <v>51601</v>
      </c>
      <c r="B26" s="252" t="s">
        <v>421</v>
      </c>
      <c r="C26" s="248">
        <f>+[2]Res_Nom_FF!C31</f>
        <v>0</v>
      </c>
      <c r="D26" s="254">
        <v>12000</v>
      </c>
      <c r="E26" s="256"/>
      <c r="F26" s="256"/>
      <c r="G26" s="256"/>
      <c r="H26" s="308">
        <f t="shared" si="0"/>
        <v>12000</v>
      </c>
    </row>
    <row r="27" spans="1:8" ht="16.5" x14ac:dyDescent="0.3">
      <c r="A27" s="269">
        <v>51602</v>
      </c>
      <c r="B27" s="252" t="s">
        <v>422</v>
      </c>
      <c r="C27" s="248">
        <f>+[2]Res_Nom_FF!C32</f>
        <v>0</v>
      </c>
      <c r="D27" s="254">
        <v>3000</v>
      </c>
      <c r="E27" s="256"/>
      <c r="F27" s="256"/>
      <c r="G27" s="256"/>
      <c r="H27" s="308">
        <f t="shared" si="0"/>
        <v>3000</v>
      </c>
    </row>
    <row r="28" spans="1:8" ht="16.5" x14ac:dyDescent="0.3">
      <c r="A28" s="266">
        <v>517</v>
      </c>
      <c r="B28" s="258" t="s">
        <v>84</v>
      </c>
      <c r="C28" s="244">
        <f>+C29</f>
        <v>0</v>
      </c>
      <c r="D28" s="245">
        <f>+D29</f>
        <v>25000</v>
      </c>
      <c r="E28" s="256"/>
      <c r="F28" s="256"/>
      <c r="G28" s="256"/>
      <c r="H28" s="310">
        <f t="shared" si="0"/>
        <v>25000</v>
      </c>
    </row>
    <row r="29" spans="1:8" ht="16.5" x14ac:dyDescent="0.3">
      <c r="A29" s="269">
        <v>51701</v>
      </c>
      <c r="B29" s="252" t="s">
        <v>85</v>
      </c>
      <c r="C29" s="248">
        <v>0</v>
      </c>
      <c r="D29" s="254">
        <v>25000</v>
      </c>
      <c r="E29" s="256"/>
      <c r="F29" s="256"/>
      <c r="G29" s="256"/>
      <c r="H29" s="308">
        <f t="shared" si="0"/>
        <v>25000</v>
      </c>
    </row>
    <row r="30" spans="1:8" ht="16.5" x14ac:dyDescent="0.3">
      <c r="A30" s="266">
        <v>519</v>
      </c>
      <c r="B30" s="258" t="s">
        <v>86</v>
      </c>
      <c r="C30" s="244">
        <f>+C31</f>
        <v>0</v>
      </c>
      <c r="D30" s="245">
        <f>+D31</f>
        <v>13733.28</v>
      </c>
      <c r="E30" s="256"/>
      <c r="F30" s="256"/>
      <c r="G30" s="256"/>
      <c r="H30" s="310">
        <f t="shared" si="0"/>
        <v>13733.28</v>
      </c>
    </row>
    <row r="31" spans="1:8" ht="16.5" x14ac:dyDescent="0.3">
      <c r="A31" s="269">
        <v>51901</v>
      </c>
      <c r="B31" s="252" t="s">
        <v>87</v>
      </c>
      <c r="C31" s="248">
        <f>+[2]Res_Nom_FF!C39</f>
        <v>0</v>
      </c>
      <c r="D31" s="254">
        <v>13733.28</v>
      </c>
      <c r="E31" s="256"/>
      <c r="F31" s="256"/>
      <c r="G31" s="256"/>
      <c r="H31" s="308">
        <f t="shared" si="0"/>
        <v>13733.28</v>
      </c>
    </row>
    <row r="32" spans="1:8" ht="16.5" x14ac:dyDescent="0.3">
      <c r="A32" s="269"/>
      <c r="B32" s="252"/>
      <c r="C32" s="256"/>
      <c r="D32" s="256"/>
      <c r="E32" s="256"/>
      <c r="F32" s="256"/>
      <c r="G32" s="256"/>
      <c r="H32" s="308"/>
    </row>
    <row r="33" spans="1:8" ht="16.5" x14ac:dyDescent="0.3">
      <c r="A33" s="266">
        <v>54</v>
      </c>
      <c r="B33" s="258" t="s">
        <v>88</v>
      </c>
      <c r="C33" s="257">
        <f>+C34+C55+C61+C77+C82</f>
        <v>221587.24</v>
      </c>
      <c r="D33" s="257">
        <f>+D34+D55+D61+D77+D82+D90</f>
        <v>408114.43</v>
      </c>
      <c r="E33" s="256"/>
      <c r="F33" s="256"/>
      <c r="G33" s="256"/>
      <c r="H33" s="310">
        <f t="shared" si="0"/>
        <v>629701.66999999993</v>
      </c>
    </row>
    <row r="34" spans="1:8" ht="16.5" x14ac:dyDescent="0.3">
      <c r="A34" s="266">
        <v>541</v>
      </c>
      <c r="B34" s="258" t="s">
        <v>89</v>
      </c>
      <c r="C34" s="257">
        <v>0</v>
      </c>
      <c r="D34" s="257">
        <f>SUM(D35:D54)</f>
        <v>182749.08</v>
      </c>
      <c r="E34" s="256"/>
      <c r="F34" s="256"/>
      <c r="G34" s="256"/>
      <c r="H34" s="310">
        <f t="shared" si="0"/>
        <v>182749.08</v>
      </c>
    </row>
    <row r="35" spans="1:8" ht="16.5" x14ac:dyDescent="0.3">
      <c r="A35" s="269">
        <v>54101</v>
      </c>
      <c r="B35" s="252" t="s">
        <v>202</v>
      </c>
      <c r="C35" s="256">
        <v>0</v>
      </c>
      <c r="D35" s="82">
        <v>15800.4</v>
      </c>
      <c r="E35" s="256"/>
      <c r="F35" s="256"/>
      <c r="G35" s="256"/>
      <c r="H35" s="308">
        <f>SUM(C35:G35)</f>
        <v>15800.4</v>
      </c>
    </row>
    <row r="36" spans="1:8" ht="16.5" x14ac:dyDescent="0.3">
      <c r="A36" s="269">
        <v>54103</v>
      </c>
      <c r="B36" s="252" t="s">
        <v>203</v>
      </c>
      <c r="C36" s="256">
        <f>+[2]Egresos_FF!C13</f>
        <v>0</v>
      </c>
      <c r="D36" s="82">
        <v>192</v>
      </c>
      <c r="E36" s="256"/>
      <c r="F36" s="256"/>
      <c r="G36" s="256"/>
      <c r="H36" s="308">
        <f t="shared" si="0"/>
        <v>192</v>
      </c>
    </row>
    <row r="37" spans="1:8" ht="16.5" x14ac:dyDescent="0.3">
      <c r="A37" s="269">
        <v>54104</v>
      </c>
      <c r="B37" s="252" t="s">
        <v>91</v>
      </c>
      <c r="C37" s="256">
        <v>0</v>
      </c>
      <c r="D37" s="82">
        <v>20476.95</v>
      </c>
      <c r="E37" s="256"/>
      <c r="F37" s="256"/>
      <c r="G37" s="256"/>
      <c r="H37" s="308">
        <f t="shared" si="0"/>
        <v>20476.95</v>
      </c>
    </row>
    <row r="38" spans="1:8" ht="16.5" x14ac:dyDescent="0.3">
      <c r="A38" s="269">
        <v>54105</v>
      </c>
      <c r="B38" s="252" t="s">
        <v>204</v>
      </c>
      <c r="C38" s="256">
        <v>0</v>
      </c>
      <c r="D38" s="82">
        <v>11693.78</v>
      </c>
      <c r="E38" s="256"/>
      <c r="F38" s="256"/>
      <c r="G38" s="256"/>
      <c r="H38" s="308">
        <f t="shared" si="0"/>
        <v>11693.78</v>
      </c>
    </row>
    <row r="39" spans="1:8" ht="16.5" x14ac:dyDescent="0.3">
      <c r="A39" s="269">
        <v>54106</v>
      </c>
      <c r="B39" s="252" t="s">
        <v>93</v>
      </c>
      <c r="C39" s="256">
        <f>+[2]Egresos_FF!C16</f>
        <v>0</v>
      </c>
      <c r="D39" s="82">
        <v>872.55</v>
      </c>
      <c r="E39" s="256"/>
      <c r="F39" s="256"/>
      <c r="G39" s="256"/>
      <c r="H39" s="308">
        <f t="shared" si="0"/>
        <v>872.55</v>
      </c>
    </row>
    <row r="40" spans="1:8" ht="16.5" x14ac:dyDescent="0.3">
      <c r="A40" s="269">
        <v>54107</v>
      </c>
      <c r="B40" s="252" t="s">
        <v>94</v>
      </c>
      <c r="C40" s="256">
        <f>+[2]Egresos_FF!C17</f>
        <v>0</v>
      </c>
      <c r="D40" s="82">
        <v>14545.72</v>
      </c>
      <c r="E40" s="257"/>
      <c r="F40" s="257"/>
      <c r="G40" s="257"/>
      <c r="H40" s="308">
        <f t="shared" si="0"/>
        <v>14545.72</v>
      </c>
    </row>
    <row r="41" spans="1:8" ht="16.5" x14ac:dyDescent="0.3">
      <c r="A41" s="269">
        <v>54108</v>
      </c>
      <c r="B41" s="252" t="s">
        <v>95</v>
      </c>
      <c r="C41" s="256">
        <f>+[2]Egresos_FF!C18</f>
        <v>0</v>
      </c>
      <c r="D41" s="82">
        <v>1000</v>
      </c>
      <c r="E41" s="256"/>
      <c r="F41" s="256"/>
      <c r="G41" s="256"/>
      <c r="H41" s="308">
        <f t="shared" si="0"/>
        <v>1000</v>
      </c>
    </row>
    <row r="42" spans="1:8" ht="16.5" x14ac:dyDescent="0.3">
      <c r="A42" s="269">
        <v>54109</v>
      </c>
      <c r="B42" s="252" t="s">
        <v>96</v>
      </c>
      <c r="C42" s="256">
        <v>0</v>
      </c>
      <c r="D42" s="82">
        <v>3000</v>
      </c>
      <c r="E42" s="256"/>
      <c r="F42" s="256"/>
      <c r="G42" s="256"/>
      <c r="H42" s="308">
        <f t="shared" si="0"/>
        <v>3000</v>
      </c>
    </row>
    <row r="43" spans="1:8" ht="16.5" x14ac:dyDescent="0.3">
      <c r="A43" s="269">
        <v>54110</v>
      </c>
      <c r="B43" s="252" t="s">
        <v>97</v>
      </c>
      <c r="C43" s="256">
        <v>0</v>
      </c>
      <c r="D43" s="82">
        <v>45000</v>
      </c>
      <c r="E43" s="256"/>
      <c r="F43" s="256"/>
      <c r="G43" s="256"/>
      <c r="H43" s="308">
        <f t="shared" si="0"/>
        <v>45000</v>
      </c>
    </row>
    <row r="44" spans="1:8" ht="16.5" x14ac:dyDescent="0.3">
      <c r="A44" s="269">
        <v>54111</v>
      </c>
      <c r="B44" s="252" t="s">
        <v>205</v>
      </c>
      <c r="C44" s="256">
        <f>+[2]Egresos_FF!C21</f>
        <v>0</v>
      </c>
      <c r="D44" s="82">
        <v>4493.3999999999996</v>
      </c>
      <c r="E44" s="256"/>
      <c r="F44" s="256"/>
      <c r="G44" s="256"/>
      <c r="H44" s="308">
        <f t="shared" si="0"/>
        <v>4493.3999999999996</v>
      </c>
    </row>
    <row r="45" spans="1:8" ht="16.5" x14ac:dyDescent="0.3">
      <c r="A45" s="269">
        <v>54112</v>
      </c>
      <c r="B45" s="252" t="s">
        <v>206</v>
      </c>
      <c r="C45" s="256">
        <f>+[2]Egresos_FF!C22</f>
        <v>0</v>
      </c>
      <c r="D45" s="82">
        <v>1000</v>
      </c>
      <c r="E45" s="257"/>
      <c r="F45" s="257"/>
      <c r="G45" s="257"/>
      <c r="H45" s="308">
        <f t="shared" si="0"/>
        <v>1000</v>
      </c>
    </row>
    <row r="46" spans="1:8" ht="16.5" x14ac:dyDescent="0.3">
      <c r="A46" s="269">
        <v>54113</v>
      </c>
      <c r="B46" s="252" t="s">
        <v>394</v>
      </c>
      <c r="C46" s="256">
        <v>0</v>
      </c>
      <c r="D46" s="82"/>
      <c r="E46" s="256"/>
      <c r="F46" s="256"/>
      <c r="G46" s="256"/>
      <c r="H46" s="308">
        <f t="shared" si="0"/>
        <v>0</v>
      </c>
    </row>
    <row r="47" spans="1:8" ht="16.5" x14ac:dyDescent="0.3">
      <c r="A47" s="269">
        <v>54114</v>
      </c>
      <c r="B47" s="252" t="s">
        <v>100</v>
      </c>
      <c r="C47" s="256"/>
      <c r="D47" s="82">
        <v>6279.99</v>
      </c>
      <c r="E47" s="256"/>
      <c r="F47" s="256"/>
      <c r="G47" s="256"/>
      <c r="H47" s="308">
        <f t="shared" si="0"/>
        <v>6279.99</v>
      </c>
    </row>
    <row r="48" spans="1:8" ht="16.5" x14ac:dyDescent="0.3">
      <c r="A48" s="269">
        <v>54115</v>
      </c>
      <c r="B48" s="252" t="s">
        <v>101</v>
      </c>
      <c r="C48" s="256">
        <v>0</v>
      </c>
      <c r="D48" s="82">
        <v>10280.85</v>
      </c>
      <c r="E48" s="256"/>
      <c r="F48" s="256"/>
      <c r="G48" s="256"/>
      <c r="H48" s="308">
        <f t="shared" si="0"/>
        <v>10280.85</v>
      </c>
    </row>
    <row r="49" spans="1:8" ht="16.5" x14ac:dyDescent="0.3">
      <c r="A49" s="269">
        <v>54116</v>
      </c>
      <c r="B49" s="252" t="s">
        <v>207</v>
      </c>
      <c r="C49" s="256">
        <f>+[2]Egresos_FF!C25</f>
        <v>0</v>
      </c>
      <c r="D49" s="82"/>
      <c r="E49" s="256"/>
      <c r="F49" s="256"/>
      <c r="G49" s="256"/>
      <c r="H49" s="308">
        <f t="shared" si="0"/>
        <v>0</v>
      </c>
    </row>
    <row r="50" spans="1:8" ht="16.5" x14ac:dyDescent="0.3">
      <c r="A50" s="269">
        <v>54117</v>
      </c>
      <c r="B50" s="252" t="s">
        <v>102</v>
      </c>
      <c r="C50" s="256">
        <f>+[2]Egresos_FF!C26</f>
        <v>0</v>
      </c>
      <c r="D50" s="82">
        <v>4357.5</v>
      </c>
      <c r="E50" s="256"/>
      <c r="F50" s="256"/>
      <c r="G50" s="256"/>
      <c r="H50" s="308">
        <f t="shared" si="0"/>
        <v>4357.5</v>
      </c>
    </row>
    <row r="51" spans="1:8" ht="16.5" x14ac:dyDescent="0.3">
      <c r="A51" s="269">
        <v>54118</v>
      </c>
      <c r="B51" s="252" t="s">
        <v>208</v>
      </c>
      <c r="C51" s="256">
        <v>0</v>
      </c>
      <c r="D51" s="82">
        <v>6604.2</v>
      </c>
      <c r="E51" s="256"/>
      <c r="F51" s="256"/>
      <c r="G51" s="256"/>
      <c r="H51" s="308">
        <f t="shared" si="0"/>
        <v>6604.2</v>
      </c>
    </row>
    <row r="52" spans="1:8" ht="16.5" x14ac:dyDescent="0.3">
      <c r="A52" s="269">
        <v>54119</v>
      </c>
      <c r="B52" s="252" t="s">
        <v>104</v>
      </c>
      <c r="C52" s="256">
        <f>+[2]Egresos_FF!C28</f>
        <v>0</v>
      </c>
      <c r="D52" s="82">
        <v>1473.5</v>
      </c>
      <c r="E52" s="256"/>
      <c r="F52" s="256"/>
      <c r="G52" s="256"/>
      <c r="H52" s="308">
        <f t="shared" si="0"/>
        <v>1473.5</v>
      </c>
    </row>
    <row r="53" spans="1:8" ht="16.5" x14ac:dyDescent="0.3">
      <c r="A53" s="269">
        <v>54121</v>
      </c>
      <c r="B53" s="252" t="s">
        <v>105</v>
      </c>
      <c r="C53" s="256">
        <v>0</v>
      </c>
      <c r="D53" s="82">
        <v>30000</v>
      </c>
      <c r="E53" s="256"/>
      <c r="F53" s="256"/>
      <c r="G53" s="256"/>
      <c r="H53" s="308">
        <f t="shared" si="0"/>
        <v>30000</v>
      </c>
    </row>
    <row r="54" spans="1:8" ht="16.5" x14ac:dyDescent="0.3">
      <c r="A54" s="269">
        <v>54199</v>
      </c>
      <c r="B54" s="252" t="s">
        <v>209</v>
      </c>
      <c r="C54" s="256">
        <f>+[2]Egresos_FF!C30</f>
        <v>0</v>
      </c>
      <c r="D54" s="249">
        <v>5678.24</v>
      </c>
      <c r="E54" s="256"/>
      <c r="F54" s="256"/>
      <c r="G54" s="256"/>
      <c r="H54" s="308">
        <f t="shared" si="0"/>
        <v>5678.24</v>
      </c>
    </row>
    <row r="55" spans="1:8" ht="16.5" x14ac:dyDescent="0.3">
      <c r="A55" s="266">
        <v>542</v>
      </c>
      <c r="B55" s="258" t="s">
        <v>47</v>
      </c>
      <c r="C55" s="257">
        <f>SUM(C56:C60)</f>
        <v>221587.24</v>
      </c>
      <c r="D55" s="257">
        <f>SUM(D56:D60)</f>
        <v>134121.47</v>
      </c>
      <c r="E55" s="256"/>
      <c r="F55" s="256"/>
      <c r="G55" s="256"/>
      <c r="H55" s="310">
        <f t="shared" si="0"/>
        <v>355708.70999999996</v>
      </c>
    </row>
    <row r="56" spans="1:8" ht="16.5" x14ac:dyDescent="0.3">
      <c r="A56" s="269">
        <v>54201</v>
      </c>
      <c r="B56" s="252" t="s">
        <v>107</v>
      </c>
      <c r="C56" s="256">
        <v>165587.24</v>
      </c>
      <c r="D56" s="256">
        <v>44121.47</v>
      </c>
      <c r="E56" s="256"/>
      <c r="F56" s="256"/>
      <c r="G56" s="256"/>
      <c r="H56" s="308">
        <f t="shared" si="0"/>
        <v>209708.71</v>
      </c>
    </row>
    <row r="57" spans="1:8" ht="16.5" x14ac:dyDescent="0.3">
      <c r="A57" s="269">
        <v>54202</v>
      </c>
      <c r="B57" s="252" t="s">
        <v>108</v>
      </c>
      <c r="C57" s="256">
        <v>0</v>
      </c>
      <c r="D57" s="256">
        <v>5000</v>
      </c>
      <c r="E57" s="256"/>
      <c r="F57" s="256"/>
      <c r="G57" s="256"/>
      <c r="H57" s="308">
        <f t="shared" si="0"/>
        <v>5000</v>
      </c>
    </row>
    <row r="58" spans="1:8" ht="16.5" x14ac:dyDescent="0.3">
      <c r="A58" s="269">
        <v>54203</v>
      </c>
      <c r="B58" s="252" t="s">
        <v>109</v>
      </c>
      <c r="C58" s="256">
        <v>20000</v>
      </c>
      <c r="D58" s="256">
        <v>35000</v>
      </c>
      <c r="E58" s="256"/>
      <c r="F58" s="256"/>
      <c r="G58" s="256"/>
      <c r="H58" s="308">
        <f t="shared" si="0"/>
        <v>55000</v>
      </c>
    </row>
    <row r="59" spans="1:8" ht="16.5" x14ac:dyDescent="0.3">
      <c r="A59" s="269">
        <v>54204</v>
      </c>
      <c r="B59" s="252" t="s">
        <v>210</v>
      </c>
      <c r="C59" s="256">
        <v>0</v>
      </c>
      <c r="D59" s="256"/>
      <c r="E59" s="256"/>
      <c r="F59" s="256"/>
      <c r="G59" s="256"/>
      <c r="H59" s="308">
        <f t="shared" si="0"/>
        <v>0</v>
      </c>
    </row>
    <row r="60" spans="1:8" ht="16.5" x14ac:dyDescent="0.3">
      <c r="A60" s="269">
        <v>54205</v>
      </c>
      <c r="B60" s="252" t="s">
        <v>30</v>
      </c>
      <c r="C60" s="256">
        <v>36000</v>
      </c>
      <c r="D60" s="256">
        <v>50000</v>
      </c>
      <c r="E60" s="257"/>
      <c r="F60" s="257"/>
      <c r="G60" s="257"/>
      <c r="H60" s="308">
        <f t="shared" si="0"/>
        <v>86000</v>
      </c>
    </row>
    <row r="61" spans="1:8" ht="16.5" x14ac:dyDescent="0.3">
      <c r="A61" s="266">
        <v>543</v>
      </c>
      <c r="B61" s="258" t="s">
        <v>211</v>
      </c>
      <c r="C61" s="257">
        <f>SUM(C62:C76)</f>
        <v>0</v>
      </c>
      <c r="D61" s="257">
        <f>SUM(D62:D76)</f>
        <v>82743.88</v>
      </c>
      <c r="E61" s="256"/>
      <c r="F61" s="256"/>
      <c r="G61" s="256"/>
      <c r="H61" s="310">
        <f t="shared" si="0"/>
        <v>82743.88</v>
      </c>
    </row>
    <row r="62" spans="1:8" ht="16.5" x14ac:dyDescent="0.3">
      <c r="A62" s="269">
        <v>54301</v>
      </c>
      <c r="B62" s="252" t="s">
        <v>212</v>
      </c>
      <c r="C62" s="256">
        <f>+[2]Egresos_FF!C38</f>
        <v>0</v>
      </c>
      <c r="D62" s="249">
        <v>6665</v>
      </c>
      <c r="E62" s="256"/>
      <c r="F62" s="256"/>
      <c r="G62" s="256"/>
      <c r="H62" s="308">
        <f t="shared" si="0"/>
        <v>6665</v>
      </c>
    </row>
    <row r="63" spans="1:8" ht="16.5" x14ac:dyDescent="0.3">
      <c r="A63" s="269">
        <v>54302</v>
      </c>
      <c r="B63" s="252" t="s">
        <v>213</v>
      </c>
      <c r="C63" s="256">
        <v>0</v>
      </c>
      <c r="D63" s="249">
        <v>13000</v>
      </c>
      <c r="E63" s="256"/>
      <c r="F63" s="256"/>
      <c r="G63" s="256"/>
      <c r="H63" s="308">
        <f t="shared" si="0"/>
        <v>13000</v>
      </c>
    </row>
    <row r="64" spans="1:8" ht="16.5" x14ac:dyDescent="0.3">
      <c r="A64" s="269">
        <v>54303</v>
      </c>
      <c r="B64" s="252" t="s">
        <v>214</v>
      </c>
      <c r="C64" s="256">
        <f>+[2]Egresos_FF!C40</f>
        <v>0</v>
      </c>
      <c r="D64" s="249">
        <v>4362.88</v>
      </c>
      <c r="E64" s="256"/>
      <c r="F64" s="256"/>
      <c r="G64" s="256"/>
      <c r="H64" s="308">
        <f t="shared" si="0"/>
        <v>4362.88</v>
      </c>
    </row>
    <row r="65" spans="1:8" ht="16.5" x14ac:dyDescent="0.3">
      <c r="A65" s="269">
        <v>54304</v>
      </c>
      <c r="B65" s="252" t="s">
        <v>115</v>
      </c>
      <c r="C65" s="256">
        <v>0</v>
      </c>
      <c r="D65" s="249">
        <v>5000</v>
      </c>
      <c r="E65" s="256"/>
      <c r="F65" s="256"/>
      <c r="G65" s="256"/>
      <c r="H65" s="308">
        <f t="shared" si="0"/>
        <v>5000</v>
      </c>
    </row>
    <row r="66" spans="1:8" ht="16.5" x14ac:dyDescent="0.3">
      <c r="A66" s="269">
        <v>54305</v>
      </c>
      <c r="B66" s="252" t="s">
        <v>116</v>
      </c>
      <c r="C66" s="256">
        <v>0</v>
      </c>
      <c r="D66" s="249">
        <v>8000</v>
      </c>
      <c r="E66" s="256"/>
      <c r="F66" s="256"/>
      <c r="G66" s="256"/>
      <c r="H66" s="308">
        <f t="shared" si="0"/>
        <v>8000</v>
      </c>
    </row>
    <row r="67" spans="1:8" ht="16.5" x14ac:dyDescent="0.3">
      <c r="A67" s="269">
        <v>54306</v>
      </c>
      <c r="B67" s="252" t="s">
        <v>215</v>
      </c>
      <c r="C67" s="256">
        <f>+[2]Egresos_FF!C43</f>
        <v>0</v>
      </c>
      <c r="D67" s="249"/>
      <c r="E67" s="256"/>
      <c r="F67" s="256"/>
      <c r="G67" s="256"/>
      <c r="H67" s="308">
        <f t="shared" ref="H67:H135" si="1">SUM(C67:G67)</f>
        <v>0</v>
      </c>
    </row>
    <row r="68" spans="1:8" ht="16.5" x14ac:dyDescent="0.3">
      <c r="A68" s="269">
        <v>54307</v>
      </c>
      <c r="B68" s="252" t="s">
        <v>216</v>
      </c>
      <c r="C68" s="256">
        <f>+[2]Egresos_FF!C44</f>
        <v>0</v>
      </c>
      <c r="D68" s="249"/>
      <c r="E68" s="257"/>
      <c r="F68" s="257"/>
      <c r="G68" s="257"/>
      <c r="H68" s="308">
        <f t="shared" si="1"/>
        <v>0</v>
      </c>
    </row>
    <row r="69" spans="1:8" ht="16.5" x14ac:dyDescent="0.3">
      <c r="A69" s="269">
        <v>54309</v>
      </c>
      <c r="B69" s="252" t="s">
        <v>217</v>
      </c>
      <c r="C69" s="256">
        <f>+[2]Egresos_FF!C45</f>
        <v>0</v>
      </c>
      <c r="D69" s="249"/>
      <c r="E69" s="257"/>
      <c r="F69" s="257"/>
      <c r="G69" s="257"/>
      <c r="H69" s="308">
        <f t="shared" si="1"/>
        <v>0</v>
      </c>
    </row>
    <row r="70" spans="1:8" ht="16.5" x14ac:dyDescent="0.3">
      <c r="A70" s="269">
        <v>54310</v>
      </c>
      <c r="B70" s="252" t="s">
        <v>117</v>
      </c>
      <c r="C70" s="256">
        <f>+[2]Egresos_FF!C46</f>
        <v>0</v>
      </c>
      <c r="D70" s="249">
        <v>8000</v>
      </c>
      <c r="E70" s="256"/>
      <c r="F70" s="256"/>
      <c r="G70" s="256"/>
      <c r="H70" s="308">
        <f t="shared" si="1"/>
        <v>8000</v>
      </c>
    </row>
    <row r="71" spans="1:8" ht="16.5" x14ac:dyDescent="0.3">
      <c r="A71" s="269">
        <v>54311</v>
      </c>
      <c r="B71" s="252" t="s">
        <v>118</v>
      </c>
      <c r="C71" s="256">
        <f>+[2]Egresos_FF!C47</f>
        <v>0</v>
      </c>
      <c r="D71" s="249">
        <v>2000</v>
      </c>
      <c r="E71" s="256"/>
      <c r="F71" s="256"/>
      <c r="G71" s="256"/>
      <c r="H71" s="308">
        <f t="shared" si="1"/>
        <v>2000</v>
      </c>
    </row>
    <row r="72" spans="1:8" ht="16.5" x14ac:dyDescent="0.3">
      <c r="A72" s="269">
        <v>54313</v>
      </c>
      <c r="B72" s="252" t="s">
        <v>218</v>
      </c>
      <c r="C72" s="256">
        <v>0</v>
      </c>
      <c r="D72" s="249">
        <v>1216</v>
      </c>
      <c r="E72" s="257"/>
      <c r="F72" s="257"/>
      <c r="G72" s="257"/>
      <c r="H72" s="308">
        <f t="shared" si="1"/>
        <v>1216</v>
      </c>
    </row>
    <row r="73" spans="1:8" ht="16.5" x14ac:dyDescent="0.3">
      <c r="A73" s="269">
        <v>54314</v>
      </c>
      <c r="B73" s="252" t="s">
        <v>120</v>
      </c>
      <c r="C73" s="256">
        <v>0</v>
      </c>
      <c r="D73" s="249">
        <v>5000</v>
      </c>
      <c r="E73" s="256"/>
      <c r="F73" s="256"/>
      <c r="G73" s="256"/>
      <c r="H73" s="308">
        <f t="shared" si="1"/>
        <v>5000</v>
      </c>
    </row>
    <row r="74" spans="1:8" ht="16.5" x14ac:dyDescent="0.3">
      <c r="A74" s="269">
        <v>54316</v>
      </c>
      <c r="B74" s="252" t="s">
        <v>121</v>
      </c>
      <c r="C74" s="256">
        <f>+[2]Egresos_FF!C50</f>
        <v>0</v>
      </c>
      <c r="D74" s="249">
        <v>6000</v>
      </c>
      <c r="E74" s="256"/>
      <c r="F74" s="256"/>
      <c r="G74" s="256"/>
      <c r="H74" s="308">
        <f t="shared" si="1"/>
        <v>6000</v>
      </c>
    </row>
    <row r="75" spans="1:8" ht="16.5" x14ac:dyDescent="0.3">
      <c r="A75" s="269">
        <v>54317</v>
      </c>
      <c r="B75" s="252" t="s">
        <v>122</v>
      </c>
      <c r="C75" s="256">
        <f>+[2]Egresos_FF!C51</f>
        <v>0</v>
      </c>
      <c r="D75" s="249">
        <v>8500</v>
      </c>
      <c r="E75" s="257"/>
      <c r="F75" s="257"/>
      <c r="G75" s="257"/>
      <c r="H75" s="308">
        <f t="shared" si="1"/>
        <v>8500</v>
      </c>
    </row>
    <row r="76" spans="1:8" ht="16.5" x14ac:dyDescent="0.3">
      <c r="A76" s="269">
        <v>54399</v>
      </c>
      <c r="B76" s="252" t="s">
        <v>219</v>
      </c>
      <c r="C76" s="256">
        <v>0</v>
      </c>
      <c r="D76" s="249">
        <v>15000</v>
      </c>
      <c r="E76" s="257"/>
      <c r="F76" s="257"/>
      <c r="G76" s="257"/>
      <c r="H76" s="308">
        <f t="shared" si="1"/>
        <v>15000</v>
      </c>
    </row>
    <row r="77" spans="1:8" ht="16.5" x14ac:dyDescent="0.3">
      <c r="A77" s="266">
        <v>544</v>
      </c>
      <c r="B77" s="258" t="s">
        <v>124</v>
      </c>
      <c r="C77" s="257">
        <f>SUM(C78:C81)</f>
        <v>0</v>
      </c>
      <c r="D77" s="257">
        <f>SUM(D78:D81)</f>
        <v>1000</v>
      </c>
      <c r="E77" s="256"/>
      <c r="F77" s="256"/>
      <c r="G77" s="256"/>
      <c r="H77" s="310">
        <f t="shared" si="1"/>
        <v>1000</v>
      </c>
    </row>
    <row r="78" spans="1:8" ht="16.5" x14ac:dyDescent="0.3">
      <c r="A78" s="269">
        <v>54401</v>
      </c>
      <c r="B78" s="252" t="s">
        <v>220</v>
      </c>
      <c r="C78" s="256">
        <v>0</v>
      </c>
      <c r="D78" s="256">
        <f>+[1]Egresos_FF!E145</f>
        <v>0</v>
      </c>
      <c r="E78" s="256"/>
      <c r="F78" s="256"/>
      <c r="G78" s="256"/>
      <c r="H78" s="308">
        <f t="shared" si="1"/>
        <v>0</v>
      </c>
    </row>
    <row r="79" spans="1:8" ht="16.5" x14ac:dyDescent="0.3">
      <c r="A79" s="269">
        <v>54402</v>
      </c>
      <c r="B79" s="252" t="s">
        <v>221</v>
      </c>
      <c r="C79" s="256">
        <v>0</v>
      </c>
      <c r="D79" s="256">
        <f>+[1]Egresos_FF!E146</f>
        <v>0</v>
      </c>
      <c r="E79" s="256"/>
      <c r="F79" s="256"/>
      <c r="G79" s="256"/>
      <c r="H79" s="308">
        <f t="shared" si="1"/>
        <v>0</v>
      </c>
    </row>
    <row r="80" spans="1:8" ht="16.5" x14ac:dyDescent="0.3">
      <c r="A80" s="269">
        <v>54403</v>
      </c>
      <c r="B80" s="252" t="s">
        <v>125</v>
      </c>
      <c r="C80" s="256">
        <v>0</v>
      </c>
      <c r="D80" s="256">
        <v>1000</v>
      </c>
      <c r="E80" s="256"/>
      <c r="F80" s="256"/>
      <c r="G80" s="256"/>
      <c r="H80" s="308">
        <f t="shared" si="1"/>
        <v>1000</v>
      </c>
    </row>
    <row r="81" spans="1:8" ht="16.5" x14ac:dyDescent="0.3">
      <c r="A81" s="269">
        <v>54404</v>
      </c>
      <c r="B81" s="252" t="s">
        <v>222</v>
      </c>
      <c r="C81" s="256">
        <v>0</v>
      </c>
      <c r="D81" s="256">
        <f>+[1]Egresos_FF!E148</f>
        <v>0</v>
      </c>
      <c r="E81" s="256"/>
      <c r="F81" s="256"/>
      <c r="G81" s="256"/>
      <c r="H81" s="308">
        <f t="shared" si="1"/>
        <v>0</v>
      </c>
    </row>
    <row r="82" spans="1:8" ht="16.5" x14ac:dyDescent="0.3">
      <c r="A82" s="266">
        <v>545</v>
      </c>
      <c r="B82" s="258" t="s">
        <v>223</v>
      </c>
      <c r="C82" s="257">
        <f>SUM(C83:C89)</f>
        <v>0</v>
      </c>
      <c r="D82" s="257">
        <f>SUM(D83:D89)</f>
        <v>7500</v>
      </c>
      <c r="E82" s="257"/>
      <c r="F82" s="257"/>
      <c r="G82" s="257"/>
      <c r="H82" s="310">
        <f t="shared" si="1"/>
        <v>7500</v>
      </c>
    </row>
    <row r="83" spans="1:8" ht="16.5" x14ac:dyDescent="0.3">
      <c r="A83" s="269">
        <v>54501</v>
      </c>
      <c r="B83" s="252" t="s">
        <v>224</v>
      </c>
      <c r="C83" s="256">
        <f>+[2]Egresos_FF!C59</f>
        <v>0</v>
      </c>
      <c r="D83" s="256">
        <f>+[1]Egresos_FF!E150</f>
        <v>0</v>
      </c>
      <c r="E83" s="257"/>
      <c r="F83" s="257"/>
      <c r="G83" s="257"/>
      <c r="H83" s="308">
        <f t="shared" si="1"/>
        <v>0</v>
      </c>
    </row>
    <row r="84" spans="1:8" ht="16.5" x14ac:dyDescent="0.3">
      <c r="A84" s="269">
        <v>54503</v>
      </c>
      <c r="B84" s="252" t="s">
        <v>127</v>
      </c>
      <c r="C84" s="256">
        <v>0</v>
      </c>
      <c r="D84" s="256">
        <v>500</v>
      </c>
      <c r="E84" s="256"/>
      <c r="F84" s="256"/>
      <c r="G84" s="256"/>
      <c r="H84" s="308">
        <f t="shared" si="1"/>
        <v>500</v>
      </c>
    </row>
    <row r="85" spans="1:8" ht="16.5" x14ac:dyDescent="0.3">
      <c r="A85" s="269">
        <v>54504</v>
      </c>
      <c r="B85" s="252" t="s">
        <v>128</v>
      </c>
      <c r="C85" s="256">
        <v>0</v>
      </c>
      <c r="D85" s="256">
        <v>5000</v>
      </c>
      <c r="E85" s="256"/>
      <c r="F85" s="256"/>
      <c r="G85" s="256"/>
      <c r="H85" s="308">
        <f t="shared" si="1"/>
        <v>5000</v>
      </c>
    </row>
    <row r="86" spans="1:8" ht="16.5" x14ac:dyDescent="0.3">
      <c r="A86" s="269">
        <v>54505</v>
      </c>
      <c r="B86" s="252" t="s">
        <v>225</v>
      </c>
      <c r="C86" s="256">
        <v>0</v>
      </c>
      <c r="D86" s="256"/>
      <c r="E86" s="257"/>
      <c r="F86" s="257"/>
      <c r="G86" s="257"/>
      <c r="H86" s="308">
        <f t="shared" si="1"/>
        <v>0</v>
      </c>
    </row>
    <row r="87" spans="1:8" ht="16.5" x14ac:dyDescent="0.3">
      <c r="A87" s="269">
        <v>54507</v>
      </c>
      <c r="B87" s="252" t="s">
        <v>226</v>
      </c>
      <c r="C87" s="256">
        <v>0</v>
      </c>
      <c r="D87" s="256"/>
      <c r="E87" s="257"/>
      <c r="F87" s="257"/>
      <c r="G87" s="257"/>
      <c r="H87" s="308">
        <f t="shared" si="1"/>
        <v>0</v>
      </c>
    </row>
    <row r="88" spans="1:8" ht="16.5" x14ac:dyDescent="0.3">
      <c r="A88" s="269">
        <v>54508</v>
      </c>
      <c r="B88" s="252" t="s">
        <v>227</v>
      </c>
      <c r="C88" s="256">
        <v>0</v>
      </c>
      <c r="D88" s="256"/>
      <c r="E88" s="256"/>
      <c r="F88" s="256"/>
      <c r="G88" s="256"/>
      <c r="H88" s="308">
        <f t="shared" si="1"/>
        <v>0</v>
      </c>
    </row>
    <row r="89" spans="1:8" ht="16.5" x14ac:dyDescent="0.3">
      <c r="A89" s="269">
        <v>54599</v>
      </c>
      <c r="B89" s="252" t="s">
        <v>228</v>
      </c>
      <c r="C89" s="256">
        <v>0</v>
      </c>
      <c r="D89" s="256">
        <v>2000</v>
      </c>
      <c r="E89" s="259"/>
      <c r="F89" s="259"/>
      <c r="G89" s="259"/>
      <c r="H89" s="308">
        <f t="shared" si="1"/>
        <v>2000</v>
      </c>
    </row>
    <row r="90" spans="1:8" ht="16.5" x14ac:dyDescent="0.3">
      <c r="A90" s="266">
        <v>546</v>
      </c>
      <c r="B90" s="258" t="s">
        <v>229</v>
      </c>
      <c r="C90" s="257">
        <f>SUM(C91:C92)</f>
        <v>0</v>
      </c>
      <c r="D90" s="257">
        <f>SUM(D91:D92)</f>
        <v>0</v>
      </c>
      <c r="E90" s="257"/>
      <c r="F90" s="257"/>
      <c r="G90" s="257"/>
      <c r="H90" s="310">
        <f t="shared" ref="H90" si="2">SUM(C90:G90)</f>
        <v>0</v>
      </c>
    </row>
    <row r="91" spans="1:8" ht="16.5" x14ac:dyDescent="0.3">
      <c r="A91" s="79">
        <v>54602</v>
      </c>
      <c r="B91" s="80" t="s">
        <v>600</v>
      </c>
      <c r="C91" s="256"/>
      <c r="D91" s="256"/>
      <c r="E91" s="259"/>
      <c r="F91" s="259"/>
      <c r="G91" s="259"/>
      <c r="H91" s="308">
        <v>30000</v>
      </c>
    </row>
    <row r="92" spans="1:8" ht="16.5" x14ac:dyDescent="0.3">
      <c r="A92" s="79">
        <v>54603</v>
      </c>
      <c r="B92" s="80" t="s">
        <v>230</v>
      </c>
      <c r="C92" s="256"/>
      <c r="D92" s="256"/>
      <c r="E92" s="240"/>
      <c r="F92" s="240"/>
      <c r="G92" s="240"/>
      <c r="H92" s="308">
        <v>10000</v>
      </c>
    </row>
    <row r="93" spans="1:8" ht="16.5" x14ac:dyDescent="0.3">
      <c r="A93" s="266">
        <v>55</v>
      </c>
      <c r="B93" s="258" t="s">
        <v>129</v>
      </c>
      <c r="C93" s="257">
        <f>+C94+C99+C103</f>
        <v>300</v>
      </c>
      <c r="D93" s="257">
        <f>+D94+D99+D103</f>
        <v>18945.48</v>
      </c>
      <c r="E93" s="240"/>
      <c r="F93" s="240"/>
      <c r="G93" s="240"/>
      <c r="H93" s="310">
        <f t="shared" si="1"/>
        <v>19245.48</v>
      </c>
    </row>
    <row r="94" spans="1:8" ht="16.5" x14ac:dyDescent="0.3">
      <c r="A94" s="266">
        <v>553</v>
      </c>
      <c r="B94" s="258" t="s">
        <v>231</v>
      </c>
      <c r="C94" s="257">
        <f>SUM(C95:C98)</f>
        <v>0</v>
      </c>
      <c r="D94" s="257">
        <f>SUM(D95:D98)</f>
        <v>0</v>
      </c>
      <c r="E94" s="240"/>
      <c r="F94" s="240"/>
      <c r="G94" s="240"/>
      <c r="H94" s="310">
        <f t="shared" si="1"/>
        <v>0</v>
      </c>
    </row>
    <row r="95" spans="1:8" ht="16.5" x14ac:dyDescent="0.3">
      <c r="A95" s="269">
        <v>55302</v>
      </c>
      <c r="B95" s="252" t="s">
        <v>251</v>
      </c>
      <c r="C95" s="256"/>
      <c r="D95" s="256">
        <f>+'Egresos F. F.'!C171</f>
        <v>0</v>
      </c>
      <c r="E95" s="260"/>
      <c r="F95" s="260"/>
      <c r="G95" s="260"/>
      <c r="H95" s="308">
        <f t="shared" si="1"/>
        <v>0</v>
      </c>
    </row>
    <row r="96" spans="1:8" ht="16.5" x14ac:dyDescent="0.3">
      <c r="A96" s="269">
        <v>55303</v>
      </c>
      <c r="B96" s="252" t="s">
        <v>233</v>
      </c>
      <c r="C96" s="256"/>
      <c r="D96" s="256">
        <v>0</v>
      </c>
      <c r="E96" s="240"/>
      <c r="F96" s="240"/>
      <c r="G96" s="240"/>
      <c r="H96" s="308">
        <f t="shared" si="1"/>
        <v>0</v>
      </c>
    </row>
    <row r="97" spans="1:8" ht="16.5" x14ac:dyDescent="0.3">
      <c r="A97" s="269">
        <v>55304</v>
      </c>
      <c r="B97" s="252" t="s">
        <v>63</v>
      </c>
      <c r="C97" s="256"/>
      <c r="D97" s="256">
        <f>+'Egresos F. F.'!C173</f>
        <v>0</v>
      </c>
      <c r="E97" s="240"/>
      <c r="F97" s="240"/>
      <c r="G97" s="240"/>
      <c r="H97" s="308">
        <f t="shared" si="1"/>
        <v>0</v>
      </c>
    </row>
    <row r="98" spans="1:8" ht="16.5" x14ac:dyDescent="0.3">
      <c r="A98" s="269">
        <v>55308</v>
      </c>
      <c r="B98" s="252" t="s">
        <v>234</v>
      </c>
      <c r="C98" s="256"/>
      <c r="D98" s="256"/>
      <c r="E98" s="240"/>
      <c r="F98" s="240"/>
      <c r="G98" s="240"/>
      <c r="H98" s="308">
        <f t="shared" si="1"/>
        <v>0</v>
      </c>
    </row>
    <row r="99" spans="1:8" ht="16.5" x14ac:dyDescent="0.3">
      <c r="A99" s="266">
        <v>556</v>
      </c>
      <c r="B99" s="258" t="s">
        <v>235</v>
      </c>
      <c r="C99" s="257">
        <f>SUM(C100:C102)</f>
        <v>300</v>
      </c>
      <c r="D99" s="257">
        <f>SUM(D100:D102)</f>
        <v>18445.48</v>
      </c>
      <c r="E99" s="240"/>
      <c r="F99" s="240"/>
      <c r="G99" s="240"/>
      <c r="H99" s="310">
        <f t="shared" si="1"/>
        <v>18745.48</v>
      </c>
    </row>
    <row r="100" spans="1:8" ht="16.5" x14ac:dyDescent="0.3">
      <c r="A100" s="269">
        <v>55601</v>
      </c>
      <c r="B100" s="252" t="s">
        <v>236</v>
      </c>
      <c r="C100" s="256">
        <f>+[2]Egresos_FF!C73</f>
        <v>0</v>
      </c>
      <c r="D100" s="256">
        <v>12000</v>
      </c>
      <c r="E100" s="240"/>
      <c r="F100" s="240"/>
      <c r="G100" s="240"/>
      <c r="H100" s="308">
        <f t="shared" si="1"/>
        <v>12000</v>
      </c>
    </row>
    <row r="101" spans="1:8" ht="16.5" x14ac:dyDescent="0.3">
      <c r="A101" s="269">
        <v>55602</v>
      </c>
      <c r="B101" s="252" t="s">
        <v>134</v>
      </c>
      <c r="C101" s="256">
        <f>+[2]Egresos_FF!C74</f>
        <v>0</v>
      </c>
      <c r="D101" s="256">
        <v>6000</v>
      </c>
      <c r="E101" s="240"/>
      <c r="F101" s="240"/>
      <c r="G101" s="240"/>
      <c r="H101" s="308">
        <f t="shared" si="1"/>
        <v>6000</v>
      </c>
    </row>
    <row r="102" spans="1:8" ht="16.5" x14ac:dyDescent="0.3">
      <c r="A102" s="269">
        <v>55603</v>
      </c>
      <c r="B102" s="252" t="s">
        <v>237</v>
      </c>
      <c r="C102" s="256">
        <v>300</v>
      </c>
      <c r="D102" s="256">
        <v>445.48</v>
      </c>
      <c r="E102" s="240"/>
      <c r="F102" s="240"/>
      <c r="G102" s="240"/>
      <c r="H102" s="308">
        <f t="shared" si="1"/>
        <v>745.48</v>
      </c>
    </row>
    <row r="103" spans="1:8" ht="16.5" x14ac:dyDescent="0.3">
      <c r="A103" s="266">
        <v>557</v>
      </c>
      <c r="B103" s="258" t="s">
        <v>136</v>
      </c>
      <c r="C103" s="257">
        <f>SUM(C104:C106)</f>
        <v>0</v>
      </c>
      <c r="D103" s="257">
        <f>SUM(D104:D106)</f>
        <v>500</v>
      </c>
      <c r="E103" s="240"/>
      <c r="F103" s="240"/>
      <c r="G103" s="240"/>
      <c r="H103" s="310">
        <f t="shared" si="1"/>
        <v>500</v>
      </c>
    </row>
    <row r="104" spans="1:8" ht="16.5" x14ac:dyDescent="0.3">
      <c r="A104" s="269">
        <v>55701</v>
      </c>
      <c r="B104" s="252" t="s">
        <v>238</v>
      </c>
      <c r="C104" s="256">
        <f>+[2]Egresos_FF!C77</f>
        <v>0</v>
      </c>
      <c r="D104" s="256">
        <f>+[1]Egresos_FF!E169</f>
        <v>0</v>
      </c>
      <c r="E104" s="240"/>
      <c r="F104" s="240"/>
      <c r="G104" s="240"/>
      <c r="H104" s="308">
        <f t="shared" si="1"/>
        <v>0</v>
      </c>
    </row>
    <row r="105" spans="1:8" ht="16.5" x14ac:dyDescent="0.3">
      <c r="A105" s="269">
        <v>55702</v>
      </c>
      <c r="B105" s="252" t="s">
        <v>239</v>
      </c>
      <c r="C105" s="256">
        <f>+[2]Egresos_FF!C78</f>
        <v>0</v>
      </c>
      <c r="D105" s="256">
        <f>+[1]Egresos_FF!E170</f>
        <v>0</v>
      </c>
      <c r="E105" s="240"/>
      <c r="F105" s="240"/>
      <c r="G105" s="240"/>
      <c r="H105" s="308">
        <f t="shared" si="1"/>
        <v>0</v>
      </c>
    </row>
    <row r="106" spans="1:8" ht="16.5" x14ac:dyDescent="0.3">
      <c r="A106" s="269">
        <v>55799</v>
      </c>
      <c r="B106" s="252" t="s">
        <v>137</v>
      </c>
      <c r="C106" s="256">
        <v>0</v>
      </c>
      <c r="D106" s="256">
        <v>500</v>
      </c>
      <c r="E106" s="240"/>
      <c r="F106" s="240"/>
      <c r="G106" s="240"/>
      <c r="H106" s="308">
        <f t="shared" si="1"/>
        <v>500</v>
      </c>
    </row>
    <row r="107" spans="1:8" ht="16.5" x14ac:dyDescent="0.3">
      <c r="A107" s="269"/>
      <c r="B107" s="252"/>
      <c r="C107" s="256"/>
      <c r="D107" s="256"/>
      <c r="E107" s="240"/>
      <c r="F107" s="240"/>
      <c r="G107" s="240"/>
      <c r="H107" s="308"/>
    </row>
    <row r="108" spans="1:8" ht="16.5" x14ac:dyDescent="0.3">
      <c r="A108" s="266">
        <v>56</v>
      </c>
      <c r="B108" s="258" t="s">
        <v>57</v>
      </c>
      <c r="C108" s="257">
        <f>SUM(C109+C112)</f>
        <v>10814.16</v>
      </c>
      <c r="D108" s="257">
        <f>+D109+D112</f>
        <v>7500</v>
      </c>
      <c r="E108" s="240"/>
      <c r="F108" s="240"/>
      <c r="G108" s="240"/>
      <c r="H108" s="310">
        <f t="shared" si="1"/>
        <v>18314.16</v>
      </c>
    </row>
    <row r="109" spans="1:8" ht="16.5" x14ac:dyDescent="0.3">
      <c r="A109" s="266">
        <v>562</v>
      </c>
      <c r="B109" s="258" t="s">
        <v>138</v>
      </c>
      <c r="C109" s="257">
        <f>SUM(C110:C111)</f>
        <v>10814.16</v>
      </c>
      <c r="D109" s="257">
        <f>SUM(D110:D111)</f>
        <v>500</v>
      </c>
      <c r="E109" s="240"/>
      <c r="F109" s="240"/>
      <c r="G109" s="240"/>
      <c r="H109" s="310">
        <f t="shared" si="1"/>
        <v>11314.16</v>
      </c>
    </row>
    <row r="110" spans="1:8" ht="16.5" x14ac:dyDescent="0.3">
      <c r="A110" s="269">
        <v>56201</v>
      </c>
      <c r="B110" s="252" t="s">
        <v>241</v>
      </c>
      <c r="C110" s="256">
        <v>10814.16</v>
      </c>
      <c r="D110" s="256">
        <v>500</v>
      </c>
      <c r="E110" s="240"/>
      <c r="F110" s="240"/>
      <c r="G110" s="240"/>
      <c r="H110" s="308">
        <f t="shared" si="1"/>
        <v>11314.16</v>
      </c>
    </row>
    <row r="111" spans="1:8" ht="16.5" x14ac:dyDescent="0.3">
      <c r="A111" s="269">
        <v>56202</v>
      </c>
      <c r="B111" s="252" t="s">
        <v>253</v>
      </c>
      <c r="C111" s="256">
        <v>0</v>
      </c>
      <c r="D111" s="256">
        <v>0</v>
      </c>
      <c r="E111" s="240"/>
      <c r="F111" s="240"/>
      <c r="G111" s="240"/>
      <c r="H111" s="308">
        <f t="shared" si="1"/>
        <v>0</v>
      </c>
    </row>
    <row r="112" spans="1:8" ht="16.5" x14ac:dyDescent="0.3">
      <c r="A112" s="266">
        <v>563</v>
      </c>
      <c r="B112" s="258" t="s">
        <v>139</v>
      </c>
      <c r="C112" s="257">
        <f>SUM(C113:C114)</f>
        <v>0</v>
      </c>
      <c r="D112" s="257">
        <f>SUM(D113:D115)</f>
        <v>7000</v>
      </c>
      <c r="E112" s="240"/>
      <c r="F112" s="240"/>
      <c r="G112" s="240"/>
      <c r="H112" s="310">
        <f t="shared" si="1"/>
        <v>7000</v>
      </c>
    </row>
    <row r="113" spans="1:8" ht="16.5" x14ac:dyDescent="0.3">
      <c r="A113" s="269">
        <v>56303</v>
      </c>
      <c r="B113" s="252" t="s">
        <v>241</v>
      </c>
      <c r="C113" s="256">
        <v>0</v>
      </c>
      <c r="D113" s="256">
        <v>4000</v>
      </c>
      <c r="E113" s="240"/>
      <c r="F113" s="240"/>
      <c r="G113" s="240"/>
      <c r="H113" s="308">
        <f t="shared" si="1"/>
        <v>4000</v>
      </c>
    </row>
    <row r="114" spans="1:8" ht="16.5" x14ac:dyDescent="0.3">
      <c r="A114" s="269">
        <v>56304</v>
      </c>
      <c r="B114" s="252" t="s">
        <v>141</v>
      </c>
      <c r="C114" s="256">
        <v>0</v>
      </c>
      <c r="D114" s="256">
        <v>3000</v>
      </c>
      <c r="E114" s="240"/>
      <c r="F114" s="240"/>
      <c r="G114" s="240"/>
      <c r="H114" s="308">
        <f t="shared" si="1"/>
        <v>3000</v>
      </c>
    </row>
    <row r="115" spans="1:8" ht="16.5" x14ac:dyDescent="0.3">
      <c r="A115" s="269">
        <v>56305</v>
      </c>
      <c r="B115" s="252" t="s">
        <v>142</v>
      </c>
      <c r="C115" s="256"/>
      <c r="D115" s="256"/>
      <c r="E115" s="240"/>
      <c r="F115" s="240"/>
      <c r="G115" s="240"/>
      <c r="H115" s="308">
        <f t="shared" si="1"/>
        <v>0</v>
      </c>
    </row>
    <row r="116" spans="1:8" ht="16.5" x14ac:dyDescent="0.3">
      <c r="A116" s="269"/>
      <c r="B116" s="252"/>
      <c r="C116" s="256"/>
      <c r="D116" s="256"/>
      <c r="E116" s="240"/>
      <c r="F116" s="240"/>
      <c r="G116" s="240"/>
      <c r="H116" s="308"/>
    </row>
    <row r="117" spans="1:8" ht="16.5" x14ac:dyDescent="0.3">
      <c r="A117" s="309" t="s">
        <v>395</v>
      </c>
      <c r="B117" s="255" t="s">
        <v>143</v>
      </c>
      <c r="C117" s="257">
        <f>+C118</f>
        <v>0</v>
      </c>
      <c r="D117" s="257">
        <f>+D118</f>
        <v>17500</v>
      </c>
      <c r="E117" s="240"/>
      <c r="F117" s="240"/>
      <c r="G117" s="240"/>
      <c r="H117" s="310">
        <f t="shared" si="1"/>
        <v>17500</v>
      </c>
    </row>
    <row r="118" spans="1:8" ht="16.5" x14ac:dyDescent="0.3">
      <c r="A118" s="309" t="s">
        <v>396</v>
      </c>
      <c r="B118" s="255" t="s">
        <v>144</v>
      </c>
      <c r="C118" s="257">
        <f>SUM(C119:C127)</f>
        <v>0</v>
      </c>
      <c r="D118" s="257">
        <f>SUM(D119:D127)</f>
        <v>17500</v>
      </c>
      <c r="E118" s="240"/>
      <c r="F118" s="240"/>
      <c r="G118" s="240"/>
      <c r="H118" s="310">
        <f t="shared" si="1"/>
        <v>17500</v>
      </c>
    </row>
    <row r="119" spans="1:8" ht="16.5" x14ac:dyDescent="0.3">
      <c r="A119" s="307" t="s">
        <v>397</v>
      </c>
      <c r="B119" s="247" t="s">
        <v>398</v>
      </c>
      <c r="C119" s="256">
        <v>0</v>
      </c>
      <c r="D119" s="256">
        <v>12500</v>
      </c>
      <c r="E119" s="240"/>
      <c r="F119" s="240"/>
      <c r="G119" s="240"/>
      <c r="H119" s="308">
        <f t="shared" si="1"/>
        <v>12500</v>
      </c>
    </row>
    <row r="120" spans="1:8" ht="16.5" x14ac:dyDescent="0.3">
      <c r="A120" s="307" t="s">
        <v>399</v>
      </c>
      <c r="B120" s="247" t="s">
        <v>400</v>
      </c>
      <c r="C120" s="256">
        <v>0</v>
      </c>
      <c r="D120" s="256">
        <v>3000</v>
      </c>
      <c r="E120" s="240"/>
      <c r="F120" s="240"/>
      <c r="G120" s="240"/>
      <c r="H120" s="308">
        <f t="shared" si="1"/>
        <v>3000</v>
      </c>
    </row>
    <row r="121" spans="1:8" ht="16.5" x14ac:dyDescent="0.3">
      <c r="A121" s="307" t="s">
        <v>401</v>
      </c>
      <c r="B121" s="247" t="s">
        <v>402</v>
      </c>
      <c r="C121" s="256">
        <v>0</v>
      </c>
      <c r="D121" s="256"/>
      <c r="E121" s="240"/>
      <c r="F121" s="240"/>
      <c r="G121" s="240"/>
      <c r="H121" s="308">
        <f t="shared" si="1"/>
        <v>0</v>
      </c>
    </row>
    <row r="122" spans="1:8" ht="16.5" x14ac:dyDescent="0.3">
      <c r="A122" s="307" t="s">
        <v>403</v>
      </c>
      <c r="B122" s="247" t="s">
        <v>147</v>
      </c>
      <c r="C122" s="256">
        <v>0</v>
      </c>
      <c r="D122" s="256">
        <v>2000</v>
      </c>
      <c r="E122" s="240"/>
      <c r="F122" s="240"/>
      <c r="G122" s="240"/>
      <c r="H122" s="308">
        <f t="shared" si="1"/>
        <v>2000</v>
      </c>
    </row>
    <row r="123" spans="1:8" ht="16.5" x14ac:dyDescent="0.3">
      <c r="A123" s="307" t="s">
        <v>404</v>
      </c>
      <c r="B123" s="247" t="s">
        <v>163</v>
      </c>
      <c r="C123" s="256">
        <v>0</v>
      </c>
      <c r="D123" s="256">
        <v>0</v>
      </c>
      <c r="E123" s="240"/>
      <c r="F123" s="240"/>
      <c r="G123" s="240"/>
      <c r="H123" s="308">
        <f t="shared" si="1"/>
        <v>0</v>
      </c>
    </row>
    <row r="124" spans="1:8" ht="16.5" x14ac:dyDescent="0.3">
      <c r="A124" s="307" t="s">
        <v>405</v>
      </c>
      <c r="B124" s="247" t="s">
        <v>406</v>
      </c>
      <c r="C124" s="256">
        <v>0</v>
      </c>
      <c r="D124" s="256">
        <v>0</v>
      </c>
      <c r="E124" s="240"/>
      <c r="F124" s="240"/>
      <c r="G124" s="240"/>
      <c r="H124" s="308">
        <f t="shared" si="1"/>
        <v>0</v>
      </c>
    </row>
    <row r="125" spans="1:8" ht="16.5" x14ac:dyDescent="0.3">
      <c r="A125" s="307" t="s">
        <v>407</v>
      </c>
      <c r="B125" s="247" t="s">
        <v>408</v>
      </c>
      <c r="C125" s="256">
        <v>0</v>
      </c>
      <c r="D125" s="256">
        <v>0</v>
      </c>
      <c r="E125" s="240"/>
      <c r="F125" s="240"/>
      <c r="G125" s="240"/>
      <c r="H125" s="308">
        <f t="shared" si="1"/>
        <v>0</v>
      </c>
    </row>
    <row r="126" spans="1:8" ht="16.5" x14ac:dyDescent="0.3">
      <c r="A126" s="307" t="s">
        <v>409</v>
      </c>
      <c r="B126" s="247" t="s">
        <v>410</v>
      </c>
      <c r="C126" s="256">
        <v>0</v>
      </c>
      <c r="D126" s="256">
        <v>0</v>
      </c>
      <c r="E126" s="240"/>
      <c r="F126" s="240"/>
      <c r="G126" s="240"/>
      <c r="H126" s="308">
        <f t="shared" si="1"/>
        <v>0</v>
      </c>
    </row>
    <row r="127" spans="1:8" ht="16.5" x14ac:dyDescent="0.3">
      <c r="A127" s="269">
        <v>61599</v>
      </c>
      <c r="B127" s="252" t="s">
        <v>411</v>
      </c>
      <c r="C127" s="256"/>
      <c r="D127" s="256"/>
      <c r="E127" s="240"/>
      <c r="F127" s="240"/>
      <c r="G127" s="240"/>
      <c r="H127" s="308"/>
    </row>
    <row r="128" spans="1:8" ht="16.5" x14ac:dyDescent="0.3">
      <c r="A128" s="269"/>
      <c r="B128" s="252"/>
      <c r="C128" s="256"/>
      <c r="D128" s="256"/>
      <c r="E128" s="240"/>
      <c r="F128" s="240"/>
      <c r="G128" s="240"/>
      <c r="H128" s="308"/>
    </row>
    <row r="129" spans="1:8" ht="16.5" x14ac:dyDescent="0.3">
      <c r="A129" s="266">
        <v>72</v>
      </c>
      <c r="B129" s="258" t="s">
        <v>182</v>
      </c>
      <c r="C129" s="257">
        <f>+C130</f>
        <v>0</v>
      </c>
      <c r="D129" s="257">
        <f>+D130</f>
        <v>0</v>
      </c>
      <c r="E129" s="240"/>
      <c r="F129" s="240"/>
      <c r="G129" s="240"/>
      <c r="H129" s="310">
        <f t="shared" si="1"/>
        <v>0</v>
      </c>
    </row>
    <row r="130" spans="1:8" ht="16.5" x14ac:dyDescent="0.3">
      <c r="A130" s="266">
        <v>721</v>
      </c>
      <c r="B130" s="258" t="s">
        <v>412</v>
      </c>
      <c r="C130" s="257">
        <f>+C131</f>
        <v>0</v>
      </c>
      <c r="D130" s="257">
        <f>+D131</f>
        <v>0</v>
      </c>
      <c r="E130" s="240"/>
      <c r="F130" s="240"/>
      <c r="G130" s="240"/>
      <c r="H130" s="310">
        <f t="shared" si="1"/>
        <v>0</v>
      </c>
    </row>
    <row r="131" spans="1:8" ht="16.5" x14ac:dyDescent="0.3">
      <c r="A131" s="269">
        <v>72101</v>
      </c>
      <c r="B131" s="252" t="s">
        <v>412</v>
      </c>
      <c r="C131" s="256">
        <v>0</v>
      </c>
      <c r="D131" s="256">
        <v>0</v>
      </c>
      <c r="E131" s="240"/>
      <c r="F131" s="240"/>
      <c r="G131" s="240"/>
      <c r="H131" s="308">
        <f t="shared" si="1"/>
        <v>0</v>
      </c>
    </row>
    <row r="132" spans="1:8" ht="16.5" x14ac:dyDescent="0.3">
      <c r="A132" s="269"/>
      <c r="B132" s="252"/>
      <c r="C132" s="256"/>
      <c r="D132" s="256"/>
      <c r="E132" s="240"/>
      <c r="F132" s="240"/>
      <c r="G132" s="240"/>
      <c r="H132" s="308"/>
    </row>
    <row r="133" spans="1:8" ht="16.5" x14ac:dyDescent="0.3">
      <c r="A133" s="266">
        <v>99</v>
      </c>
      <c r="B133" s="258" t="s">
        <v>413</v>
      </c>
      <c r="C133" s="257">
        <f>+C134</f>
        <v>0</v>
      </c>
      <c r="D133" s="257">
        <f>+D134</f>
        <v>0</v>
      </c>
      <c r="E133" s="240"/>
      <c r="F133" s="240"/>
      <c r="G133" s="240"/>
      <c r="H133" s="310">
        <f t="shared" si="1"/>
        <v>0</v>
      </c>
    </row>
    <row r="134" spans="1:8" ht="16.5" x14ac:dyDescent="0.3">
      <c r="A134" s="266">
        <v>991</v>
      </c>
      <c r="B134" s="258" t="s">
        <v>414</v>
      </c>
      <c r="C134" s="257">
        <f>+C135</f>
        <v>0</v>
      </c>
      <c r="D134" s="257">
        <f>+D135</f>
        <v>0</v>
      </c>
      <c r="E134" s="240"/>
      <c r="F134" s="240"/>
      <c r="G134" s="240"/>
      <c r="H134" s="310">
        <f t="shared" si="1"/>
        <v>0</v>
      </c>
    </row>
    <row r="135" spans="1:8" ht="17.25" thickBot="1" x14ac:dyDescent="0.35">
      <c r="A135" s="311">
        <v>99101</v>
      </c>
      <c r="B135" s="312" t="s">
        <v>414</v>
      </c>
      <c r="C135" s="313">
        <v>0</v>
      </c>
      <c r="D135" s="313">
        <v>0</v>
      </c>
      <c r="E135" s="314"/>
      <c r="F135" s="314"/>
      <c r="G135" s="314"/>
      <c r="H135" s="315">
        <f t="shared" si="1"/>
        <v>0</v>
      </c>
    </row>
    <row r="136" spans="1:8" ht="17.25" thickBot="1" x14ac:dyDescent="0.35">
      <c r="A136" s="60"/>
      <c r="B136" s="118" t="s">
        <v>67</v>
      </c>
      <c r="C136" s="316">
        <f>+C11+C33+C93+C108+C117+C129+C133</f>
        <v>465402.8</v>
      </c>
      <c r="D136" s="316">
        <f>+D11+D33+D93+D108+D117+D129+D133</f>
        <v>1963157.1699999997</v>
      </c>
      <c r="E136" s="316">
        <f>+E133+E129+E117+E108+E93+E33+E11</f>
        <v>0</v>
      </c>
      <c r="F136" s="316">
        <f>+F133+F129+F117+F108+F93+F33+F11</f>
        <v>0</v>
      </c>
      <c r="G136" s="316">
        <f>+G133+G129+G117+G108+G93+G33+G11</f>
        <v>0</v>
      </c>
      <c r="H136" s="317">
        <f>SUM(C136:G136)</f>
        <v>2428559.9699999997</v>
      </c>
    </row>
    <row r="137" spans="1:8" ht="16.5" x14ac:dyDescent="0.3">
      <c r="A137" s="1"/>
      <c r="B137" s="1"/>
      <c r="C137" s="1"/>
      <c r="D137" s="1"/>
      <c r="E137" s="1"/>
      <c r="F137" s="1"/>
      <c r="G137" s="1"/>
      <c r="H137" s="1"/>
    </row>
    <row r="138" spans="1:8" ht="16.5" x14ac:dyDescent="0.3">
      <c r="A138" s="1"/>
      <c r="B138" s="1"/>
      <c r="C138" s="1"/>
      <c r="D138" s="1"/>
      <c r="E138" s="1"/>
      <c r="F138" s="1"/>
      <c r="G138" s="1"/>
      <c r="H138" s="1"/>
    </row>
    <row r="139" spans="1:8" ht="16.5" x14ac:dyDescent="0.3">
      <c r="A139" s="1"/>
      <c r="B139" s="1"/>
      <c r="C139" s="1"/>
      <c r="D139" s="1"/>
      <c r="E139" s="1"/>
      <c r="F139" s="1"/>
      <c r="G139" s="1"/>
      <c r="H139" s="1"/>
    </row>
    <row r="140" spans="1:8" ht="16.5" x14ac:dyDescent="0.3">
      <c r="A140" s="1"/>
      <c r="B140" s="1"/>
      <c r="C140" s="1"/>
      <c r="D140" s="1"/>
      <c r="E140" s="1"/>
      <c r="F140" s="1"/>
      <c r="G140" s="1"/>
      <c r="H140" s="1"/>
    </row>
    <row r="141" spans="1:8" ht="16.5" x14ac:dyDescent="0.3">
      <c r="A141" s="1"/>
      <c r="B141" s="1"/>
      <c r="C141" s="1"/>
      <c r="D141" s="1"/>
      <c r="E141" s="1"/>
      <c r="F141" s="1"/>
      <c r="G141" s="1"/>
      <c r="H141" s="1"/>
    </row>
    <row r="142" spans="1:8" ht="16.5" x14ac:dyDescent="0.3">
      <c r="A142" s="1"/>
      <c r="B142" s="1"/>
      <c r="C142" s="1"/>
      <c r="D142" s="1"/>
      <c r="E142" s="1"/>
      <c r="F142" s="1"/>
      <c r="G142" s="1"/>
      <c r="H142" s="1"/>
    </row>
    <row r="143" spans="1:8" ht="16.5" x14ac:dyDescent="0.3">
      <c r="A143" s="1"/>
      <c r="B143" s="1"/>
      <c r="C143" s="1"/>
      <c r="D143" s="1"/>
      <c r="E143" s="1"/>
      <c r="F143" s="1"/>
      <c r="G143" s="1"/>
      <c r="H143" s="1"/>
    </row>
    <row r="144" spans="1:8" ht="16.5" x14ac:dyDescent="0.3">
      <c r="A144" s="1"/>
      <c r="B144" s="1"/>
      <c r="C144" s="1"/>
      <c r="D144" s="1"/>
      <c r="E144" s="1"/>
      <c r="F144" s="1"/>
      <c r="G144" s="1"/>
      <c r="H144" s="1"/>
    </row>
    <row r="145" spans="1:8" ht="16.5" x14ac:dyDescent="0.3">
      <c r="A145" s="1"/>
      <c r="B145" s="1"/>
      <c r="C145" s="1"/>
      <c r="D145" s="1"/>
      <c r="E145" s="1"/>
      <c r="F145" s="1"/>
      <c r="G145" s="1"/>
      <c r="H145" s="1"/>
    </row>
    <row r="146" spans="1:8" ht="16.5" x14ac:dyDescent="0.3">
      <c r="A146" s="1"/>
      <c r="B146" s="1"/>
      <c r="C146" s="1"/>
      <c r="D146" s="1"/>
      <c r="E146" s="1"/>
      <c r="F146" s="1"/>
      <c r="G146" s="1"/>
      <c r="H146" s="1"/>
    </row>
    <row r="147" spans="1:8" ht="16.5" x14ac:dyDescent="0.3">
      <c r="A147" s="1"/>
      <c r="B147" s="1"/>
      <c r="C147" s="1"/>
      <c r="D147" s="1"/>
      <c r="E147" s="1"/>
      <c r="F147" s="1"/>
      <c r="G147" s="1"/>
      <c r="H147" s="1"/>
    </row>
    <row r="148" spans="1:8" ht="16.5" x14ac:dyDescent="0.3">
      <c r="A148" s="1"/>
      <c r="B148" s="1"/>
      <c r="C148" s="1"/>
      <c r="D148" s="1"/>
      <c r="E148" s="1"/>
      <c r="F148" s="1"/>
      <c r="G148" s="1"/>
      <c r="H148" s="1"/>
    </row>
    <row r="149" spans="1:8" ht="16.5" x14ac:dyDescent="0.3">
      <c r="A149" s="1"/>
      <c r="B149" s="1"/>
      <c r="C149" s="1"/>
      <c r="D149" s="1"/>
      <c r="E149" s="1"/>
      <c r="F149" s="1"/>
      <c r="G149" s="1"/>
      <c r="H149" s="1"/>
    </row>
    <row r="150" spans="1:8" ht="16.5" x14ac:dyDescent="0.3">
      <c r="A150" s="1"/>
      <c r="B150" s="1"/>
      <c r="C150" s="1"/>
      <c r="D150" s="1"/>
      <c r="E150" s="1"/>
      <c r="F150" s="1"/>
      <c r="G150" s="1"/>
      <c r="H150" s="1"/>
    </row>
    <row r="151" spans="1:8" ht="16.5" x14ac:dyDescent="0.3">
      <c r="A151" s="1"/>
      <c r="B151" s="1"/>
      <c r="C151" s="1"/>
      <c r="D151" s="1"/>
      <c r="E151" s="1"/>
      <c r="F151" s="1"/>
      <c r="G151" s="1"/>
      <c r="H151" s="1"/>
    </row>
    <row r="152" spans="1:8" ht="16.5" x14ac:dyDescent="0.3">
      <c r="A152" s="1"/>
      <c r="B152" s="1"/>
      <c r="C152" s="1"/>
      <c r="D152" s="1"/>
      <c r="E152" s="1"/>
      <c r="F152" s="1"/>
      <c r="G152" s="1"/>
      <c r="H152" s="1"/>
    </row>
  </sheetData>
  <mergeCells count="6">
    <mergeCell ref="A1:H1"/>
    <mergeCell ref="A2:H2"/>
    <mergeCell ref="A3:H3"/>
    <mergeCell ref="A9:B9"/>
    <mergeCell ref="C9:G9"/>
    <mergeCell ref="H9:H10"/>
  </mergeCells>
  <pageMargins left="0.70866141732283472" right="0.70866141732283472" top="0.74803149606299213" bottom="0.74803149606299213" header="0.31496062992125984" footer="0.31496062992125984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Estruct. Presupuestaria</vt:lpstr>
      <vt:lpstr>Ingresos</vt:lpstr>
      <vt:lpstr>Ingresos F.F.</vt:lpstr>
      <vt:lpstr>Saldo en Bancos </vt:lpstr>
      <vt:lpstr>Egresos F. F.</vt:lpstr>
      <vt:lpstr>Egresos</vt:lpstr>
      <vt:lpstr>Hoja5</vt:lpstr>
      <vt:lpstr>Endeudamiento </vt:lpstr>
      <vt:lpstr>Remuneraciones</vt:lpstr>
      <vt:lpstr>Proy. Inv. Econ.</vt:lpstr>
      <vt:lpstr>Proy. Inv. Soc.</vt:lpstr>
      <vt:lpstr>Centro Respons.</vt:lpstr>
      <vt:lpstr>CONSOLIDADO</vt:lpstr>
      <vt:lpstr>Hoja4</vt:lpstr>
      <vt:lpstr>RESUMEN 1</vt:lpstr>
      <vt:lpstr>RESUMEN 2</vt:lpstr>
      <vt:lpstr>RESUMEN 3</vt:lpstr>
      <vt:lpstr>RESUMEN 4</vt:lpstr>
      <vt:lpstr>RESUMEN 5</vt:lpstr>
      <vt:lpstr>Proy.Ingresos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Rocio</cp:lastModifiedBy>
  <cp:lastPrinted>2020-02-26T15:19:21Z</cp:lastPrinted>
  <dcterms:created xsi:type="dcterms:W3CDTF">2014-12-02T16:26:19Z</dcterms:created>
  <dcterms:modified xsi:type="dcterms:W3CDTF">2021-03-08T16:14:44Z</dcterms:modified>
</cp:coreProperties>
</file>