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125" yWindow="-345" windowWidth="15480" windowHeight="8355" tabRatio="601" firstSheet="5" activeTab="5"/>
  </bookViews>
  <sheets>
    <sheet name="Presup Tcho 1.8" sheetId="35" r:id="rId1"/>
    <sheet name="P E P" sheetId="31" r:id="rId2"/>
    <sheet name="AFUP # 2" sheetId="36" r:id="rId3"/>
    <sheet name="Presup x Area" sheetId="24" r:id="rId4"/>
    <sheet name="Mensualizado" sheetId="23" r:id="rId5"/>
    <sheet name="Hoja1" sheetId="37" r:id="rId6"/>
    <sheet name="Hoja2" sheetId="38" r:id="rId7"/>
  </sheets>
  <definedNames>
    <definedName name="_xlnm.Print_Area" localSheetId="2">'AFUP # 2'!$A$1:$M$68</definedName>
    <definedName name="_xlnm.Print_Area" localSheetId="4">Mensualizado!$A$1:$O$118</definedName>
    <definedName name="_xlnm.Print_Area" localSheetId="1">'P E P'!$A$1:$O$117</definedName>
    <definedName name="_xlnm.Print_Area" localSheetId="0">'Presup Tcho 1.8'!$A$1:$E$120</definedName>
    <definedName name="_xlnm.Print_Area" localSheetId="3">'Presup x Area'!$A$1:$H$122</definedName>
    <definedName name="_xlnm.Print_Titles" localSheetId="4">Mensualizado!$6:$7</definedName>
    <definedName name="_xlnm.Print_Titles" localSheetId="1">'P E P'!$6:$7</definedName>
    <definedName name="_xlnm.Print_Titles" localSheetId="0">'Presup Tcho 1.8'!$1:$6</definedName>
    <definedName name="_xlnm.Print_Titles" localSheetId="3">'Presup x Area'!$1:$6</definedName>
  </definedNames>
  <calcPr calcId="125725"/>
</workbook>
</file>

<file path=xl/calcChain.xml><?xml version="1.0" encoding="utf-8"?>
<calcChain xmlns="http://schemas.openxmlformats.org/spreadsheetml/2006/main">
  <c r="C20" i="37"/>
  <c r="H77" i="36"/>
  <c r="H76"/>
  <c r="H75"/>
  <c r="H74"/>
  <c r="H73"/>
  <c r="H72"/>
  <c r="D17" i="31"/>
  <c r="N17" s="1"/>
  <c r="S26" i="35" s="1"/>
  <c r="R73"/>
  <c r="T43"/>
  <c r="M37" i="31"/>
  <c r="I37"/>
  <c r="F37"/>
  <c r="E73" i="35"/>
  <c r="E74" s="1"/>
  <c r="E11" s="1"/>
  <c r="I27"/>
  <c r="J27"/>
  <c r="K27"/>
  <c r="L27"/>
  <c r="H18" i="31"/>
  <c r="M27" i="35"/>
  <c r="I18" i="31"/>
  <c r="N27" i="35"/>
  <c r="J18" i="31"/>
  <c r="O27" i="35"/>
  <c r="K18" i="31"/>
  <c r="P27" i="35"/>
  <c r="Q27"/>
  <c r="R27"/>
  <c r="S27"/>
  <c r="T27"/>
  <c r="G27"/>
  <c r="I26"/>
  <c r="E17" i="31"/>
  <c r="J26" i="35"/>
  <c r="F17" i="31"/>
  <c r="K26" i="35"/>
  <c r="G17" i="31"/>
  <c r="L26" i="35"/>
  <c r="H17" i="31"/>
  <c r="M26" i="35"/>
  <c r="I17" i="31"/>
  <c r="N26" i="35"/>
  <c r="J17" i="31"/>
  <c r="O26" i="35"/>
  <c r="K17" i="31"/>
  <c r="P26" i="35"/>
  <c r="L17" i="31"/>
  <c r="Q26" i="35"/>
  <c r="M17" i="31"/>
  <c r="R26" i="35"/>
  <c r="O17" i="31"/>
  <c r="T26" i="35"/>
  <c r="G26"/>
  <c r="I25"/>
  <c r="E16" i="31"/>
  <c r="J25" i="35"/>
  <c r="F16" i="31"/>
  <c r="K25" i="35"/>
  <c r="G16" i="31"/>
  <c r="L25" i="35"/>
  <c r="H16" i="31"/>
  <c r="M25" i="35"/>
  <c r="I16" i="31"/>
  <c r="N25" i="35"/>
  <c r="J16" i="31"/>
  <c r="O25" i="35"/>
  <c r="K16" i="31"/>
  <c r="P25" i="35"/>
  <c r="L16" i="31"/>
  <c r="Q25" i="35"/>
  <c r="M16" i="31"/>
  <c r="R25" i="35"/>
  <c r="N16" i="31"/>
  <c r="S25" i="35"/>
  <c r="O16" i="31"/>
  <c r="T25" i="35"/>
  <c r="G25"/>
  <c r="J24"/>
  <c r="K24"/>
  <c r="L24"/>
  <c r="M24"/>
  <c r="I14" i="31"/>
  <c r="N24" i="35" s="1"/>
  <c r="O24"/>
  <c r="P24"/>
  <c r="Q24"/>
  <c r="R24"/>
  <c r="S24"/>
  <c r="O14" i="31"/>
  <c r="T24" i="35" s="1"/>
  <c r="G24"/>
  <c r="I23"/>
  <c r="J23"/>
  <c r="F13" i="31"/>
  <c r="K23" i="35" s="1"/>
  <c r="L23"/>
  <c r="M23"/>
  <c r="I13" i="31"/>
  <c r="N23" i="35" s="1"/>
  <c r="O23"/>
  <c r="P23"/>
  <c r="L13" i="31"/>
  <c r="Q23" i="35" s="1"/>
  <c r="R23"/>
  <c r="S23"/>
  <c r="O13" i="31"/>
  <c r="T23" i="35" s="1"/>
  <c r="G23"/>
  <c r="I22"/>
  <c r="E12" i="31"/>
  <c r="J22" i="35" s="1"/>
  <c r="F12" i="31"/>
  <c r="K22" i="35" s="1"/>
  <c r="G12" i="31"/>
  <c r="L22" i="35" s="1"/>
  <c r="H12" i="31"/>
  <c r="M22" i="35" s="1"/>
  <c r="I12" i="31"/>
  <c r="N22" i="35" s="1"/>
  <c r="J12" i="31"/>
  <c r="O22" i="35" s="1"/>
  <c r="K12" i="31"/>
  <c r="P22" i="35" s="1"/>
  <c r="L12" i="31"/>
  <c r="Q22" i="35" s="1"/>
  <c r="M12" i="31"/>
  <c r="R22" i="35" s="1"/>
  <c r="N12" i="31"/>
  <c r="S22" i="35" s="1"/>
  <c r="O12" i="31"/>
  <c r="T22" i="35" s="1"/>
  <c r="G22"/>
  <c r="D11" i="31"/>
  <c r="I21" i="35"/>
  <c r="E11" i="31"/>
  <c r="J21" i="35"/>
  <c r="F11" i="31"/>
  <c r="K21" i="35" s="1"/>
  <c r="G11" i="31"/>
  <c r="L21" i="35" s="1"/>
  <c r="H11" i="31"/>
  <c r="M21" i="35" s="1"/>
  <c r="I11" i="31"/>
  <c r="N21" i="35" s="1"/>
  <c r="J11" i="31"/>
  <c r="O21" i="35" s="1"/>
  <c r="K11" i="31"/>
  <c r="P21" i="35"/>
  <c r="L11" i="31"/>
  <c r="Q21" i="35" s="1"/>
  <c r="M11" i="31"/>
  <c r="R21" i="35" s="1"/>
  <c r="N11" i="31"/>
  <c r="S21" i="35" s="1"/>
  <c r="O11" i="31"/>
  <c r="T21" i="35" s="1"/>
  <c r="I32"/>
  <c r="J32"/>
  <c r="L32"/>
  <c r="M32"/>
  <c r="N32"/>
  <c r="O32"/>
  <c r="P32"/>
  <c r="Q32"/>
  <c r="R32"/>
  <c r="S32"/>
  <c r="T32"/>
  <c r="E33"/>
  <c r="I34"/>
  <c r="J34"/>
  <c r="K34"/>
  <c r="M34"/>
  <c r="N34"/>
  <c r="O34"/>
  <c r="P34"/>
  <c r="Q34"/>
  <c r="R34"/>
  <c r="S34"/>
  <c r="T34"/>
  <c r="I35"/>
  <c r="J35"/>
  <c r="K35"/>
  <c r="L35"/>
  <c r="M35"/>
  <c r="N35"/>
  <c r="O35"/>
  <c r="P35"/>
  <c r="Q35"/>
  <c r="R35"/>
  <c r="S35"/>
  <c r="T35"/>
  <c r="I36"/>
  <c r="J36"/>
  <c r="K36"/>
  <c r="M36"/>
  <c r="N36"/>
  <c r="O36"/>
  <c r="P36"/>
  <c r="Q36"/>
  <c r="R36"/>
  <c r="S36"/>
  <c r="T36"/>
  <c r="I37"/>
  <c r="J37"/>
  <c r="M37"/>
  <c r="N37"/>
  <c r="O37"/>
  <c r="P37"/>
  <c r="Q37"/>
  <c r="R37"/>
  <c r="S37"/>
  <c r="T37"/>
  <c r="I42"/>
  <c r="J42"/>
  <c r="K42"/>
  <c r="L42"/>
  <c r="M42"/>
  <c r="N42"/>
  <c r="O42"/>
  <c r="P42"/>
  <c r="Q42"/>
  <c r="T42"/>
  <c r="I43"/>
  <c r="J43"/>
  <c r="K43"/>
  <c r="M43"/>
  <c r="P43"/>
  <c r="R43"/>
  <c r="S43"/>
  <c r="I44"/>
  <c r="J44"/>
  <c r="K44"/>
  <c r="M44"/>
  <c r="N44"/>
  <c r="O44"/>
  <c r="P44"/>
  <c r="R44"/>
  <c r="I45"/>
  <c r="J45"/>
  <c r="K45"/>
  <c r="L45"/>
  <c r="M45"/>
  <c r="N45"/>
  <c r="O45"/>
  <c r="P45"/>
  <c r="R45"/>
  <c r="S45"/>
  <c r="T45"/>
  <c r="M110"/>
  <c r="N110"/>
  <c r="E110" s="1"/>
  <c r="K111"/>
  <c r="O111"/>
  <c r="O120" s="1"/>
  <c r="L78"/>
  <c r="P78"/>
  <c r="Q78"/>
  <c r="R78"/>
  <c r="T78"/>
  <c r="I79"/>
  <c r="J79"/>
  <c r="L79"/>
  <c r="N79"/>
  <c r="O79"/>
  <c r="P79"/>
  <c r="Q79"/>
  <c r="R79"/>
  <c r="S79"/>
  <c r="T79"/>
  <c r="P80"/>
  <c r="Q80"/>
  <c r="E81"/>
  <c r="I82"/>
  <c r="J82"/>
  <c r="L82"/>
  <c r="M82"/>
  <c r="N82"/>
  <c r="O82"/>
  <c r="P82"/>
  <c r="R82"/>
  <c r="T82"/>
  <c r="L83"/>
  <c r="N83"/>
  <c r="P83"/>
  <c r="I84"/>
  <c r="L84"/>
  <c r="N84"/>
  <c r="O84"/>
  <c r="Q84"/>
  <c r="R84"/>
  <c r="S84"/>
  <c r="T84"/>
  <c r="I85"/>
  <c r="L85"/>
  <c r="M85"/>
  <c r="O85"/>
  <c r="P85"/>
  <c r="Q85"/>
  <c r="R85"/>
  <c r="S85"/>
  <c r="T85"/>
  <c r="I86"/>
  <c r="J86"/>
  <c r="L86"/>
  <c r="M86"/>
  <c r="N86"/>
  <c r="O86"/>
  <c r="P86"/>
  <c r="R86"/>
  <c r="T86"/>
  <c r="I87"/>
  <c r="J87"/>
  <c r="L87"/>
  <c r="M87"/>
  <c r="N87"/>
  <c r="O87"/>
  <c r="P87"/>
  <c r="R87"/>
  <c r="S87"/>
  <c r="I88"/>
  <c r="L88"/>
  <c r="M88"/>
  <c r="N88"/>
  <c r="P88"/>
  <c r="Q88"/>
  <c r="T88"/>
  <c r="E89"/>
  <c r="I90"/>
  <c r="L90"/>
  <c r="I91"/>
  <c r="J91"/>
  <c r="L91"/>
  <c r="M91"/>
  <c r="N91"/>
  <c r="Q91"/>
  <c r="R91"/>
  <c r="S91"/>
  <c r="J92"/>
  <c r="Q92"/>
  <c r="R92"/>
  <c r="S92"/>
  <c r="T92"/>
  <c r="I93"/>
  <c r="P93"/>
  <c r="I94"/>
  <c r="L94"/>
  <c r="M94"/>
  <c r="N94"/>
  <c r="P94"/>
  <c r="Q94"/>
  <c r="R94"/>
  <c r="S94"/>
  <c r="T94"/>
  <c r="I95"/>
  <c r="J95"/>
  <c r="L95"/>
  <c r="N95"/>
  <c r="O95"/>
  <c r="P95"/>
  <c r="Q95"/>
  <c r="R95"/>
  <c r="S95"/>
  <c r="T95"/>
  <c r="O96"/>
  <c r="P96"/>
  <c r="Q96"/>
  <c r="S96"/>
  <c r="T96"/>
  <c r="I97"/>
  <c r="J97"/>
  <c r="K97"/>
  <c r="L97"/>
  <c r="M97"/>
  <c r="N97"/>
  <c r="O97"/>
  <c r="P97"/>
  <c r="Q97"/>
  <c r="R97"/>
  <c r="S97"/>
  <c r="T97"/>
  <c r="J98"/>
  <c r="K98"/>
  <c r="L98"/>
  <c r="M98"/>
  <c r="N98"/>
  <c r="O98"/>
  <c r="P98"/>
  <c r="Q98"/>
  <c r="R98"/>
  <c r="S98"/>
  <c r="T98"/>
  <c r="E99"/>
  <c r="E100"/>
  <c r="I101"/>
  <c r="K101"/>
  <c r="L101"/>
  <c r="M101"/>
  <c r="N101"/>
  <c r="O101"/>
  <c r="Q101"/>
  <c r="R101"/>
  <c r="T101"/>
  <c r="L102"/>
  <c r="O102"/>
  <c r="E102" s="1"/>
  <c r="I103"/>
  <c r="J103"/>
  <c r="K103"/>
  <c r="L103"/>
  <c r="M103"/>
  <c r="N103"/>
  <c r="O103"/>
  <c r="P103"/>
  <c r="Q103"/>
  <c r="R103"/>
  <c r="S103"/>
  <c r="T103"/>
  <c r="I104"/>
  <c r="J104"/>
  <c r="L104"/>
  <c r="N104"/>
  <c r="O104"/>
  <c r="P104"/>
  <c r="Q104"/>
  <c r="R104"/>
  <c r="T104"/>
  <c r="I105"/>
  <c r="J105"/>
  <c r="K105"/>
  <c r="L105"/>
  <c r="M105"/>
  <c r="N105"/>
  <c r="O105"/>
  <c r="P105"/>
  <c r="Q105"/>
  <c r="R105"/>
  <c r="S105"/>
  <c r="T105"/>
  <c r="I106"/>
  <c r="L106"/>
  <c r="M106"/>
  <c r="N106"/>
  <c r="O106"/>
  <c r="P106"/>
  <c r="Q106"/>
  <c r="S106"/>
  <c r="T106"/>
  <c r="I68"/>
  <c r="J68"/>
  <c r="K68"/>
  <c r="L68"/>
  <c r="L70" s="1"/>
  <c r="N68"/>
  <c r="O68"/>
  <c r="O70" s="1"/>
  <c r="P68"/>
  <c r="Q68"/>
  <c r="Q70" s="1"/>
  <c r="R68"/>
  <c r="S68"/>
  <c r="S70" s="1"/>
  <c r="T68"/>
  <c r="L61"/>
  <c r="M61"/>
  <c r="O61"/>
  <c r="P61"/>
  <c r="T61"/>
  <c r="T64" s="1"/>
  <c r="K62"/>
  <c r="L62"/>
  <c r="O62"/>
  <c r="P62"/>
  <c r="R62"/>
  <c r="S62"/>
  <c r="S64" s="1"/>
  <c r="I50"/>
  <c r="M50"/>
  <c r="I51"/>
  <c r="J51"/>
  <c r="P51"/>
  <c r="S51"/>
  <c r="I52"/>
  <c r="J52"/>
  <c r="I53"/>
  <c r="P53"/>
  <c r="P54"/>
  <c r="R54"/>
  <c r="R57" s="1"/>
  <c r="S54"/>
  <c r="M55"/>
  <c r="E55" s="1"/>
  <c r="I56"/>
  <c r="J56"/>
  <c r="L56"/>
  <c r="O56"/>
  <c r="O57" s="1"/>
  <c r="R56"/>
  <c r="T56"/>
  <c r="T57" s="1"/>
  <c r="M23" i="36"/>
  <c r="E63"/>
  <c r="I18"/>
  <c r="K18" s="1"/>
  <c r="L18"/>
  <c r="M18" s="1"/>
  <c r="O18"/>
  <c r="R18"/>
  <c r="S18"/>
  <c r="T18"/>
  <c r="I19"/>
  <c r="K19"/>
  <c r="L19"/>
  <c r="M19"/>
  <c r="O19"/>
  <c r="P19"/>
  <c r="R19"/>
  <c r="S19"/>
  <c r="T19" s="1"/>
  <c r="I20"/>
  <c r="O20"/>
  <c r="S20"/>
  <c r="I21"/>
  <c r="O21" s="1"/>
  <c r="S21"/>
  <c r="I22"/>
  <c r="K22"/>
  <c r="L22"/>
  <c r="M22"/>
  <c r="O22"/>
  <c r="R22"/>
  <c r="S22"/>
  <c r="T22"/>
  <c r="I23"/>
  <c r="K23"/>
  <c r="L23"/>
  <c r="O23"/>
  <c r="P23"/>
  <c r="R23"/>
  <c r="S23"/>
  <c r="T23"/>
  <c r="I24"/>
  <c r="K24"/>
  <c r="L24"/>
  <c r="M24"/>
  <c r="O24"/>
  <c r="P24"/>
  <c r="R24"/>
  <c r="S24"/>
  <c r="T24" s="1"/>
  <c r="I25"/>
  <c r="O25"/>
  <c r="S25"/>
  <c r="I26"/>
  <c r="O26" s="1"/>
  <c r="S26"/>
  <c r="F27"/>
  <c r="I27"/>
  <c r="L27" s="1"/>
  <c r="M27" s="1"/>
  <c r="O27"/>
  <c r="S27"/>
  <c r="T27" s="1"/>
  <c r="F28"/>
  <c r="I28"/>
  <c r="O28"/>
  <c r="S28"/>
  <c r="F29"/>
  <c r="I29"/>
  <c r="L29"/>
  <c r="M29" s="1"/>
  <c r="O29"/>
  <c r="R29"/>
  <c r="S29"/>
  <c r="T29"/>
  <c r="F30"/>
  <c r="I30"/>
  <c r="O30" s="1"/>
  <c r="S30"/>
  <c r="I31"/>
  <c r="K31"/>
  <c r="L31"/>
  <c r="M31"/>
  <c r="O31"/>
  <c r="R31"/>
  <c r="S31"/>
  <c r="T31"/>
  <c r="F32"/>
  <c r="K32"/>
  <c r="L32"/>
  <c r="M32"/>
  <c r="O32"/>
  <c r="P32"/>
  <c r="R32"/>
  <c r="S32"/>
  <c r="T32" s="1"/>
  <c r="I33"/>
  <c r="O33"/>
  <c r="S33"/>
  <c r="F34"/>
  <c r="K34"/>
  <c r="L34"/>
  <c r="M34" s="1"/>
  <c r="O34"/>
  <c r="P34"/>
  <c r="R34"/>
  <c r="S34"/>
  <c r="T34" s="1"/>
  <c r="F35"/>
  <c r="K35"/>
  <c r="L35"/>
  <c r="M35" s="1"/>
  <c r="O35"/>
  <c r="P35"/>
  <c r="R35"/>
  <c r="S35"/>
  <c r="T35" s="1"/>
  <c r="F36"/>
  <c r="K36"/>
  <c r="L36"/>
  <c r="M36" s="1"/>
  <c r="O36"/>
  <c r="P36"/>
  <c r="R36"/>
  <c r="S36"/>
  <c r="T36" s="1"/>
  <c r="F37"/>
  <c r="I37"/>
  <c r="L37"/>
  <c r="M37" s="1"/>
  <c r="O37"/>
  <c r="R37"/>
  <c r="S37"/>
  <c r="T37"/>
  <c r="F38"/>
  <c r="I38"/>
  <c r="O38" s="1"/>
  <c r="S38"/>
  <c r="I40"/>
  <c r="K40"/>
  <c r="L40"/>
  <c r="M40"/>
  <c r="O40"/>
  <c r="R40"/>
  <c r="S40"/>
  <c r="T40"/>
  <c r="I41"/>
  <c r="K41"/>
  <c r="L41"/>
  <c r="M41"/>
  <c r="O41"/>
  <c r="P41"/>
  <c r="R41"/>
  <c r="S41"/>
  <c r="T41" s="1"/>
  <c r="F42"/>
  <c r="I42"/>
  <c r="K42" s="1"/>
  <c r="L42"/>
  <c r="M42" s="1"/>
  <c r="O42"/>
  <c r="R42"/>
  <c r="S42"/>
  <c r="F43"/>
  <c r="K43"/>
  <c r="L43"/>
  <c r="M43" s="1"/>
  <c r="O43"/>
  <c r="P43"/>
  <c r="R43"/>
  <c r="S43"/>
  <c r="T43" s="1"/>
  <c r="F44"/>
  <c r="K44"/>
  <c r="L44"/>
  <c r="M44" s="1"/>
  <c r="O44"/>
  <c r="R44"/>
  <c r="S44"/>
  <c r="T44" s="1"/>
  <c r="I46"/>
  <c r="K46" s="1"/>
  <c r="L46"/>
  <c r="M46"/>
  <c r="O46"/>
  <c r="R46"/>
  <c r="S46"/>
  <c r="I47"/>
  <c r="L47" s="1"/>
  <c r="M47" s="1"/>
  <c r="O47"/>
  <c r="S47"/>
  <c r="I48"/>
  <c r="L48" s="1"/>
  <c r="M48" s="1"/>
  <c r="O48"/>
  <c r="S48"/>
  <c r="T48" s="1"/>
  <c r="K49"/>
  <c r="L49"/>
  <c r="M49" s="1"/>
  <c r="O49"/>
  <c r="P49"/>
  <c r="R49"/>
  <c r="S49"/>
  <c r="T49"/>
  <c r="K50"/>
  <c r="L50"/>
  <c r="M50" s="1"/>
  <c r="O50"/>
  <c r="P50"/>
  <c r="R50"/>
  <c r="S50"/>
  <c r="T50" s="1"/>
  <c r="D52"/>
  <c r="N52"/>
  <c r="E65"/>
  <c r="G72"/>
  <c r="I72"/>
  <c r="J72"/>
  <c r="G73"/>
  <c r="I73"/>
  <c r="J73"/>
  <c r="G74"/>
  <c r="I74"/>
  <c r="J74"/>
  <c r="G75"/>
  <c r="I75"/>
  <c r="J75"/>
  <c r="G76"/>
  <c r="I76"/>
  <c r="J76"/>
  <c r="G77"/>
  <c r="I77"/>
  <c r="J77"/>
  <c r="L6" i="35"/>
  <c r="E117"/>
  <c r="E112"/>
  <c r="E114"/>
  <c r="E115"/>
  <c r="C74"/>
  <c r="C11" s="1"/>
  <c r="C28"/>
  <c r="C7" s="1"/>
  <c r="C38"/>
  <c r="C15" s="1"/>
  <c r="C46"/>
  <c r="C14" s="1"/>
  <c r="C57"/>
  <c r="C8" s="1"/>
  <c r="C64"/>
  <c r="C9" s="1"/>
  <c r="C70"/>
  <c r="C10" s="1"/>
  <c r="C78"/>
  <c r="C80"/>
  <c r="C81"/>
  <c r="C82"/>
  <c r="C83"/>
  <c r="C84"/>
  <c r="C85"/>
  <c r="C86"/>
  <c r="C88"/>
  <c r="C89"/>
  <c r="C90"/>
  <c r="C91"/>
  <c r="C92"/>
  <c r="C94"/>
  <c r="C95"/>
  <c r="C96"/>
  <c r="C100"/>
  <c r="C102"/>
  <c r="C104"/>
  <c r="C105"/>
  <c r="C106"/>
  <c r="C111"/>
  <c r="C112"/>
  <c r="C113"/>
  <c r="C114"/>
  <c r="C117"/>
  <c r="C118"/>
  <c r="E113"/>
  <c r="E118"/>
  <c r="E119"/>
  <c r="J7"/>
  <c r="J15" s="1"/>
  <c r="I18"/>
  <c r="J18"/>
  <c r="K18"/>
  <c r="L18"/>
  <c r="M18"/>
  <c r="N18"/>
  <c r="O18"/>
  <c r="P18"/>
  <c r="Q18"/>
  <c r="R18"/>
  <c r="S18"/>
  <c r="T18"/>
  <c r="L38"/>
  <c r="N46"/>
  <c r="Q46"/>
  <c r="S46"/>
  <c r="I57"/>
  <c r="L57"/>
  <c r="N57"/>
  <c r="Q57"/>
  <c r="I64"/>
  <c r="J64"/>
  <c r="K64"/>
  <c r="M64"/>
  <c r="N64"/>
  <c r="Q64"/>
  <c r="R64"/>
  <c r="I70"/>
  <c r="J70"/>
  <c r="K70"/>
  <c r="N70"/>
  <c r="P70"/>
  <c r="R70"/>
  <c r="T70"/>
  <c r="I74"/>
  <c r="J74"/>
  <c r="K74"/>
  <c r="L74"/>
  <c r="M74"/>
  <c r="N74"/>
  <c r="O74"/>
  <c r="P74"/>
  <c r="Q74"/>
  <c r="R74"/>
  <c r="S74"/>
  <c r="T74"/>
  <c r="I107"/>
  <c r="J107"/>
  <c r="K107"/>
  <c r="L107"/>
  <c r="M107"/>
  <c r="N107"/>
  <c r="O107"/>
  <c r="P107"/>
  <c r="Q107"/>
  <c r="R107"/>
  <c r="S107"/>
  <c r="T107"/>
  <c r="I120"/>
  <c r="J120"/>
  <c r="K120"/>
  <c r="L120"/>
  <c r="M120"/>
  <c r="P120"/>
  <c r="Q120"/>
  <c r="R120"/>
  <c r="S120"/>
  <c r="T120"/>
  <c r="I23" i="24"/>
  <c r="J23"/>
  <c r="L23"/>
  <c r="M23"/>
  <c r="O23"/>
  <c r="P23"/>
  <c r="R23"/>
  <c r="S23"/>
  <c r="R24"/>
  <c r="S24"/>
  <c r="I27"/>
  <c r="J27"/>
  <c r="K27"/>
  <c r="L27"/>
  <c r="M27"/>
  <c r="N27"/>
  <c r="O27"/>
  <c r="P27"/>
  <c r="Q27"/>
  <c r="R27"/>
  <c r="S27"/>
  <c r="T27"/>
  <c r="I50"/>
  <c r="J50"/>
  <c r="K50"/>
  <c r="L50"/>
  <c r="M50"/>
  <c r="N50"/>
  <c r="O50"/>
  <c r="P50"/>
  <c r="Q50"/>
  <c r="R50"/>
  <c r="S50"/>
  <c r="T50"/>
  <c r="I51"/>
  <c r="J51"/>
  <c r="L51"/>
  <c r="N51"/>
  <c r="O51"/>
  <c r="P51"/>
  <c r="Q51"/>
  <c r="R51"/>
  <c r="S51"/>
  <c r="T51"/>
  <c r="I52"/>
  <c r="J52"/>
  <c r="L52"/>
  <c r="N52"/>
  <c r="O52"/>
  <c r="P52"/>
  <c r="Q52"/>
  <c r="R52"/>
  <c r="S52"/>
  <c r="T52"/>
  <c r="I54"/>
  <c r="L54"/>
  <c r="M54"/>
  <c r="N54"/>
  <c r="O54"/>
  <c r="P54"/>
  <c r="Q54"/>
  <c r="R54"/>
  <c r="S54"/>
  <c r="T54"/>
  <c r="I55"/>
  <c r="J55"/>
  <c r="K55"/>
  <c r="L55"/>
  <c r="M55"/>
  <c r="N55"/>
  <c r="O55"/>
  <c r="P55"/>
  <c r="Q55"/>
  <c r="R55"/>
  <c r="S55"/>
  <c r="T55"/>
  <c r="I56"/>
  <c r="K56"/>
  <c r="L56"/>
  <c r="M56"/>
  <c r="N56"/>
  <c r="O56"/>
  <c r="P56"/>
  <c r="Q56"/>
  <c r="R56"/>
  <c r="S56"/>
  <c r="T56"/>
  <c r="I57"/>
  <c r="J57"/>
  <c r="L57"/>
  <c r="N57"/>
  <c r="O57"/>
  <c r="Q57"/>
  <c r="R57"/>
  <c r="T57"/>
  <c r="I58"/>
  <c r="J58"/>
  <c r="L58"/>
  <c r="N58"/>
  <c r="O58"/>
  <c r="Q58"/>
  <c r="R58"/>
  <c r="T58"/>
  <c r="I63"/>
  <c r="J63"/>
  <c r="K63"/>
  <c r="L63"/>
  <c r="M63"/>
  <c r="N63"/>
  <c r="O63"/>
  <c r="P63"/>
  <c r="Q63"/>
  <c r="S63"/>
  <c r="T63"/>
  <c r="I64"/>
  <c r="J64"/>
  <c r="K64"/>
  <c r="L64"/>
  <c r="M64"/>
  <c r="N64"/>
  <c r="O64"/>
  <c r="P64"/>
  <c r="Q64"/>
  <c r="R64"/>
  <c r="S64"/>
  <c r="T64"/>
  <c r="I70"/>
  <c r="I72" s="1"/>
  <c r="J70"/>
  <c r="K70"/>
  <c r="L70"/>
  <c r="L72" s="1"/>
  <c r="N70"/>
  <c r="N72" s="1"/>
  <c r="O70"/>
  <c r="P70"/>
  <c r="Q70"/>
  <c r="Q72" s="1"/>
  <c r="R70"/>
  <c r="R72" s="1"/>
  <c r="S70"/>
  <c r="T70"/>
  <c r="I75"/>
  <c r="I76" s="1"/>
  <c r="J75"/>
  <c r="J76" s="1"/>
  <c r="K75"/>
  <c r="L75"/>
  <c r="M75"/>
  <c r="M76" s="1"/>
  <c r="N75"/>
  <c r="N76" s="1"/>
  <c r="O75"/>
  <c r="P75"/>
  <c r="Q75"/>
  <c r="Q76" s="1"/>
  <c r="S75"/>
  <c r="S76" s="1"/>
  <c r="T75"/>
  <c r="I80"/>
  <c r="L80"/>
  <c r="M80"/>
  <c r="N80"/>
  <c r="O80"/>
  <c r="P80"/>
  <c r="Q80"/>
  <c r="R80"/>
  <c r="S80"/>
  <c r="T80"/>
  <c r="I81"/>
  <c r="J81"/>
  <c r="L81"/>
  <c r="M81"/>
  <c r="N81"/>
  <c r="O81"/>
  <c r="P81"/>
  <c r="Q81"/>
  <c r="R81"/>
  <c r="S81"/>
  <c r="T81"/>
  <c r="I82"/>
  <c r="L82"/>
  <c r="N82"/>
  <c r="O82"/>
  <c r="P82"/>
  <c r="Q82"/>
  <c r="R82"/>
  <c r="S82"/>
  <c r="T82"/>
  <c r="I84"/>
  <c r="J84"/>
  <c r="L84"/>
  <c r="M84"/>
  <c r="N84"/>
  <c r="O84"/>
  <c r="P84"/>
  <c r="Q84"/>
  <c r="R84"/>
  <c r="S84"/>
  <c r="T84"/>
  <c r="I85"/>
  <c r="J85"/>
  <c r="K85"/>
  <c r="L85"/>
  <c r="M85"/>
  <c r="N85"/>
  <c r="O85"/>
  <c r="P85"/>
  <c r="Q85"/>
  <c r="R85"/>
  <c r="S85"/>
  <c r="T85"/>
  <c r="I86"/>
  <c r="J86"/>
  <c r="K86"/>
  <c r="L86"/>
  <c r="N86"/>
  <c r="O86"/>
  <c r="P86"/>
  <c r="Q86"/>
  <c r="R86"/>
  <c r="S86"/>
  <c r="T86"/>
  <c r="I87"/>
  <c r="J87"/>
  <c r="L87"/>
  <c r="M87"/>
  <c r="N87"/>
  <c r="O87"/>
  <c r="P87"/>
  <c r="Q87"/>
  <c r="R87"/>
  <c r="S87"/>
  <c r="T87"/>
  <c r="I88"/>
  <c r="J88"/>
  <c r="K88"/>
  <c r="L88"/>
  <c r="M88"/>
  <c r="N88"/>
  <c r="O88"/>
  <c r="P88"/>
  <c r="Q88"/>
  <c r="R88"/>
  <c r="S88"/>
  <c r="T88"/>
  <c r="I89"/>
  <c r="J89"/>
  <c r="L89"/>
  <c r="M89"/>
  <c r="N89"/>
  <c r="O89"/>
  <c r="P89"/>
  <c r="Q89"/>
  <c r="R89"/>
  <c r="S89"/>
  <c r="T89"/>
  <c r="I90"/>
  <c r="J90"/>
  <c r="K90"/>
  <c r="L90"/>
  <c r="M90"/>
  <c r="N90"/>
  <c r="O90"/>
  <c r="P90"/>
  <c r="Q90"/>
  <c r="R90"/>
  <c r="S90"/>
  <c r="T90"/>
  <c r="I92"/>
  <c r="J92"/>
  <c r="K92"/>
  <c r="L92"/>
  <c r="M92"/>
  <c r="N92"/>
  <c r="O92"/>
  <c r="P92"/>
  <c r="Q92"/>
  <c r="R92"/>
  <c r="S92"/>
  <c r="T92"/>
  <c r="I93"/>
  <c r="J93"/>
  <c r="K93"/>
  <c r="L93"/>
  <c r="M93"/>
  <c r="N93"/>
  <c r="O93"/>
  <c r="P93"/>
  <c r="Q93"/>
  <c r="R93"/>
  <c r="S93"/>
  <c r="T93"/>
  <c r="I94"/>
  <c r="J94"/>
  <c r="K94"/>
  <c r="L94"/>
  <c r="M94"/>
  <c r="N94"/>
  <c r="O94"/>
  <c r="P94"/>
  <c r="Q94"/>
  <c r="R94"/>
  <c r="S94"/>
  <c r="T94"/>
  <c r="I95"/>
  <c r="J95"/>
  <c r="K95"/>
  <c r="L95"/>
  <c r="M95"/>
  <c r="N95"/>
  <c r="O95"/>
  <c r="P95"/>
  <c r="Q95"/>
  <c r="R95"/>
  <c r="S95"/>
  <c r="T95"/>
  <c r="I96"/>
  <c r="J96"/>
  <c r="K96"/>
  <c r="L96"/>
  <c r="M96"/>
  <c r="N96"/>
  <c r="O96"/>
  <c r="P96"/>
  <c r="Q96"/>
  <c r="R96"/>
  <c r="S96"/>
  <c r="T96"/>
  <c r="I97"/>
  <c r="J97"/>
  <c r="K97"/>
  <c r="L97"/>
  <c r="M97"/>
  <c r="N97"/>
  <c r="O97"/>
  <c r="P97"/>
  <c r="Q97"/>
  <c r="R97"/>
  <c r="S97"/>
  <c r="T97"/>
  <c r="I98"/>
  <c r="J98"/>
  <c r="K98"/>
  <c r="L98"/>
  <c r="M98"/>
  <c r="N98"/>
  <c r="O98"/>
  <c r="P98"/>
  <c r="Q98"/>
  <c r="R98"/>
  <c r="S98"/>
  <c r="T98"/>
  <c r="I99"/>
  <c r="J99"/>
  <c r="K99"/>
  <c r="L99"/>
  <c r="M99"/>
  <c r="N99"/>
  <c r="O99"/>
  <c r="P99"/>
  <c r="Q99"/>
  <c r="R99"/>
  <c r="S99"/>
  <c r="T99"/>
  <c r="I100"/>
  <c r="J100"/>
  <c r="K100"/>
  <c r="L100"/>
  <c r="M100"/>
  <c r="N100"/>
  <c r="O100"/>
  <c r="P100"/>
  <c r="Q100"/>
  <c r="R100"/>
  <c r="S100"/>
  <c r="T100"/>
  <c r="I103"/>
  <c r="J103"/>
  <c r="K103"/>
  <c r="L103"/>
  <c r="M103"/>
  <c r="N103"/>
  <c r="O103"/>
  <c r="P103"/>
  <c r="Q103"/>
  <c r="R103"/>
  <c r="S103"/>
  <c r="T103"/>
  <c r="J104"/>
  <c r="K104"/>
  <c r="L104"/>
  <c r="M104"/>
  <c r="N104"/>
  <c r="O104"/>
  <c r="P104"/>
  <c r="Q104"/>
  <c r="R104"/>
  <c r="S104"/>
  <c r="T104"/>
  <c r="I105"/>
  <c r="J105"/>
  <c r="K105"/>
  <c r="L105"/>
  <c r="M105"/>
  <c r="N105"/>
  <c r="O105"/>
  <c r="P105"/>
  <c r="Q105"/>
  <c r="R105"/>
  <c r="S105"/>
  <c r="T105"/>
  <c r="I106"/>
  <c r="J106"/>
  <c r="K106"/>
  <c r="L106"/>
  <c r="M106"/>
  <c r="N106"/>
  <c r="O106"/>
  <c r="P106"/>
  <c r="Q106"/>
  <c r="R106"/>
  <c r="S106"/>
  <c r="T106"/>
  <c r="I107"/>
  <c r="J107"/>
  <c r="K107"/>
  <c r="L107"/>
  <c r="M107"/>
  <c r="N107"/>
  <c r="O107"/>
  <c r="P107"/>
  <c r="Q107"/>
  <c r="R107"/>
  <c r="S107"/>
  <c r="T107"/>
  <c r="I108"/>
  <c r="J108"/>
  <c r="K108"/>
  <c r="L108"/>
  <c r="M108"/>
  <c r="N108"/>
  <c r="O108"/>
  <c r="P108"/>
  <c r="Q108"/>
  <c r="R108"/>
  <c r="S108"/>
  <c r="T108"/>
  <c r="J112"/>
  <c r="K112"/>
  <c r="L112"/>
  <c r="M112"/>
  <c r="N112"/>
  <c r="O112"/>
  <c r="P112"/>
  <c r="Q112"/>
  <c r="R112"/>
  <c r="S112"/>
  <c r="T112"/>
  <c r="K113"/>
  <c r="M113"/>
  <c r="N113"/>
  <c r="O113"/>
  <c r="Q113"/>
  <c r="S113"/>
  <c r="T113"/>
  <c r="I114"/>
  <c r="J114"/>
  <c r="K114"/>
  <c r="L114"/>
  <c r="M114"/>
  <c r="N114"/>
  <c r="O114"/>
  <c r="P114"/>
  <c r="Q114"/>
  <c r="R114"/>
  <c r="S114"/>
  <c r="T114"/>
  <c r="I115"/>
  <c r="J115"/>
  <c r="K115"/>
  <c r="L115"/>
  <c r="M115"/>
  <c r="N115"/>
  <c r="O115"/>
  <c r="Q115"/>
  <c r="R115"/>
  <c r="S115"/>
  <c r="T115"/>
  <c r="I116"/>
  <c r="I119"/>
  <c r="S119"/>
  <c r="T119"/>
  <c r="I120"/>
  <c r="I121"/>
  <c r="I42"/>
  <c r="J42"/>
  <c r="K42"/>
  <c r="L42"/>
  <c r="M42"/>
  <c r="N42"/>
  <c r="O42"/>
  <c r="P42"/>
  <c r="Q42"/>
  <c r="R42"/>
  <c r="S42"/>
  <c r="T42"/>
  <c r="I43"/>
  <c r="J43"/>
  <c r="K43"/>
  <c r="L43"/>
  <c r="M43"/>
  <c r="N43"/>
  <c r="O43"/>
  <c r="P43"/>
  <c r="Q43"/>
  <c r="R43"/>
  <c r="S43"/>
  <c r="I44"/>
  <c r="J44"/>
  <c r="K44"/>
  <c r="L44"/>
  <c r="M44"/>
  <c r="N44"/>
  <c r="O44"/>
  <c r="P44"/>
  <c r="Q44"/>
  <c r="R44"/>
  <c r="S44"/>
  <c r="T44"/>
  <c r="I45"/>
  <c r="J45"/>
  <c r="K45"/>
  <c r="L45"/>
  <c r="M45"/>
  <c r="N45"/>
  <c r="O45"/>
  <c r="P45"/>
  <c r="Q45"/>
  <c r="R45"/>
  <c r="S45"/>
  <c r="T45"/>
  <c r="I32"/>
  <c r="J32"/>
  <c r="K32"/>
  <c r="L32"/>
  <c r="M32"/>
  <c r="N32"/>
  <c r="O32"/>
  <c r="P32"/>
  <c r="Q32"/>
  <c r="R32"/>
  <c r="S32"/>
  <c r="T32"/>
  <c r="I34"/>
  <c r="J34"/>
  <c r="K34"/>
  <c r="L34"/>
  <c r="M34"/>
  <c r="N34"/>
  <c r="O34"/>
  <c r="P34"/>
  <c r="Q34"/>
  <c r="R34"/>
  <c r="S34"/>
  <c r="T34"/>
  <c r="I35"/>
  <c r="J35"/>
  <c r="K35"/>
  <c r="L35"/>
  <c r="M35"/>
  <c r="N35"/>
  <c r="O35"/>
  <c r="P35"/>
  <c r="Q35"/>
  <c r="R35"/>
  <c r="S35"/>
  <c r="T35"/>
  <c r="I36"/>
  <c r="J36"/>
  <c r="K36"/>
  <c r="L36"/>
  <c r="M36"/>
  <c r="N36"/>
  <c r="O36"/>
  <c r="P36"/>
  <c r="Q36"/>
  <c r="R36"/>
  <c r="S36"/>
  <c r="T36"/>
  <c r="I37"/>
  <c r="J37"/>
  <c r="K37"/>
  <c r="L37"/>
  <c r="M37"/>
  <c r="N37"/>
  <c r="O37"/>
  <c r="P37"/>
  <c r="Q37"/>
  <c r="R37"/>
  <c r="S37"/>
  <c r="T37"/>
  <c r="E53"/>
  <c r="M38" i="23"/>
  <c r="R75" i="24"/>
  <c r="R76" s="1"/>
  <c r="D11" i="23"/>
  <c r="I21" i="24"/>
  <c r="D17" i="23"/>
  <c r="E17"/>
  <c r="F17"/>
  <c r="G17"/>
  <c r="H17"/>
  <c r="M26" i="24" s="1"/>
  <c r="I17" i="23"/>
  <c r="J17"/>
  <c r="K17"/>
  <c r="L17"/>
  <c r="M17"/>
  <c r="R26" i="24" s="1"/>
  <c r="N17" i="23"/>
  <c r="S26" i="24" s="1"/>
  <c r="O17" i="23"/>
  <c r="E11"/>
  <c r="J21" i="24"/>
  <c r="F11" i="23"/>
  <c r="K21" i="24"/>
  <c r="G11" i="23"/>
  <c r="L21" i="24"/>
  <c r="H11" i="23"/>
  <c r="M21" i="24"/>
  <c r="I11" i="23"/>
  <c r="N21" i="24"/>
  <c r="J11" i="23"/>
  <c r="O21" i="24"/>
  <c r="K11" i="23"/>
  <c r="P21" i="24"/>
  <c r="L11" i="23"/>
  <c r="Q21" i="24"/>
  <c r="M11" i="23"/>
  <c r="R21" i="24"/>
  <c r="N11" i="23"/>
  <c r="S21" i="24"/>
  <c r="O11" i="23"/>
  <c r="T21" i="24"/>
  <c r="C59"/>
  <c r="C8"/>
  <c r="C28"/>
  <c r="C7"/>
  <c r="C46"/>
  <c r="C14"/>
  <c r="C63"/>
  <c r="C64"/>
  <c r="C66" s="1"/>
  <c r="C9" s="1"/>
  <c r="C72"/>
  <c r="C10" s="1"/>
  <c r="C76"/>
  <c r="C11" s="1"/>
  <c r="C80"/>
  <c r="C82"/>
  <c r="C83"/>
  <c r="C84"/>
  <c r="C85"/>
  <c r="C86"/>
  <c r="C87"/>
  <c r="C88"/>
  <c r="C90"/>
  <c r="C91"/>
  <c r="C92"/>
  <c r="C93"/>
  <c r="C94"/>
  <c r="C95"/>
  <c r="C96"/>
  <c r="C97"/>
  <c r="C98"/>
  <c r="C102"/>
  <c r="C104"/>
  <c r="C106"/>
  <c r="C107"/>
  <c r="C108"/>
  <c r="C113"/>
  <c r="C114"/>
  <c r="C115"/>
  <c r="C116"/>
  <c r="C119"/>
  <c r="C120"/>
  <c r="D15" i="23"/>
  <c r="C11" i="31"/>
  <c r="C12"/>
  <c r="C13"/>
  <c r="C16"/>
  <c r="C17"/>
  <c r="E19"/>
  <c r="F19"/>
  <c r="H19"/>
  <c r="I19"/>
  <c r="J19"/>
  <c r="K19"/>
  <c r="L19"/>
  <c r="M19"/>
  <c r="N19"/>
  <c r="O19"/>
  <c r="C23"/>
  <c r="F24"/>
  <c r="H24"/>
  <c r="C24" s="1"/>
  <c r="F25"/>
  <c r="H25"/>
  <c r="C25" s="1"/>
  <c r="E26"/>
  <c r="F26"/>
  <c r="C27"/>
  <c r="E28"/>
  <c r="C28"/>
  <c r="F29"/>
  <c r="H29"/>
  <c r="K29"/>
  <c r="N29"/>
  <c r="F30"/>
  <c r="H30"/>
  <c r="K30"/>
  <c r="N30"/>
  <c r="C30" s="1"/>
  <c r="M32"/>
  <c r="C32"/>
  <c r="C33"/>
  <c r="H35"/>
  <c r="C35" s="1"/>
  <c r="C37"/>
  <c r="E39"/>
  <c r="F39"/>
  <c r="F40"/>
  <c r="C40" s="1"/>
  <c r="E41"/>
  <c r="F41"/>
  <c r="H41"/>
  <c r="F42"/>
  <c r="C42" s="1"/>
  <c r="C43"/>
  <c r="H44"/>
  <c r="C44" s="1"/>
  <c r="F45"/>
  <c r="C45" s="1"/>
  <c r="C46"/>
  <c r="F47"/>
  <c r="C47" s="1"/>
  <c r="C48"/>
  <c r="C49"/>
  <c r="C50"/>
  <c r="C51"/>
  <c r="C52"/>
  <c r="C54"/>
  <c r="C56"/>
  <c r="C57"/>
  <c r="C58"/>
  <c r="C59"/>
  <c r="C60"/>
  <c r="D63"/>
  <c r="C61"/>
  <c r="C64"/>
  <c r="C65"/>
  <c r="C67"/>
  <c r="C68"/>
  <c r="C69"/>
  <c r="D72"/>
  <c r="C72" s="1"/>
  <c r="D73"/>
  <c r="E73"/>
  <c r="G73"/>
  <c r="K73"/>
  <c r="M73"/>
  <c r="C74"/>
  <c r="K75"/>
  <c r="C75"/>
  <c r="E77"/>
  <c r="F77"/>
  <c r="G77"/>
  <c r="H77"/>
  <c r="I77"/>
  <c r="J77"/>
  <c r="K77"/>
  <c r="L77"/>
  <c r="M77"/>
  <c r="N77"/>
  <c r="O77"/>
  <c r="E78"/>
  <c r="F78"/>
  <c r="G78"/>
  <c r="H78"/>
  <c r="I78"/>
  <c r="J78"/>
  <c r="K78"/>
  <c r="L78"/>
  <c r="M78"/>
  <c r="N78"/>
  <c r="O78"/>
  <c r="N79"/>
  <c r="E80"/>
  <c r="F80"/>
  <c r="G80"/>
  <c r="H80"/>
  <c r="I80"/>
  <c r="J80"/>
  <c r="K80"/>
  <c r="L80"/>
  <c r="M80"/>
  <c r="N80"/>
  <c r="O80"/>
  <c r="E76"/>
  <c r="F76"/>
  <c r="G76"/>
  <c r="D81"/>
  <c r="E81" s="1"/>
  <c r="F81"/>
  <c r="J81"/>
  <c r="N81"/>
  <c r="E82"/>
  <c r="F82"/>
  <c r="G82"/>
  <c r="H82"/>
  <c r="I82"/>
  <c r="J82"/>
  <c r="K82"/>
  <c r="L82"/>
  <c r="M82"/>
  <c r="E83"/>
  <c r="F83"/>
  <c r="G83"/>
  <c r="H83"/>
  <c r="I83"/>
  <c r="J83"/>
  <c r="K83"/>
  <c r="L83"/>
  <c r="M83"/>
  <c r="N83"/>
  <c r="O83"/>
  <c r="E84"/>
  <c r="F84"/>
  <c r="G84"/>
  <c r="H84"/>
  <c r="I84"/>
  <c r="J84"/>
  <c r="K84"/>
  <c r="L84"/>
  <c r="M84"/>
  <c r="E85"/>
  <c r="F85"/>
  <c r="G85"/>
  <c r="H85"/>
  <c r="I85"/>
  <c r="J85"/>
  <c r="K85"/>
  <c r="L85"/>
  <c r="M85"/>
  <c r="N85"/>
  <c r="O85"/>
  <c r="E86"/>
  <c r="F86"/>
  <c r="G86"/>
  <c r="H86"/>
  <c r="I86"/>
  <c r="J86"/>
  <c r="K86"/>
  <c r="L86"/>
  <c r="M86"/>
  <c r="N86"/>
  <c r="O86"/>
  <c r="D88"/>
  <c r="J88"/>
  <c r="C91"/>
  <c r="C92"/>
  <c r="C93"/>
  <c r="C94"/>
  <c r="C95"/>
  <c r="C96"/>
  <c r="C97"/>
  <c r="E98"/>
  <c r="F98"/>
  <c r="G98"/>
  <c r="C103"/>
  <c r="C106"/>
  <c r="C107"/>
  <c r="C108"/>
  <c r="C109"/>
  <c r="C110"/>
  <c r="C111"/>
  <c r="C112"/>
  <c r="C113"/>
  <c r="D114"/>
  <c r="E114"/>
  <c r="F114"/>
  <c r="G114"/>
  <c r="H114"/>
  <c r="I114"/>
  <c r="J114"/>
  <c r="K114"/>
  <c r="L114"/>
  <c r="M114"/>
  <c r="N114"/>
  <c r="O114"/>
  <c r="C124"/>
  <c r="C125"/>
  <c r="C126"/>
  <c r="C127"/>
  <c r="C128"/>
  <c r="O129"/>
  <c r="F104" i="24"/>
  <c r="F115"/>
  <c r="F113"/>
  <c r="F114"/>
  <c r="F116"/>
  <c r="F118"/>
  <c r="F119"/>
  <c r="F120"/>
  <c r="F34"/>
  <c r="F35"/>
  <c r="F33"/>
  <c r="G33" s="1"/>
  <c r="F36"/>
  <c r="G109"/>
  <c r="F80"/>
  <c r="F94"/>
  <c r="F100"/>
  <c r="E83"/>
  <c r="G83"/>
  <c r="E91"/>
  <c r="G91"/>
  <c r="E101"/>
  <c r="G101"/>
  <c r="E102"/>
  <c r="G102"/>
  <c r="F54"/>
  <c r="F59" s="1"/>
  <c r="F8" s="1"/>
  <c r="G53"/>
  <c r="E15" i="23"/>
  <c r="F15"/>
  <c r="G15"/>
  <c r="H15"/>
  <c r="I15"/>
  <c r="J15"/>
  <c r="K15"/>
  <c r="L15"/>
  <c r="M15"/>
  <c r="N15"/>
  <c r="G71" i="24"/>
  <c r="G65"/>
  <c r="F76"/>
  <c r="F11" s="1"/>
  <c r="F72"/>
  <c r="F10" s="1"/>
  <c r="F66"/>
  <c r="F9"/>
  <c r="F46"/>
  <c r="F28"/>
  <c r="F7" s="1"/>
  <c r="F14"/>
  <c r="C38" i="23"/>
  <c r="C19"/>
  <c r="M33"/>
  <c r="R63" i="24" s="1"/>
  <c r="D82" i="23"/>
  <c r="I117" i="24" s="1"/>
  <c r="G82" i="23"/>
  <c r="L117" i="24" s="1"/>
  <c r="O79" i="23"/>
  <c r="N79"/>
  <c r="M79"/>
  <c r="L79"/>
  <c r="K79"/>
  <c r="J79"/>
  <c r="I79"/>
  <c r="H79"/>
  <c r="G79"/>
  <c r="F79"/>
  <c r="E79"/>
  <c r="O78"/>
  <c r="N78"/>
  <c r="M78"/>
  <c r="R116" i="24" s="1"/>
  <c r="L78" i="23"/>
  <c r="K78"/>
  <c r="P116" i="24" s="1"/>
  <c r="J78" i="23"/>
  <c r="I78"/>
  <c r="N116" i="24" s="1"/>
  <c r="H78" i="23"/>
  <c r="G78"/>
  <c r="L116" i="24" s="1"/>
  <c r="F78" i="23"/>
  <c r="E78"/>
  <c r="J116" i="24" s="1"/>
  <c r="O81" i="23"/>
  <c r="N81"/>
  <c r="M81"/>
  <c r="L81"/>
  <c r="K81"/>
  <c r="J81"/>
  <c r="I81"/>
  <c r="H81"/>
  <c r="G81"/>
  <c r="F81"/>
  <c r="E81"/>
  <c r="N80"/>
  <c r="C108"/>
  <c r="F27"/>
  <c r="K54" i="24" s="1"/>
  <c r="O95" i="23"/>
  <c r="T43" i="24" s="1"/>
  <c r="D73" i="23"/>
  <c r="I112" i="24" s="1"/>
  <c r="D74" i="23"/>
  <c r="E74"/>
  <c r="J113" i="24" s="1"/>
  <c r="G74" i="23"/>
  <c r="K74"/>
  <c r="P113" i="24" s="1"/>
  <c r="M74" i="23"/>
  <c r="R113" i="24" s="1"/>
  <c r="K76" i="23"/>
  <c r="E82"/>
  <c r="J117" i="24" s="1"/>
  <c r="H82" i="23"/>
  <c r="M117" i="24" s="1"/>
  <c r="J82" i="23"/>
  <c r="O117" i="24" s="1"/>
  <c r="L82" i="23"/>
  <c r="Q117" i="24" s="1"/>
  <c r="O82" i="23"/>
  <c r="T117" i="24" s="1"/>
  <c r="E83" i="23"/>
  <c r="J119" i="24" s="1"/>
  <c r="F83" i="23"/>
  <c r="K119" i="24" s="1"/>
  <c r="G83" i="23"/>
  <c r="L119" i="24" s="1"/>
  <c r="H83" i="23"/>
  <c r="M119" i="24" s="1"/>
  <c r="I83" i="23"/>
  <c r="N119" i="24" s="1"/>
  <c r="J83" i="23"/>
  <c r="O119" i="24" s="1"/>
  <c r="K83" i="23"/>
  <c r="P119" i="24" s="1"/>
  <c r="L83" i="23"/>
  <c r="Q119" i="24" s="1"/>
  <c r="M83" i="23"/>
  <c r="R119" i="24" s="1"/>
  <c r="E84" i="23"/>
  <c r="E85"/>
  <c r="F84"/>
  <c r="K120" i="24" s="1"/>
  <c r="F85" i="23"/>
  <c r="G84"/>
  <c r="G85"/>
  <c r="H84"/>
  <c r="M120" i="24"/>
  <c r="H85" i="23"/>
  <c r="I84"/>
  <c r="I85"/>
  <c r="J84"/>
  <c r="O120" i="24" s="1"/>
  <c r="J85" i="23"/>
  <c r="K84"/>
  <c r="K85"/>
  <c r="L84"/>
  <c r="L85"/>
  <c r="Q120" i="24" s="1"/>
  <c r="M84" i="23"/>
  <c r="M85"/>
  <c r="N84"/>
  <c r="S120" i="24"/>
  <c r="O84" i="23"/>
  <c r="T120" i="24"/>
  <c r="E86" i="23"/>
  <c r="J121" i="24"/>
  <c r="E87" i="23"/>
  <c r="F86"/>
  <c r="F87"/>
  <c r="G86"/>
  <c r="L121" i="24" s="1"/>
  <c r="G87" i="23"/>
  <c r="H86"/>
  <c r="H87"/>
  <c r="I86"/>
  <c r="N121" i="24"/>
  <c r="I87" i="23"/>
  <c r="J86"/>
  <c r="O121" i="24" s="1"/>
  <c r="J87" i="23"/>
  <c r="K86"/>
  <c r="P121" i="24" s="1"/>
  <c r="K87" i="23"/>
  <c r="L86"/>
  <c r="L87"/>
  <c r="M86"/>
  <c r="R121" i="24"/>
  <c r="M87" i="23"/>
  <c r="N86"/>
  <c r="S121" i="24" s="1"/>
  <c r="N87" i="23"/>
  <c r="O86"/>
  <c r="T121" i="24" s="1"/>
  <c r="O87" i="23"/>
  <c r="D64"/>
  <c r="E40"/>
  <c r="J80" i="24" s="1"/>
  <c r="F40" i="23"/>
  <c r="K80" i="24" s="1"/>
  <c r="F41" i="23"/>
  <c r="C41" s="1"/>
  <c r="E42"/>
  <c r="J82" i="24"/>
  <c r="F42" i="23"/>
  <c r="H42"/>
  <c r="F43"/>
  <c r="H45"/>
  <c r="F46"/>
  <c r="F48"/>
  <c r="T109" i="24"/>
  <c r="S109"/>
  <c r="R109"/>
  <c r="Q109"/>
  <c r="P109"/>
  <c r="O109"/>
  <c r="N109"/>
  <c r="M109"/>
  <c r="L109"/>
  <c r="K109"/>
  <c r="J109"/>
  <c r="I109"/>
  <c r="T76"/>
  <c r="P76"/>
  <c r="O76"/>
  <c r="L76"/>
  <c r="K76"/>
  <c r="H36" i="23"/>
  <c r="T72" i="24"/>
  <c r="S72"/>
  <c r="P72"/>
  <c r="O72"/>
  <c r="K72"/>
  <c r="J72"/>
  <c r="S66"/>
  <c r="N66"/>
  <c r="J66"/>
  <c r="N30" i="23"/>
  <c r="S57" i="24" s="1"/>
  <c r="N31" i="23"/>
  <c r="S58" i="24"/>
  <c r="K30" i="23"/>
  <c r="K31"/>
  <c r="P58" i="24" s="1"/>
  <c r="H25" i="23"/>
  <c r="M51" i="24" s="1"/>
  <c r="H26" i="23"/>
  <c r="H30"/>
  <c r="M57" i="24" s="1"/>
  <c r="H31" i="23"/>
  <c r="M58" i="24" s="1"/>
  <c r="F25" i="23"/>
  <c r="F26"/>
  <c r="F30"/>
  <c r="K57" i="24" s="1"/>
  <c r="F31" i="23"/>
  <c r="E27"/>
  <c r="J54" i="24" s="1"/>
  <c r="E29" i="23"/>
  <c r="R38" i="24"/>
  <c r="Q38"/>
  <c r="N38"/>
  <c r="M38"/>
  <c r="J38"/>
  <c r="I38"/>
  <c r="Q46"/>
  <c r="M46"/>
  <c r="I46"/>
  <c r="O18" i="23"/>
  <c r="O14"/>
  <c r="T24" i="24" s="1"/>
  <c r="F13" i="23"/>
  <c r="I13"/>
  <c r="N23" i="24"/>
  <c r="L13" i="23"/>
  <c r="Q23" i="24"/>
  <c r="C57" i="23"/>
  <c r="C107"/>
  <c r="C109"/>
  <c r="C110"/>
  <c r="C111"/>
  <c r="C112"/>
  <c r="C113"/>
  <c r="C114"/>
  <c r="T18" i="24"/>
  <c r="S18"/>
  <c r="R18"/>
  <c r="Q18"/>
  <c r="P18"/>
  <c r="O18"/>
  <c r="N18"/>
  <c r="M18"/>
  <c r="L18"/>
  <c r="K18"/>
  <c r="J18"/>
  <c r="I18"/>
  <c r="C53" i="23"/>
  <c r="C36"/>
  <c r="C38" i="24"/>
  <c r="C11" i="23"/>
  <c r="C24"/>
  <c r="C26"/>
  <c r="C27"/>
  <c r="C28"/>
  <c r="C33"/>
  <c r="C34"/>
  <c r="C40"/>
  <c r="C43"/>
  <c r="C44"/>
  <c r="C46"/>
  <c r="C47"/>
  <c r="C48"/>
  <c r="C49"/>
  <c r="C50"/>
  <c r="C51"/>
  <c r="C52"/>
  <c r="C55"/>
  <c r="C58"/>
  <c r="C59"/>
  <c r="C60"/>
  <c r="C61"/>
  <c r="C62"/>
  <c r="C65"/>
  <c r="C66"/>
  <c r="C68"/>
  <c r="C69"/>
  <c r="C70"/>
  <c r="C73"/>
  <c r="C75"/>
  <c r="C77"/>
  <c r="E77"/>
  <c r="E89"/>
  <c r="F77"/>
  <c r="G77"/>
  <c r="H89"/>
  <c r="C92"/>
  <c r="C93"/>
  <c r="C94"/>
  <c r="C95"/>
  <c r="C96"/>
  <c r="C97"/>
  <c r="C98"/>
  <c r="E99"/>
  <c r="F99"/>
  <c r="G99"/>
  <c r="C104"/>
  <c r="D115"/>
  <c r="E115"/>
  <c r="F115"/>
  <c r="G115"/>
  <c r="H115"/>
  <c r="I115"/>
  <c r="J115"/>
  <c r="K115"/>
  <c r="L115"/>
  <c r="M115"/>
  <c r="N115"/>
  <c r="O115"/>
  <c r="C125"/>
  <c r="C126"/>
  <c r="C127"/>
  <c r="C128"/>
  <c r="C129"/>
  <c r="O130"/>
  <c r="C15" i="24"/>
  <c r="C18" i="31"/>
  <c r="G19"/>
  <c r="G18" i="23"/>
  <c r="L26" i="24" s="1"/>
  <c r="G14" i="23"/>
  <c r="L24" i="24" s="1"/>
  <c r="I14" i="23"/>
  <c r="N24" i="24" s="1"/>
  <c r="I18" i="23"/>
  <c r="N26" i="24" s="1"/>
  <c r="E18" i="23"/>
  <c r="J26" i="24" s="1"/>
  <c r="K23"/>
  <c r="K52" i="35"/>
  <c r="K52" i="24"/>
  <c r="M52"/>
  <c r="M52" i="35"/>
  <c r="P57" i="24"/>
  <c r="P56" i="35"/>
  <c r="M86" i="24"/>
  <c r="K51"/>
  <c r="M51" i="35"/>
  <c r="S56"/>
  <c r="M68"/>
  <c r="M70" s="1"/>
  <c r="M70" i="24"/>
  <c r="M72" s="1"/>
  <c r="K85" i="35"/>
  <c r="K87" i="24"/>
  <c r="K82" i="35"/>
  <c r="K84" i="24"/>
  <c r="K80" i="35"/>
  <c r="K82" i="24"/>
  <c r="K79" i="35"/>
  <c r="D18" i="23"/>
  <c r="F14"/>
  <c r="K24" i="24" s="1"/>
  <c r="N82" i="23"/>
  <c r="S117" i="24" s="1"/>
  <c r="K82" i="23"/>
  <c r="I82"/>
  <c r="N117" i="24" s="1"/>
  <c r="F82" i="23"/>
  <c r="M82"/>
  <c r="O81" i="31"/>
  <c r="O88" s="1"/>
  <c r="O116" s="1"/>
  <c r="M81"/>
  <c r="K81"/>
  <c r="K88"/>
  <c r="K116" s="1"/>
  <c r="I81"/>
  <c r="I88"/>
  <c r="I116" s="1"/>
  <c r="G81"/>
  <c r="I26" i="24"/>
  <c r="D15" i="31"/>
  <c r="I24" i="35" s="1"/>
  <c r="D14" i="23"/>
  <c r="G11" i="35"/>
  <c r="H11" s="1"/>
  <c r="O15" i="23"/>
  <c r="T26" i="24"/>
  <c r="E21"/>
  <c r="G21" s="1"/>
  <c r="P47" i="36"/>
  <c r="P40"/>
  <c r="P33"/>
  <c r="P31"/>
  <c r="P25"/>
  <c r="P22"/>
  <c r="P20"/>
  <c r="I24" i="24"/>
  <c r="K117"/>
  <c r="P117"/>
  <c r="K89" i="23"/>
  <c r="G88" i="31"/>
  <c r="R117" i="24"/>
  <c r="M89" i="23"/>
  <c r="I89"/>
  <c r="G116" i="31" l="1"/>
  <c r="L89" i="23"/>
  <c r="N89"/>
  <c r="C83" i="31"/>
  <c r="L81"/>
  <c r="H81"/>
  <c r="C81" s="1"/>
  <c r="M88"/>
  <c r="M116" s="1"/>
  <c r="C39"/>
  <c r="I52" i="36"/>
  <c r="R48"/>
  <c r="T47"/>
  <c r="T46"/>
  <c r="P46"/>
  <c r="T42"/>
  <c r="P42"/>
  <c r="R27"/>
  <c r="C99" i="23"/>
  <c r="P120" i="24"/>
  <c r="L120"/>
  <c r="C98" i="31"/>
  <c r="N88"/>
  <c r="F74" i="35"/>
  <c r="L46"/>
  <c r="O66" i="24"/>
  <c r="K66"/>
  <c r="O64" i="35"/>
  <c r="T46"/>
  <c r="N59" i="24"/>
  <c r="Q59"/>
  <c r="P64" i="35"/>
  <c r="O46"/>
  <c r="P46"/>
  <c r="T38"/>
  <c r="O38" i="24"/>
  <c r="N46"/>
  <c r="R59"/>
  <c r="Q66"/>
  <c r="M66"/>
  <c r="I66"/>
  <c r="S38"/>
  <c r="J46"/>
  <c r="T66"/>
  <c r="E52" i="35"/>
  <c r="J57"/>
  <c r="L64"/>
  <c r="S108"/>
  <c r="I108"/>
  <c r="I46"/>
  <c r="M46"/>
  <c r="P38"/>
  <c r="K38"/>
  <c r="S38"/>
  <c r="O38"/>
  <c r="F70"/>
  <c r="K38" i="24"/>
  <c r="R46"/>
  <c r="L110"/>
  <c r="P110"/>
  <c r="T110"/>
  <c r="E119"/>
  <c r="G119" s="1"/>
  <c r="T38"/>
  <c r="P38"/>
  <c r="L38"/>
  <c r="P46"/>
  <c r="L46"/>
  <c r="S46"/>
  <c r="O46"/>
  <c r="K46"/>
  <c r="P66"/>
  <c r="L66"/>
  <c r="T59"/>
  <c r="L59"/>
  <c r="O59"/>
  <c r="I59"/>
  <c r="N120" i="35"/>
  <c r="F120" s="1"/>
  <c r="E82"/>
  <c r="E68"/>
  <c r="E70" s="1"/>
  <c r="E10" s="1"/>
  <c r="G10" s="1"/>
  <c r="H10" s="1"/>
  <c r="E86" i="24"/>
  <c r="G86" s="1"/>
  <c r="E27"/>
  <c r="G27" s="1"/>
  <c r="O108" i="35"/>
  <c r="J108"/>
  <c r="Q108"/>
  <c r="K46"/>
  <c r="R46"/>
  <c r="J46"/>
  <c r="J38"/>
  <c r="R38"/>
  <c r="N38"/>
  <c r="E36"/>
  <c r="I38"/>
  <c r="Q38"/>
  <c r="M38"/>
  <c r="E21"/>
  <c r="E28" s="1"/>
  <c r="E7" s="1"/>
  <c r="G7" s="1"/>
  <c r="E79"/>
  <c r="E70" i="24"/>
  <c r="E72" s="1"/>
  <c r="E10" s="1"/>
  <c r="E87"/>
  <c r="G87" s="1"/>
  <c r="S57" i="35"/>
  <c r="P57"/>
  <c r="Q110" i="24"/>
  <c r="T46"/>
  <c r="T108" i="35"/>
  <c r="P108"/>
  <c r="L108"/>
  <c r="E84" i="24"/>
  <c r="G84" s="1"/>
  <c r="E51"/>
  <c r="G51" s="1"/>
  <c r="O110"/>
  <c r="S110"/>
  <c r="R108" i="35"/>
  <c r="N108"/>
  <c r="E35"/>
  <c r="I28"/>
  <c r="E85"/>
  <c r="P59" i="24"/>
  <c r="J110"/>
  <c r="N110"/>
  <c r="R110"/>
  <c r="R28" i="35"/>
  <c r="O28"/>
  <c r="O122" s="1"/>
  <c r="J28"/>
  <c r="T28"/>
  <c r="P28"/>
  <c r="E114" i="24"/>
  <c r="G114" s="1"/>
  <c r="E94"/>
  <c r="G94" s="1"/>
  <c r="E80"/>
  <c r="E103"/>
  <c r="G103" s="1"/>
  <c r="E85"/>
  <c r="G85" s="1"/>
  <c r="E86" i="35"/>
  <c r="E52" i="24"/>
  <c r="G52" s="1"/>
  <c r="E92"/>
  <c r="G92" s="1"/>
  <c r="E64"/>
  <c r="G64" s="1"/>
  <c r="E62" i="35"/>
  <c r="F18" i="23"/>
  <c r="J18"/>
  <c r="O26" i="24" s="1"/>
  <c r="J14" i="23"/>
  <c r="O24" i="24" s="1"/>
  <c r="C14" i="31"/>
  <c r="C19" s="1"/>
  <c r="L18" i="23"/>
  <c r="Q26" i="24" s="1"/>
  <c r="E57"/>
  <c r="G57" s="1"/>
  <c r="E117"/>
  <c r="G117" s="1"/>
  <c r="E54" i="35"/>
  <c r="E106"/>
  <c r="E95"/>
  <c r="E42"/>
  <c r="E53"/>
  <c r="E50"/>
  <c r="E96"/>
  <c r="E92"/>
  <c r="E43"/>
  <c r="E32"/>
  <c r="G118" i="24"/>
  <c r="F122"/>
  <c r="F13" s="1"/>
  <c r="G80"/>
  <c r="E54"/>
  <c r="G54" s="1"/>
  <c r="C25" i="23"/>
  <c r="K51" i="35"/>
  <c r="K87"/>
  <c r="K89" i="24"/>
  <c r="E89" s="1"/>
  <c r="G89" s="1"/>
  <c r="C45" i="23"/>
  <c r="M84" i="35"/>
  <c r="E84" s="1"/>
  <c r="M80"/>
  <c r="M82" i="24"/>
  <c r="M110" s="1"/>
  <c r="K121"/>
  <c r="C86" i="23"/>
  <c r="P115" i="24"/>
  <c r="E115" s="1"/>
  <c r="G115" s="1"/>
  <c r="C76" i="23"/>
  <c r="E112" i="24"/>
  <c r="T116"/>
  <c r="T122" s="1"/>
  <c r="O89" i="23"/>
  <c r="E63" i="24"/>
  <c r="R66"/>
  <c r="C41" i="31"/>
  <c r="E88"/>
  <c r="E116" s="1"/>
  <c r="C29"/>
  <c r="H88"/>
  <c r="H116" s="1"/>
  <c r="I117" s="1"/>
  <c r="J56" i="24"/>
  <c r="E56" s="1"/>
  <c r="G56" s="1"/>
  <c r="C29" i="23"/>
  <c r="K58" i="24"/>
  <c r="C31" i="23"/>
  <c r="I104" i="24"/>
  <c r="D89" i="23"/>
  <c r="L113" i="24"/>
  <c r="L122" s="1"/>
  <c r="G89" i="23"/>
  <c r="I113" i="24"/>
  <c r="C74" i="23"/>
  <c r="O116" i="24"/>
  <c r="O122" s="1"/>
  <c r="J89" i="23"/>
  <c r="C26" i="31"/>
  <c r="F88"/>
  <c r="F116" s="1"/>
  <c r="K14" i="23"/>
  <c r="P24" i="24" s="1"/>
  <c r="K18" i="23"/>
  <c r="P26" i="24" s="1"/>
  <c r="E80" i="35"/>
  <c r="M59" i="24"/>
  <c r="C129" i="31"/>
  <c r="C82"/>
  <c r="C73"/>
  <c r="N116"/>
  <c r="O117" s="1"/>
  <c r="J116"/>
  <c r="D19"/>
  <c r="D116" s="1"/>
  <c r="F89" i="23"/>
  <c r="C82"/>
  <c r="K81" i="24"/>
  <c r="M56" i="35"/>
  <c r="E56" s="1"/>
  <c r="E43" i="24"/>
  <c r="G43" s="1"/>
  <c r="C130" i="23"/>
  <c r="C83"/>
  <c r="C42"/>
  <c r="C30"/>
  <c r="C84"/>
  <c r="C115"/>
  <c r="S59" i="24"/>
  <c r="Q121"/>
  <c r="M121"/>
  <c r="R120"/>
  <c r="R122" s="1"/>
  <c r="N120"/>
  <c r="N122" s="1"/>
  <c r="J120"/>
  <c r="K116"/>
  <c r="M116"/>
  <c r="Q116"/>
  <c r="S116"/>
  <c r="S122" s="1"/>
  <c r="F82"/>
  <c r="F110" s="1"/>
  <c r="F12" s="1"/>
  <c r="C114" i="31"/>
  <c r="C85"/>
  <c r="L88"/>
  <c r="L116" s="1"/>
  <c r="C76"/>
  <c r="K38" i="36"/>
  <c r="P38"/>
  <c r="K33"/>
  <c r="R33"/>
  <c r="K30"/>
  <c r="P30"/>
  <c r="K28"/>
  <c r="P28"/>
  <c r="K26"/>
  <c r="P26"/>
  <c r="K25"/>
  <c r="R25"/>
  <c r="K21"/>
  <c r="P21"/>
  <c r="K20"/>
  <c r="R20"/>
  <c r="C110" i="24"/>
  <c r="C12" s="1"/>
  <c r="E93"/>
  <c r="G93" s="1"/>
  <c r="E88"/>
  <c r="G88" s="1"/>
  <c r="E75"/>
  <c r="E55"/>
  <c r="G55" s="1"/>
  <c r="F64" i="35"/>
  <c r="F46"/>
  <c r="C120"/>
  <c r="C13" s="1"/>
  <c r="O52" i="36"/>
  <c r="E56" s="1"/>
  <c r="N53"/>
  <c r="D56"/>
  <c r="K48"/>
  <c r="P48"/>
  <c r="K47"/>
  <c r="R47"/>
  <c r="K37"/>
  <c r="P37"/>
  <c r="K29"/>
  <c r="P29"/>
  <c r="K27"/>
  <c r="P27"/>
  <c r="C122" i="24"/>
  <c r="C13" s="1"/>
  <c r="L14" i="23"/>
  <c r="Q24" i="24" s="1"/>
  <c r="E36"/>
  <c r="G36" s="1"/>
  <c r="E35"/>
  <c r="G35" s="1"/>
  <c r="E34"/>
  <c r="G34" s="1"/>
  <c r="E32"/>
  <c r="E108"/>
  <c r="G108" s="1"/>
  <c r="E107"/>
  <c r="G107" s="1"/>
  <c r="E106"/>
  <c r="G106" s="1"/>
  <c r="E105"/>
  <c r="G105" s="1"/>
  <c r="E100"/>
  <c r="G100" s="1"/>
  <c r="E98"/>
  <c r="G98" s="1"/>
  <c r="E90"/>
  <c r="G90" s="1"/>
  <c r="E50"/>
  <c r="G50" s="1"/>
  <c r="C108" i="35"/>
  <c r="C12" s="1"/>
  <c r="T38" i="36"/>
  <c r="R38"/>
  <c r="L38"/>
  <c r="M38" s="1"/>
  <c r="T33"/>
  <c r="L33"/>
  <c r="M33" s="1"/>
  <c r="T30"/>
  <c r="R30"/>
  <c r="L30"/>
  <c r="M30" s="1"/>
  <c r="T28"/>
  <c r="R28"/>
  <c r="L28"/>
  <c r="M28" s="1"/>
  <c r="T26"/>
  <c r="R26"/>
  <c r="L26"/>
  <c r="M26" s="1"/>
  <c r="T25"/>
  <c r="L25"/>
  <c r="M25" s="1"/>
  <c r="T21"/>
  <c r="R21"/>
  <c r="L21"/>
  <c r="M21" s="1"/>
  <c r="T20"/>
  <c r="L20"/>
  <c r="S28" i="35"/>
  <c r="S122" s="1"/>
  <c r="Q28"/>
  <c r="N28"/>
  <c r="K28"/>
  <c r="E37" i="24"/>
  <c r="G37" s="1"/>
  <c r="E45"/>
  <c r="G45" s="1"/>
  <c r="E44"/>
  <c r="G44" s="1"/>
  <c r="E42"/>
  <c r="G42" s="1"/>
  <c r="E99"/>
  <c r="G99" s="1"/>
  <c r="E97"/>
  <c r="G97" s="1"/>
  <c r="E96"/>
  <c r="G96" s="1"/>
  <c r="E95"/>
  <c r="G95" s="1"/>
  <c r="P18" i="36"/>
  <c r="E61" i="35"/>
  <c r="E105"/>
  <c r="E104"/>
  <c r="E101"/>
  <c r="E97"/>
  <c r="E93"/>
  <c r="E91"/>
  <c r="E90"/>
  <c r="E83"/>
  <c r="E111"/>
  <c r="E120" s="1"/>
  <c r="E13" s="1"/>
  <c r="G13" s="1"/>
  <c r="H13" s="1"/>
  <c r="E44"/>
  <c r="E34"/>
  <c r="E103"/>
  <c r="E98"/>
  <c r="E94"/>
  <c r="E88"/>
  <c r="E78"/>
  <c r="E45"/>
  <c r="E37"/>
  <c r="M28"/>
  <c r="L28"/>
  <c r="I122" l="1"/>
  <c r="K122" i="24"/>
  <c r="J122" i="35"/>
  <c r="F38"/>
  <c r="N122"/>
  <c r="G21"/>
  <c r="R122"/>
  <c r="F28"/>
  <c r="G70" i="24"/>
  <c r="G72" s="1"/>
  <c r="G10" s="1"/>
  <c r="E38"/>
  <c r="E15" s="1"/>
  <c r="E64" i="35"/>
  <c r="E9" s="1"/>
  <c r="G9" s="1"/>
  <c r="H9" s="1"/>
  <c r="Q122"/>
  <c r="T122"/>
  <c r="G46" i="24"/>
  <c r="G14" s="1"/>
  <c r="L122" i="35"/>
  <c r="P122"/>
  <c r="E82" i="24"/>
  <c r="G82" s="1"/>
  <c r="E113"/>
  <c r="G113" s="1"/>
  <c r="M57" i="35"/>
  <c r="M122" i="24"/>
  <c r="E46"/>
  <c r="E14" s="1"/>
  <c r="Q122"/>
  <c r="E121"/>
  <c r="G121" s="1"/>
  <c r="I122"/>
  <c r="J59"/>
  <c r="M20" i="36"/>
  <c r="M52" s="1"/>
  <c r="D55" s="1"/>
  <c r="L52"/>
  <c r="G75" i="24"/>
  <c r="G76" s="1"/>
  <c r="G11" s="1"/>
  <c r="E76"/>
  <c r="E11" s="1"/>
  <c r="F32"/>
  <c r="K57" i="35"/>
  <c r="E51"/>
  <c r="E57" s="1"/>
  <c r="E8" s="1"/>
  <c r="G8" s="1"/>
  <c r="H8" s="1"/>
  <c r="K26" i="24"/>
  <c r="E26" s="1"/>
  <c r="G26" s="1"/>
  <c r="C17" i="23"/>
  <c r="C16" i="35"/>
  <c r="C16" i="24"/>
  <c r="D12" s="1"/>
  <c r="E120"/>
  <c r="G120" s="1"/>
  <c r="J122"/>
  <c r="E81"/>
  <c r="K110"/>
  <c r="E104"/>
  <c r="G104" s="1"/>
  <c r="I110"/>
  <c r="E58"/>
  <c r="K59"/>
  <c r="G63"/>
  <c r="G66" s="1"/>
  <c r="G9" s="1"/>
  <c r="E66"/>
  <c r="E9" s="1"/>
  <c r="G112"/>
  <c r="E87" i="35"/>
  <c r="E108" s="1"/>
  <c r="E12" s="1"/>
  <c r="G12" s="1"/>
  <c r="H12" s="1"/>
  <c r="K108"/>
  <c r="E46"/>
  <c r="E14" s="1"/>
  <c r="G14" s="1"/>
  <c r="H14" s="1"/>
  <c r="D13" i="24"/>
  <c r="D13" i="35"/>
  <c r="R52" i="36"/>
  <c r="R53" s="1"/>
  <c r="E38" i="35"/>
  <c r="E15" s="1"/>
  <c r="G15" s="1"/>
  <c r="H15" s="1"/>
  <c r="P52" i="36"/>
  <c r="T52"/>
  <c r="K52"/>
  <c r="K53" s="1"/>
  <c r="F117" i="31"/>
  <c r="L117"/>
  <c r="C88"/>
  <c r="C116" s="1"/>
  <c r="C117" s="1"/>
  <c r="M108" i="35"/>
  <c r="C89" i="23"/>
  <c r="P122" i="24"/>
  <c r="E116"/>
  <c r="G116" s="1"/>
  <c r="H7" i="35"/>
  <c r="M122" l="1"/>
  <c r="F122" s="1"/>
  <c r="F123" s="1"/>
  <c r="F57"/>
  <c r="K122"/>
  <c r="H16"/>
  <c r="G122" i="24"/>
  <c r="G13" s="1"/>
  <c r="E59" i="36"/>
  <c r="D8" i="35"/>
  <c r="D15"/>
  <c r="D10"/>
  <c r="D11"/>
  <c r="D14"/>
  <c r="D9"/>
  <c r="D7"/>
  <c r="D12" i="23"/>
  <c r="G58" i="24"/>
  <c r="G59" s="1"/>
  <c r="G8" s="1"/>
  <c r="E59"/>
  <c r="E8" s="1"/>
  <c r="E110"/>
  <c r="E12" s="1"/>
  <c r="G81"/>
  <c r="G110" s="1"/>
  <c r="G12" s="1"/>
  <c r="D8"/>
  <c r="D9"/>
  <c r="D14"/>
  <c r="C17"/>
  <c r="C18" s="1"/>
  <c r="D15"/>
  <c r="D10"/>
  <c r="D7"/>
  <c r="D11"/>
  <c r="F38"/>
  <c r="F15" s="1"/>
  <c r="F16" s="1"/>
  <c r="G32"/>
  <c r="G38" s="1"/>
  <c r="G15" s="1"/>
  <c r="D58" i="36"/>
  <c r="E55"/>
  <c r="E60"/>
  <c r="E61" s="1"/>
  <c r="D57"/>
  <c r="F108" i="35"/>
  <c r="F121" s="1"/>
  <c r="E16"/>
  <c r="E17" s="1"/>
  <c r="E18" s="1"/>
  <c r="G16"/>
  <c r="E122" i="24"/>
  <c r="E13" s="1"/>
  <c r="D12" i="35"/>
  <c r="F11"/>
  <c r="D66" i="36" l="1"/>
  <c r="D16" i="24"/>
  <c r="F12" i="35"/>
  <c r="F13"/>
  <c r="F7"/>
  <c r="F10"/>
  <c r="F14"/>
  <c r="F8"/>
  <c r="F15"/>
  <c r="F9"/>
  <c r="E57" i="36"/>
  <c r="F57" s="1"/>
  <c r="E58"/>
  <c r="F59" s="1"/>
  <c r="H12" i="23"/>
  <c r="L12"/>
  <c r="O13"/>
  <c r="I22" i="24"/>
  <c r="G12" i="23"/>
  <c r="K12"/>
  <c r="O12"/>
  <c r="F12"/>
  <c r="J12"/>
  <c r="N12"/>
  <c r="D16"/>
  <c r="E12"/>
  <c r="I12"/>
  <c r="M12"/>
  <c r="H14"/>
  <c r="M24" i="24" s="1"/>
  <c r="D20" i="23"/>
  <c r="D117" s="1"/>
  <c r="D16" i="35"/>
  <c r="F16" l="1"/>
  <c r="R22" i="24"/>
  <c r="M16" i="23"/>
  <c r="R25" i="24" s="1"/>
  <c r="E16" i="23"/>
  <c r="J25" i="24" s="1"/>
  <c r="J22"/>
  <c r="N16" i="23"/>
  <c r="S25" i="24" s="1"/>
  <c r="S22"/>
  <c r="N20" i="23"/>
  <c r="N117" s="1"/>
  <c r="K22" i="24"/>
  <c r="K28" s="1"/>
  <c r="F16" i="23"/>
  <c r="K25" i="24" s="1"/>
  <c r="F20" i="23"/>
  <c r="F117" s="1"/>
  <c r="O16"/>
  <c r="T25" i="24" s="1"/>
  <c r="T22"/>
  <c r="O20" i="23"/>
  <c r="O117" s="1"/>
  <c r="G16"/>
  <c r="L25" i="24" s="1"/>
  <c r="L22"/>
  <c r="L28" s="1"/>
  <c r="T23"/>
  <c r="E23" s="1"/>
  <c r="G23" s="1"/>
  <c r="C13" i="23"/>
  <c r="H16"/>
  <c r="M25" i="24" s="1"/>
  <c r="M22"/>
  <c r="H20" i="23"/>
  <c r="H117" s="1"/>
  <c r="I16"/>
  <c r="N25" i="24" s="1"/>
  <c r="N22"/>
  <c r="I20" i="23"/>
  <c r="I117" s="1"/>
  <c r="I25" i="24"/>
  <c r="J16" i="23"/>
  <c r="O25" i="24" s="1"/>
  <c r="O22"/>
  <c r="K16" i="23"/>
  <c r="P25" i="24" s="1"/>
  <c r="P22"/>
  <c r="K20" i="23"/>
  <c r="K117" s="1"/>
  <c r="I28" i="24"/>
  <c r="L16" i="23"/>
  <c r="Q25" i="24" s="1"/>
  <c r="Q22"/>
  <c r="C12" i="23"/>
  <c r="S28" i="24" l="1"/>
  <c r="M20" i="23"/>
  <c r="M117" s="1"/>
  <c r="M28" i="24"/>
  <c r="G20" i="23"/>
  <c r="G117" s="1"/>
  <c r="I118" s="1"/>
  <c r="C15"/>
  <c r="Q28" i="24"/>
  <c r="L20" i="23"/>
  <c r="L117" s="1"/>
  <c r="E22" i="24"/>
  <c r="P28"/>
  <c r="O28"/>
  <c r="J20" i="23"/>
  <c r="J117" s="1"/>
  <c r="E25" i="24"/>
  <c r="G25" s="1"/>
  <c r="N28"/>
  <c r="O118" i="23"/>
  <c r="T28" i="24"/>
  <c r="R28"/>
  <c r="L118" i="23" l="1"/>
  <c r="G22" i="24"/>
  <c r="E62" i="36"/>
  <c r="F62" s="1"/>
  <c r="E14" i="23"/>
  <c r="E20" s="1"/>
  <c r="E117" s="1"/>
  <c r="F118" s="1"/>
  <c r="J24" i="24" l="1"/>
  <c r="J28" s="1"/>
  <c r="E66" i="36"/>
  <c r="E24" i="24"/>
  <c r="C14" i="23"/>
  <c r="C20" s="1"/>
  <c r="C117" s="1"/>
  <c r="C118" s="1"/>
  <c r="G24" i="24" l="1"/>
  <c r="G28" s="1"/>
  <c r="G7" s="1"/>
  <c r="E28"/>
  <c r="E7" s="1"/>
  <c r="E16" s="1"/>
  <c r="E17" s="1"/>
  <c r="G16" l="1"/>
  <c r="H7" s="1"/>
  <c r="H11" l="1"/>
  <c r="H9"/>
  <c r="H13"/>
  <c r="H14"/>
  <c r="H10"/>
  <c r="H15"/>
  <c r="H8"/>
  <c r="H16" s="1"/>
  <c r="H12"/>
</calcChain>
</file>

<file path=xl/comments1.xml><?xml version="1.0" encoding="utf-8"?>
<comments xmlns="http://schemas.openxmlformats.org/spreadsheetml/2006/main">
  <authors>
    <author>Jules Picche Ayala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28 empleados al 23 de Mayo 2008</t>
        </r>
      </text>
    </comment>
  </commentList>
</comments>
</file>

<file path=xl/comments2.xml><?xml version="1.0" encoding="utf-8"?>
<comments xmlns="http://schemas.openxmlformats.org/spreadsheetml/2006/main">
  <authors>
    <author>Jules Picche Ayala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28 empleados al 23 de Mayo 2008</t>
        </r>
      </text>
    </comment>
  </commentList>
</comments>
</file>

<file path=xl/sharedStrings.xml><?xml version="1.0" encoding="utf-8"?>
<sst xmlns="http://schemas.openxmlformats.org/spreadsheetml/2006/main" count="605" uniqueCount="328">
  <si>
    <t>MINISTERIO  DE  HACIENDA</t>
  </si>
  <si>
    <t>DIRECCION  GENERAL  DEL  PRESUPUESTO</t>
  </si>
  <si>
    <t>(10) SOLICITADO</t>
  </si>
  <si>
    <t>FUENTE DE FINANCIAMIENTO:</t>
  </si>
  <si>
    <t>No. DE</t>
  </si>
  <si>
    <t>PARTIDA</t>
  </si>
  <si>
    <t>(7)</t>
  </si>
  <si>
    <t>TITULO DE PLAZA</t>
  </si>
  <si>
    <t xml:space="preserve">(9) VIGENTE </t>
  </si>
  <si>
    <t>No.DE</t>
  </si>
  <si>
    <t>PLAZAS</t>
  </si>
  <si>
    <t>SUELDO</t>
  </si>
  <si>
    <t>MENSUAL</t>
  </si>
  <si>
    <t>MONTO</t>
  </si>
  <si>
    <t>ANUAL</t>
  </si>
  <si>
    <t>No.DE PLAZAS</t>
  </si>
  <si>
    <t>INPEP</t>
  </si>
  <si>
    <t>AFP</t>
  </si>
  <si>
    <t>TOTAL</t>
  </si>
  <si>
    <t>AGUINALDO</t>
  </si>
  <si>
    <t>REPUBLICA DE EL SALVADOR, C.A.</t>
  </si>
  <si>
    <t>PRESUPUESTO DE PERSONAL POR LÍNEA DE TRABAJO</t>
  </si>
  <si>
    <t>TOTALES</t>
  </si>
  <si>
    <t xml:space="preserve">SISTEMA DE PAGO: </t>
  </si>
  <si>
    <t>(1) INSTITUCION: SUPERINTENDENCIA DE COMPETENCIA</t>
  </si>
  <si>
    <t>Secretario General</t>
  </si>
  <si>
    <t>(3) AREA DE GESTION: 4 Apoyo al Desarrollo Economico</t>
  </si>
  <si>
    <t>Abogados II</t>
  </si>
  <si>
    <t>Economistas I</t>
  </si>
  <si>
    <t>Abogados I</t>
  </si>
  <si>
    <t>BONIFICACIONES</t>
  </si>
  <si>
    <t>ISSS</t>
  </si>
  <si>
    <t>INSAFORP</t>
  </si>
  <si>
    <t>AGUINALDOS</t>
  </si>
  <si>
    <t>DIETAS</t>
  </si>
  <si>
    <t>Total Remuneraciones</t>
  </si>
  <si>
    <t>(4) UNIDA PRESUPUESTARIA: 01 EFICIENCIA ECONÓMICA DE LOS MERCADOS</t>
  </si>
  <si>
    <t>(5) LINEA DE TRABAJO: Promoción, protección y garantía de la competencia</t>
  </si>
  <si>
    <t>Jefe de Unidad de Adquisiciones y Contrataciones</t>
  </si>
  <si>
    <t>Jefe Administrativo y de RRHH</t>
  </si>
  <si>
    <t>Jefe Unidad Financiera Institucional</t>
  </si>
  <si>
    <t>Superintendencia de Competencia de El Salvador</t>
  </si>
  <si>
    <t>Resumido por Actividad</t>
  </si>
  <si>
    <t>Actividades</t>
  </si>
  <si>
    <t>Total</t>
  </si>
  <si>
    <t>Correlativo Hacienda</t>
  </si>
  <si>
    <t xml:space="preserve">Material Impreso </t>
  </si>
  <si>
    <t>Publicidad y comunicaciones varias</t>
  </si>
  <si>
    <t>Otras instalaciones + cableado</t>
  </si>
  <si>
    <t>Dietas</t>
  </si>
  <si>
    <t>Mantenimiento de equipos de oficina</t>
  </si>
  <si>
    <t>Mantenimiento de vehículos</t>
  </si>
  <si>
    <t>Combustibles y lubricantes</t>
  </si>
  <si>
    <t>Productos alimenticios para personas</t>
  </si>
  <si>
    <t>Seguro Médico</t>
  </si>
  <si>
    <t>Seguro para bienes</t>
  </si>
  <si>
    <t>I S S S e INSAFORP</t>
  </si>
  <si>
    <t>Auditoría Externa</t>
  </si>
  <si>
    <t>Auditor Interno</t>
  </si>
  <si>
    <t>Botiquín</t>
  </si>
  <si>
    <t>Llantas y Neumaticos</t>
  </si>
  <si>
    <t xml:space="preserve">Boletos </t>
  </si>
  <si>
    <t>Viáticos, estadía y gastos terminales</t>
  </si>
  <si>
    <t>%</t>
  </si>
  <si>
    <t>Remuneraciones Diversas</t>
  </si>
  <si>
    <t>Vacaciones</t>
  </si>
  <si>
    <t xml:space="preserve">I Remuneraciones (ver anexo "A") </t>
  </si>
  <si>
    <t>IV. Capacitación en el Exterior</t>
  </si>
  <si>
    <t>V. Biblioteca</t>
  </si>
  <si>
    <t>VI. Consultorías</t>
  </si>
  <si>
    <t>Herramientas, Repuestos y Accesorios</t>
  </si>
  <si>
    <t>Minerales métalicos y productos derivados</t>
  </si>
  <si>
    <t>Productos Químicos</t>
  </si>
  <si>
    <t>Productos de Cuero y Caucho</t>
  </si>
  <si>
    <t>Productos Agropecuarios y forestales</t>
  </si>
  <si>
    <t>III. Campaña de Divulgación</t>
  </si>
  <si>
    <t>Monto 2008</t>
  </si>
  <si>
    <t>Remuneraciones</t>
  </si>
  <si>
    <t>Activo Fijo (Equipo y Mobiliario)</t>
  </si>
  <si>
    <t>Campaña de Divulgación</t>
  </si>
  <si>
    <t>Capacitación en el Exterior</t>
  </si>
  <si>
    <t>Biblioteca</t>
  </si>
  <si>
    <t>Consultorías</t>
  </si>
  <si>
    <t>Gastos Generales de Apoyo</t>
  </si>
  <si>
    <t>Bonificaciones + Vacaciones</t>
  </si>
  <si>
    <t>VIII. Gastos Generales de Apoyo</t>
  </si>
  <si>
    <t>Seguros</t>
  </si>
  <si>
    <t>Libros temas actuales y competencia</t>
  </si>
  <si>
    <t>C O S T O S    F I J O S</t>
  </si>
  <si>
    <t>Atenciones Oficiales</t>
  </si>
  <si>
    <t>Viaticos Internos</t>
  </si>
  <si>
    <t>Costos Fijos</t>
  </si>
  <si>
    <t>II. Activo Fijo ( Equipo y Mobiliario )</t>
  </si>
  <si>
    <t>III. Seguros</t>
  </si>
  <si>
    <t>Rubro 51       I</t>
  </si>
  <si>
    <t>Rubro 61      II</t>
  </si>
  <si>
    <t xml:space="preserve">Electricidad </t>
  </si>
  <si>
    <t>FONDO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</si>
  <si>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</si>
  <si>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</si>
  <si>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</si>
  <si>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</si>
  <si>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</si>
  <si>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</si>
  <si>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</si>
  <si>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</si>
  <si>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</si>
  <si>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</si>
  <si>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</si>
  <si>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</si>
  <si>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EGRESOS</t>
  </si>
  <si>
    <t>REMUNERACIONES</t>
  </si>
  <si>
    <t>REMUNERACIONES EVENTUALES</t>
  </si>
  <si>
    <t>REMUNERACIONES DIVERSAS</t>
  </si>
  <si>
    <t>TOTAL RUBRO 51</t>
  </si>
  <si>
    <t>ADQUISICIONES DE BIENES Y SERVICIOS</t>
  </si>
  <si>
    <t>PRODUCTOS ALIMENTICIOS PARA PERSONAS</t>
  </si>
  <si>
    <t>PRODUCTOS AGROPECUARIOS Y FORESTALES</t>
  </si>
  <si>
    <t>PRODUCTOS TEXTILES Y VESTUARIOS</t>
  </si>
  <si>
    <t>PRODUCTOS DE PAPEL Y CARTON</t>
  </si>
  <si>
    <t>PRODUCTOS FARMACEUTICOS Y MEDICINALES</t>
  </si>
  <si>
    <t>LLANTAS Y NEUMATICOS</t>
  </si>
  <si>
    <t>COMBUSTIBLES Y LUBRICANTES</t>
  </si>
  <si>
    <t>MATERIALES DE OFICINA</t>
  </si>
  <si>
    <t>MATERIALES INFORMATICOS</t>
  </si>
  <si>
    <t>Libros, Textos, Utiles de Enseñanza y Publicaciones</t>
  </si>
  <si>
    <t xml:space="preserve">MATERIALES ELECTRICOS </t>
  </si>
  <si>
    <t>BIENES DE USO Y CONSUMO DIVERSOS</t>
  </si>
  <si>
    <t>SERVICIOS DE TELECOMUNICACIONES</t>
  </si>
  <si>
    <t>SERVICIOS DE CORREOS</t>
  </si>
  <si>
    <t>TRANSPORTES, FLETES Y ALMACENAMIENTOS</t>
  </si>
  <si>
    <t>SERVICIOS DE LIMPIEZAS Y FUMIGACIONES</t>
  </si>
  <si>
    <t>IMPRESIONES, PUBLICACIONES Y REPRODUCCIONES</t>
  </si>
  <si>
    <t>ATENCIONES OFICIALES</t>
  </si>
  <si>
    <t>ARRENDAMIENTO DE BIENES INMUEBLES</t>
  </si>
  <si>
    <t>SERVICIOS GENERALES DE ARRENDAMIENTO DIVERSOS</t>
  </si>
  <si>
    <t>SERVICIOS DE CONTABILIDAD Y AUDITORIA</t>
  </si>
  <si>
    <t>SERVICIOS DE PUBLICIDAD</t>
  </si>
  <si>
    <t>PASAJES AL EXTERIOR</t>
  </si>
  <si>
    <t>VIATICOS POR COMISION EXTERNA</t>
  </si>
  <si>
    <t xml:space="preserve">SERVICIOS DE CAPACITACION </t>
  </si>
  <si>
    <t>CONSULTORIAS, ESTUDIOS E INVESTIGACIONES DIVERSAS</t>
  </si>
  <si>
    <t>TOTAL RUBRO 54</t>
  </si>
  <si>
    <t>GASTOS FINANCIEROS Y OTROS</t>
  </si>
  <si>
    <t>TASAS</t>
  </si>
  <si>
    <t>DERECHOS</t>
  </si>
  <si>
    <t>Impuestos, Tasas y Derechos Diversos</t>
  </si>
  <si>
    <t>PRIMAS Y GASTOS DE SEGUROS DE PERSONAS</t>
  </si>
  <si>
    <t>PRIMAS Y GASTOS DE SEGUROS DE BIENES</t>
  </si>
  <si>
    <t>COMISIONES Y GASTOS BANCARIOS</t>
  </si>
  <si>
    <t>GASTOS DIVERSOS</t>
  </si>
  <si>
    <t>TOTAL RUBRO 55</t>
  </si>
  <si>
    <t>TRANSFERENCIAS CORRIENTES</t>
  </si>
  <si>
    <t>A EMPRESAS PRIVADAS NO FINANCIERAS</t>
  </si>
  <si>
    <t>A ORGANISMOS MULTILATERALES</t>
  </si>
  <si>
    <t>TOTAL RUBRO 56</t>
  </si>
  <si>
    <t>INVERSIONES EN ACTIVOS FIJOS</t>
  </si>
  <si>
    <t>MOBILIARIOS</t>
  </si>
  <si>
    <t>MAQUINARIAS Y EQUIPOS</t>
  </si>
  <si>
    <t>EQUIPOS INFORMATICOS</t>
  </si>
  <si>
    <t>EQUIPO DE TRANSPORTE</t>
  </si>
  <si>
    <t>LIBROS Y COLECCIONES</t>
  </si>
  <si>
    <t>Bienes Muebles Diversos</t>
  </si>
  <si>
    <t>TOTAL RUBRO 61</t>
  </si>
  <si>
    <t>RECURSOS PROPIOS</t>
  </si>
  <si>
    <t>Capacitación en el exterior</t>
  </si>
  <si>
    <t>PRODUCTOS DE CUERO Y CAUCHO</t>
  </si>
  <si>
    <t>PRODUCTOS QUIMICOS</t>
  </si>
  <si>
    <t>Minerales Métalicos y Productos Derivados</t>
  </si>
  <si>
    <t>Fondo Circulante</t>
  </si>
  <si>
    <t>Mantenimiento y REPARACIONES DE VEHICULOS</t>
  </si>
  <si>
    <t>Mantenimiento y REPARACIONES de Bienes Inmuebles</t>
  </si>
  <si>
    <t>Servicios Generales</t>
  </si>
  <si>
    <t>Pasantías</t>
  </si>
  <si>
    <t>PASAJES AL INTERIOR</t>
  </si>
  <si>
    <t>VIATICOS POR COMISION INTERNA</t>
  </si>
  <si>
    <t>COSTOS  FIJOS</t>
  </si>
  <si>
    <t>Derechos de Propiedad Intelectual</t>
  </si>
  <si>
    <t>TOTAL EROGACIONES</t>
  </si>
  <si>
    <t>Arrendamiento de Bienes Muebles</t>
  </si>
  <si>
    <t>Minerales N0 Métalicos y Productos Derivados</t>
  </si>
  <si>
    <t>Rubro 55     III</t>
  </si>
  <si>
    <t>Rubro 54     IV</t>
  </si>
  <si>
    <t>Rubro 54      V</t>
  </si>
  <si>
    <t>Rubro 54     VI</t>
  </si>
  <si>
    <t>Rubro 54   VIII</t>
  </si>
  <si>
    <t>Rubro 54    VII</t>
  </si>
  <si>
    <t>Equipos Informaticos</t>
  </si>
  <si>
    <t>Consumo Diverso</t>
  </si>
  <si>
    <t>Servicios de Correo</t>
  </si>
  <si>
    <t>Servicios de CAPACITACION</t>
  </si>
  <si>
    <t>Materiales Informaticos</t>
  </si>
  <si>
    <t>Mantenimiento y Reparación de Bienes In.</t>
  </si>
  <si>
    <t xml:space="preserve">Gastos de Representación </t>
  </si>
  <si>
    <t>A F P</t>
  </si>
  <si>
    <t>Asistente Ejecutiva</t>
  </si>
  <si>
    <t>Asistente General</t>
  </si>
  <si>
    <t>Comunicaciones ( Telefonía móvil, fija, etc.)</t>
  </si>
  <si>
    <t>*</t>
  </si>
  <si>
    <t>Mobliario</t>
  </si>
  <si>
    <t>Comisiones</t>
  </si>
  <si>
    <t>Materiales de Oficina</t>
  </si>
  <si>
    <t>Servicios de Limpiezas y Fumigaciones</t>
  </si>
  <si>
    <t>Equipo de Transporte</t>
  </si>
  <si>
    <t>T O T A L</t>
  </si>
  <si>
    <t>Libros y Colecciones</t>
  </si>
  <si>
    <t>Derechos de Propiedad Intelectual -Licencias-</t>
  </si>
  <si>
    <t>Bienes de Uso y Consumo Diversos</t>
  </si>
  <si>
    <t>Servicios Generales y Arrendamientos Diver.</t>
  </si>
  <si>
    <t>Consultorías, Estudios e Investigaciones</t>
  </si>
  <si>
    <t>Productos Textiles y de vestuario</t>
  </si>
  <si>
    <t>Productos de Papel y Carton</t>
  </si>
  <si>
    <t>Arrendamiento Bienes Inmuebles</t>
  </si>
  <si>
    <t>Productos de Papel y Cartón</t>
  </si>
  <si>
    <t>Subcontrataciones (limpieza)</t>
  </si>
  <si>
    <t>Sueldos</t>
  </si>
  <si>
    <t>Aguinaldos</t>
  </si>
  <si>
    <t>Salario</t>
  </si>
  <si>
    <t>Experto en Concentraciones Económicas</t>
  </si>
  <si>
    <t>Experto en Derecho Constitucional</t>
  </si>
  <si>
    <t>Jefa de Relaciones Públicas</t>
  </si>
  <si>
    <t>Encargado de Monitoreo de Medios</t>
  </si>
  <si>
    <t>Mensual</t>
  </si>
  <si>
    <t>Anual</t>
  </si>
  <si>
    <t>Plan Actual</t>
  </si>
  <si>
    <t>Vacas.</t>
  </si>
  <si>
    <t>Monto 2009</t>
  </si>
  <si>
    <t>Presupuesto 2009</t>
  </si>
  <si>
    <t>(2) EJERCICIO: 2009</t>
  </si>
  <si>
    <t>(6) CIFRA PRESUPUESTARIA: 2009-4117-4-01-01-21-1</t>
  </si>
  <si>
    <t>DIETAS (US$75.0*5)*4</t>
  </si>
  <si>
    <t>SUELDOS ( Sin Categorización )</t>
  </si>
  <si>
    <t>AGUINALDOS =</t>
  </si>
  <si>
    <t>REMUNERACIONES EVENTUALES (US$20,119.88*.075)</t>
  </si>
  <si>
    <t>BENEFICIOS ADICIONALES ( Vacaciones y Bono )</t>
  </si>
  <si>
    <t>EJERCICIO FINANCIERO DEL PRESUPUESTO 2009</t>
  </si>
  <si>
    <t>Mantenimiento y reparación de Bienes Muebles               ( Xerox )</t>
  </si>
  <si>
    <t>&lt; Bodega &gt;</t>
  </si>
  <si>
    <t>( Internet, IP  )</t>
  </si>
  <si>
    <t>( Tel. Móvil ) { 2 d US$21; 2 d US$30 y US$75 }</t>
  </si>
  <si>
    <r>
      <t>&lt; Infornet</t>
    </r>
    <r>
      <rPr>
        <sz val="8"/>
        <rFont val="Arial"/>
        <family val="2"/>
      </rPr>
      <t>®</t>
    </r>
    <r>
      <rPr>
        <sz val="9"/>
        <rFont val="Arial"/>
        <family val="2"/>
      </rPr>
      <t xml:space="preserve"> &gt;</t>
    </r>
  </si>
  <si>
    <t>SERVICIOS DE ENERGIA ELECTRICA                                   [ Var. ]</t>
  </si>
  <si>
    <t>( Telefonía Fija ) [ Var. ]</t>
  </si>
  <si>
    <t>PRODUCTOS AGROPECUARIOS Y FORESTALES               [Var.]</t>
  </si>
  <si>
    <t>PRODUCTOS ALIMENTICIOS PARA PERSONAS                 [ Var. ]</t>
  </si>
  <si>
    <t>SERVICIOS DE AGUA { Potable }                                                [ Var.]</t>
  </si>
  <si>
    <t>Derechos de Intangibles Diversos</t>
  </si>
  <si>
    <t>Mantenimiento y reparación de Bienes Muebles</t>
  </si>
  <si>
    <t>Libros y Publicaciones</t>
  </si>
  <si>
    <t>Minerales NO métalicos y productos derivados</t>
  </si>
  <si>
    <t>Transportes, fletes y almacenamientos</t>
  </si>
  <si>
    <t>Enlace E1 DID para telefonía fija y celular</t>
  </si>
  <si>
    <t>Mantenimiento de Bienes Muebles</t>
  </si>
  <si>
    <t>Productos alimenticios (Agua embotellada)</t>
  </si>
  <si>
    <t>Agua ( potable )</t>
  </si>
  <si>
    <t>Servicios de vigilancia</t>
  </si>
  <si>
    <t>Adicional</t>
  </si>
  <si>
    <t>Maquinaria y Equipos</t>
  </si>
  <si>
    <t>MONTO 2009*</t>
  </si>
  <si>
    <t>Jefe de Unidad de Informática</t>
  </si>
  <si>
    <t>Tesorero Institucional</t>
  </si>
  <si>
    <t>Contador Institucional</t>
  </si>
  <si>
    <t>Motorista I</t>
  </si>
  <si>
    <t>Asistente en Informatica</t>
  </si>
  <si>
    <t>Director de Unidad de Comunicaciones</t>
  </si>
  <si>
    <t>* Salarios menores de US$2,000.00, incremento de US$50.0</t>
  </si>
  <si>
    <t>Categoría</t>
  </si>
  <si>
    <t>1ª</t>
  </si>
  <si>
    <t>2ª</t>
  </si>
  <si>
    <t>3ª</t>
  </si>
  <si>
    <t>4ª</t>
  </si>
  <si>
    <t>5ª</t>
  </si>
  <si>
    <t>6ª</t>
  </si>
  <si>
    <t>7ª</t>
  </si>
  <si>
    <t>REMUNERACIONES EVENTUALES (US$22,912.72*.075)</t>
  </si>
  <si>
    <t>REMUNERACIONES EVENTUALES /US$78621.95 * max</t>
  </si>
  <si>
    <t>Jefe de Relaciones Internacionales</t>
  </si>
  <si>
    <t>**</t>
  </si>
  <si>
    <t>***</t>
  </si>
  <si>
    <t>DIETAS (US$200.0*5)*4</t>
  </si>
  <si>
    <t>Rec »</t>
  </si>
  <si>
    <t>Superintendente                                                  Superintendente de Competencia Y Pdta. CD</t>
  </si>
  <si>
    <r>
      <t>Motorista II {</t>
    </r>
    <r>
      <rPr>
        <u/>
        <sz val="11"/>
        <color indexed="8"/>
        <rFont val="Arial"/>
        <family val="2"/>
      </rPr>
      <t>Mensajero</t>
    </r>
    <r>
      <rPr>
        <sz val="11"/>
        <color indexed="8"/>
        <rFont val="Arial"/>
        <family val="2"/>
      </rPr>
      <t>}</t>
    </r>
  </si>
  <si>
    <t>Economistas II                                                    Experto en investigaciones de Lic. Públicas</t>
  </si>
  <si>
    <t>Economistas II                                                    Especialista en Competencia II</t>
  </si>
  <si>
    <t>Economistas I                                                     Especialista en Competencia I</t>
  </si>
  <si>
    <t>Intendente de abogacía de la Competencia</t>
  </si>
  <si>
    <t>Encargado de Relaciones Internacionales</t>
  </si>
  <si>
    <t>Intendente legal                                                          Intendente de Investigaciones</t>
  </si>
  <si>
    <t>Intendente económico                                                         Director de Estudios Económicos</t>
  </si>
  <si>
    <t>Auxiliar de Transporte</t>
  </si>
  <si>
    <t>Auxiliar de Servicio</t>
  </si>
  <si>
    <t>Asistente Administrativa</t>
  </si>
  <si>
    <t>Especialista en Tecnologías de información y seguridad</t>
  </si>
  <si>
    <t xml:space="preserve">Superintendente de Competencia </t>
  </si>
  <si>
    <t>Oficial de Información</t>
  </si>
  <si>
    <t>CARGOS</t>
  </si>
  <si>
    <t xml:space="preserve">No </t>
  </si>
  <si>
    <t>Coordinadores</t>
  </si>
  <si>
    <t>Abogado I</t>
  </si>
  <si>
    <t>Economista I</t>
  </si>
  <si>
    <t>RANGO SALARIAL</t>
  </si>
  <si>
    <t>Jefaturas</t>
  </si>
  <si>
    <t>Directores</t>
  </si>
  <si>
    <t>Investigadores</t>
  </si>
  <si>
    <t>Digital Manager y Estratega de Comunicaciones</t>
  </si>
  <si>
    <t>$ 3,600.00   -   $ 4,000.00</t>
  </si>
  <si>
    <t>$ 2,050.00   -   $ 2,900.00</t>
  </si>
  <si>
    <t>$ 2,500.00   -   2,700.00</t>
  </si>
  <si>
    <t>$ 1,500.00   -   $ 2,500.00</t>
  </si>
  <si>
    <t>$ 2,300.00   -   $2,700.00</t>
  </si>
  <si>
    <t>$ 1,870.00   -   $2,300.00.00</t>
  </si>
  <si>
    <t>$ 1,400.00   -   $2,500.00</t>
  </si>
  <si>
    <t>Intendentes</t>
  </si>
  <si>
    <t>CURSO DE EXCEL</t>
  </si>
  <si>
    <t>FECHA DE INICIO: 04 DE NOVIEMBRE DE 2014</t>
  </si>
  <si>
    <t>FECHA DE FINALIZACION: 11 DE DICIEMBRE DE 2014</t>
  </si>
  <si>
    <t>IMPARTIDO POR: ING. FRANK VILLALTA, DIRECTOR INFORMATICO</t>
  </si>
  <si>
    <t>FECHA</t>
  </si>
  <si>
    <t>NOMBRE</t>
  </si>
  <si>
    <t>FIRMA</t>
  </si>
  <si>
    <t>LISTA DE ASISTENTES</t>
  </si>
  <si>
    <t>HORARIO: 7:30 AM / 8:30 AM</t>
  </si>
  <si>
    <t>$ 2,700.00 -  $3,400.00</t>
  </si>
  <si>
    <t>Nota: el salario varía dentro del rango en atención a méritos académicos, antigüedad u otros.</t>
  </si>
  <si>
    <t xml:space="preserve">Encargados de Relaciones Institucionales, Participación Ciudadana, </t>
  </si>
  <si>
    <t>Colaboradores, Integracion Centroamericana</t>
  </si>
  <si>
    <t>Secretaria General de la Superintendencia de Competencia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</si>
</sst>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$$-440A]#,##0.00"/>
    <numFmt numFmtId="166" formatCode="[$$-440A]#,##0"/>
    <numFmt numFmtId="167" formatCode="[$$-409]#,##0.00"/>
    <numFmt numFmtId="168" formatCode="0.0%"/>
    <numFmt numFmtId="169" formatCode="_(* #,##0_);_(* \(#,##0\);_(* &quot;-&quot;??_);_(@_)"/>
    <numFmt numFmtId="170" formatCode="0.000000000%"/>
  </numFmts>
  <fonts count="10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b/>
      <sz val="10"/>
      <color indexed="18"/>
      <name val="Arial"/>
      <family val="2"/>
    </font>
    <font>
      <b/>
      <sz val="16"/>
      <color indexed="18"/>
      <name val="Arial"/>
      <family val="2"/>
    </font>
    <font>
      <b/>
      <sz val="14"/>
      <color indexed="18"/>
      <name val="Arial"/>
      <family val="2"/>
    </font>
    <font>
      <sz val="11"/>
      <color indexed="18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6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59"/>
      <name val="Arial"/>
      <family val="2"/>
    </font>
    <font>
      <i/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18"/>
      <name val="Tahoma"/>
      <family val="2"/>
    </font>
    <font>
      <b/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8"/>
      <name val="Tahoma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62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sz val="11"/>
      <color indexed="8"/>
      <name val="Tahoma"/>
      <family val="2"/>
    </font>
    <font>
      <i/>
      <sz val="9"/>
      <color indexed="62"/>
      <name val="Arial"/>
      <family val="2"/>
    </font>
    <font>
      <b/>
      <sz val="11"/>
      <color indexed="10"/>
      <name val="Arial"/>
      <family val="2"/>
    </font>
    <font>
      <i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color indexed="62"/>
      <name val="Arial"/>
      <family val="2"/>
    </font>
    <font>
      <b/>
      <i/>
      <sz val="10"/>
      <color indexed="62"/>
      <name val="Arial"/>
      <family val="2"/>
    </font>
    <font>
      <i/>
      <sz val="10"/>
      <color indexed="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12"/>
      <color indexed="8"/>
      <name val="Arial"/>
      <family val="2"/>
    </font>
    <font>
      <sz val="10"/>
      <color indexed="59"/>
      <name val="Arial"/>
      <family val="2"/>
    </font>
    <font>
      <sz val="11"/>
      <color indexed="10"/>
      <name val="Arial"/>
      <family val="2"/>
    </font>
    <font>
      <sz val="9"/>
      <color indexed="8"/>
      <name val="Century Gothic"/>
      <family val="2"/>
    </font>
    <font>
      <sz val="11"/>
      <name val="Arial"/>
      <family val="2"/>
    </font>
    <font>
      <b/>
      <sz val="18"/>
      <color indexed="18"/>
      <name val="Arial"/>
      <family val="2"/>
    </font>
    <font>
      <b/>
      <u/>
      <sz val="11"/>
      <color indexed="18"/>
      <name val="Century Gothic"/>
      <family val="2"/>
    </font>
    <font>
      <b/>
      <i/>
      <sz val="8"/>
      <color indexed="18"/>
      <name val="Arial"/>
      <family val="2"/>
    </font>
    <font>
      <sz val="9"/>
      <name val="Arial"/>
      <family val="2"/>
    </font>
    <font>
      <i/>
      <sz val="9"/>
      <color indexed="8"/>
      <name val="Arial"/>
      <family val="2"/>
    </font>
    <font>
      <b/>
      <sz val="9"/>
      <color indexed="18"/>
      <name val="Tahoma"/>
      <family val="2"/>
    </font>
    <font>
      <b/>
      <sz val="8"/>
      <color indexed="8"/>
      <name val="Arial"/>
      <family val="2"/>
    </font>
    <font>
      <sz val="9"/>
      <color indexed="10"/>
      <name val="Arial"/>
      <family val="2"/>
    </font>
    <font>
      <sz val="10"/>
      <color indexed="18"/>
      <name val="Arial"/>
      <family val="2"/>
    </font>
    <font>
      <sz val="10"/>
      <color indexed="16"/>
      <name val="Arial"/>
      <family val="2"/>
    </font>
    <font>
      <sz val="9"/>
      <color indexed="12"/>
      <name val="Arial"/>
      <family val="2"/>
    </font>
    <font>
      <sz val="9"/>
      <color indexed="12"/>
      <name val="Arial"/>
      <family val="2"/>
    </font>
    <font>
      <sz val="9"/>
      <color indexed="62"/>
      <name val="Arial"/>
      <family val="2"/>
    </font>
    <font>
      <sz val="9"/>
      <name val="Arial Black"/>
      <family val="2"/>
    </font>
    <font>
      <b/>
      <sz val="10"/>
      <color indexed="16"/>
      <name val="Tahoma"/>
      <family val="2"/>
    </font>
    <font>
      <b/>
      <sz val="11"/>
      <color indexed="8"/>
      <name val="Arial"/>
      <family val="2"/>
    </font>
    <font>
      <sz val="11"/>
      <color indexed="18"/>
      <name val="Arial"/>
      <family val="2"/>
    </font>
    <font>
      <sz val="9"/>
      <color indexed="18"/>
      <name val="Arial Black"/>
      <family val="2"/>
    </font>
    <font>
      <b/>
      <sz val="10"/>
      <color indexed="17"/>
      <name val="Arial"/>
      <family val="2"/>
    </font>
    <font>
      <b/>
      <sz val="9"/>
      <color indexed="10"/>
      <name val="Arial"/>
      <family val="2"/>
    </font>
    <font>
      <u/>
      <sz val="11"/>
      <color indexed="8"/>
      <name val="Arial"/>
      <family val="2"/>
    </font>
    <font>
      <sz val="9"/>
      <color indexed="16"/>
      <name val="Century Gothic"/>
      <family val="2"/>
    </font>
    <font>
      <sz val="9"/>
      <color indexed="16"/>
      <name val="Arial"/>
      <family val="2"/>
    </font>
    <font>
      <sz val="9"/>
      <color indexed="16"/>
      <name val="Arial"/>
      <family val="2"/>
    </font>
    <font>
      <i/>
      <sz val="9"/>
      <color indexed="16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name val="Arial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1" fillId="4" borderId="0" applyNumberFormat="0" applyBorder="0" applyAlignment="0" applyProtection="0"/>
    <xf numFmtId="0" fontId="52" fillId="16" borderId="1" applyNumberFormat="0" applyAlignment="0" applyProtection="0"/>
    <xf numFmtId="0" fontId="53" fillId="17" borderId="2" applyNumberFormat="0" applyAlignment="0" applyProtection="0"/>
    <xf numFmtId="0" fontId="54" fillId="0" borderId="3" applyNumberFormat="0" applyFill="0" applyAlignment="0" applyProtection="0"/>
    <xf numFmtId="0" fontId="55" fillId="0" borderId="0" applyNumberFormat="0" applyFill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21" borderId="0" applyNumberFormat="0" applyBorder="0" applyAlignment="0" applyProtection="0"/>
    <xf numFmtId="0" fontId="56" fillId="7" borderId="1" applyNumberFormat="0" applyAlignment="0" applyProtection="0"/>
    <xf numFmtId="0" fontId="57" fillId="3" borderId="0" applyNumberFormat="0" applyBorder="0" applyAlignment="0" applyProtection="0"/>
    <xf numFmtId="43" fontId="1" fillId="0" borderId="0" applyFont="0" applyFill="0" applyBorder="0" applyAlignment="0" applyProtection="0"/>
    <xf numFmtId="0" fontId="58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59" fillId="16" borderId="5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6" applyNumberFormat="0" applyFill="0" applyAlignment="0" applyProtection="0"/>
    <xf numFmtId="0" fontId="64" fillId="0" borderId="7" applyNumberFormat="0" applyFill="0" applyAlignment="0" applyProtection="0"/>
    <xf numFmtId="0" fontId="55" fillId="0" borderId="8" applyNumberFormat="0" applyFill="0" applyAlignment="0" applyProtection="0"/>
    <xf numFmtId="0" fontId="65" fillId="0" borderId="9" applyNumberFormat="0" applyFill="0" applyAlignment="0" applyProtection="0"/>
    <xf numFmtId="44" fontId="102" fillId="0" borderId="0" applyFont="0" applyFill="0" applyBorder="0" applyAlignment="0" applyProtection="0"/>
  </cellStyleXfs>
  <cellXfs count="553">
    <xf numFmtId="0" fontId="0" fillId="0" borderId="0" xfId="0"/>
    <xf numFmtId="0" fontId="2" fillId="0" borderId="0" xfId="0" applyFont="1" applyAlignment="1">
      <alignment horizontal="center"/>
    </xf>
    <xf numFmtId="0" fontId="3" fillId="24" borderId="0" xfId="0" applyFont="1" applyFill="1"/>
    <xf numFmtId="0" fontId="6" fillId="24" borderId="0" xfId="0" applyFont="1" applyFill="1" applyAlignment="1">
      <alignment horizontal="left"/>
    </xf>
    <xf numFmtId="0" fontId="6" fillId="24" borderId="0" xfId="0" applyFont="1" applyFill="1" applyAlignment="1">
      <alignment horizontal="right"/>
    </xf>
    <xf numFmtId="0" fontId="4" fillId="24" borderId="0" xfId="0" applyFont="1" applyFill="1"/>
    <xf numFmtId="0" fontId="5" fillId="24" borderId="10" xfId="0" applyFont="1" applyFill="1" applyBorder="1" applyAlignment="1">
      <alignment horizontal="center"/>
    </xf>
    <xf numFmtId="0" fontId="5" fillId="24" borderId="11" xfId="0" applyFont="1" applyFill="1" applyBorder="1" applyAlignment="1">
      <alignment horizontal="center"/>
    </xf>
    <xf numFmtId="0" fontId="5" fillId="24" borderId="12" xfId="0" applyFont="1" applyFill="1" applyBorder="1" applyAlignment="1">
      <alignment horizontal="center"/>
    </xf>
    <xf numFmtId="0" fontId="3" fillId="24" borderId="13" xfId="0" applyFont="1" applyFill="1" applyBorder="1"/>
    <xf numFmtId="0" fontId="3" fillId="24" borderId="14" xfId="0" applyFont="1" applyFill="1" applyBorder="1"/>
    <xf numFmtId="0" fontId="3" fillId="24" borderId="15" xfId="0" applyFont="1" applyFill="1" applyBorder="1"/>
    <xf numFmtId="0" fontId="3" fillId="24" borderId="16" xfId="0" applyFont="1" applyFill="1" applyBorder="1" applyAlignment="1">
      <alignment horizontal="center"/>
    </xf>
    <xf numFmtId="49" fontId="5" fillId="24" borderId="17" xfId="0" applyNumberFormat="1" applyFont="1" applyFill="1" applyBorder="1" applyAlignment="1">
      <alignment horizontal="center"/>
    </xf>
    <xf numFmtId="0" fontId="5" fillId="24" borderId="18" xfId="0" applyFont="1" applyFill="1" applyBorder="1" applyAlignment="1">
      <alignment horizontal="center"/>
    </xf>
    <xf numFmtId="0" fontId="5" fillId="24" borderId="19" xfId="0" applyFont="1" applyFill="1" applyBorder="1" applyAlignment="1">
      <alignment horizontal="center"/>
    </xf>
    <xf numFmtId="0" fontId="5" fillId="24" borderId="16" xfId="0" applyFont="1" applyFill="1" applyBorder="1" applyAlignment="1">
      <alignment horizontal="center"/>
    </xf>
    <xf numFmtId="164" fontId="5" fillId="24" borderId="20" xfId="0" applyNumberFormat="1" applyFont="1" applyFill="1" applyBorder="1" applyAlignment="1">
      <alignment horizontal="center" vertical="center"/>
    </xf>
    <xf numFmtId="0" fontId="5" fillId="24" borderId="0" xfId="0" applyFont="1" applyFill="1" applyAlignment="1">
      <alignment horizontal="left"/>
    </xf>
    <xf numFmtId="0" fontId="8" fillId="24" borderId="10" xfId="0" applyFont="1" applyFill="1" applyBorder="1"/>
    <xf numFmtId="37" fontId="8" fillId="24" borderId="10" xfId="0" applyNumberFormat="1" applyFont="1" applyFill="1" applyBorder="1"/>
    <xf numFmtId="0" fontId="9" fillId="24" borderId="13" xfId="0" applyFont="1" applyFill="1" applyBorder="1" applyAlignment="1">
      <alignment horizontal="center"/>
    </xf>
    <xf numFmtId="0" fontId="9" fillId="24" borderId="13" xfId="0" applyFont="1" applyFill="1" applyBorder="1" applyAlignment="1">
      <alignment horizontal="left"/>
    </xf>
    <xf numFmtId="37" fontId="9" fillId="24" borderId="13" xfId="0" applyNumberFormat="1" applyFont="1" applyFill="1" applyBorder="1" applyAlignment="1">
      <alignment horizontal="center"/>
    </xf>
    <xf numFmtId="0" fontId="10" fillId="0" borderId="0" xfId="0" applyFont="1"/>
    <xf numFmtId="39" fontId="8" fillId="24" borderId="10" xfId="0" applyNumberFormat="1" applyFont="1" applyFill="1" applyBorder="1"/>
    <xf numFmtId="39" fontId="9" fillId="24" borderId="13" xfId="0" applyNumberFormat="1" applyFont="1" applyFill="1" applyBorder="1" applyAlignment="1">
      <alignment horizontal="center"/>
    </xf>
    <xf numFmtId="39" fontId="10" fillId="0" borderId="0" xfId="0" applyNumberFormat="1" applyFont="1"/>
    <xf numFmtId="39" fontId="10" fillId="0" borderId="0" xfId="0" applyNumberFormat="1" applyFont="1" applyAlignment="1">
      <alignment horizontal="right"/>
    </xf>
    <xf numFmtId="39" fontId="9" fillId="24" borderId="13" xfId="0" applyNumberFormat="1" applyFont="1" applyFill="1" applyBorder="1" applyAlignment="1">
      <alignment horizontal="right"/>
    </xf>
    <xf numFmtId="165" fontId="9" fillId="24" borderId="13" xfId="0" applyNumberFormat="1" applyFont="1" applyFill="1" applyBorder="1" applyAlignment="1">
      <alignment horizontal="center"/>
    </xf>
    <xf numFmtId="0" fontId="10" fillId="0" borderId="21" xfId="0" applyFont="1" applyBorder="1"/>
    <xf numFmtId="37" fontId="9" fillId="24" borderId="13" xfId="0" applyNumberFormat="1" applyFont="1" applyFill="1" applyBorder="1" applyAlignment="1">
      <alignment horizontal="right"/>
    </xf>
    <xf numFmtId="0" fontId="12" fillId="0" borderId="0" xfId="0" applyFont="1"/>
    <xf numFmtId="166" fontId="0" fillId="0" borderId="0" xfId="0" applyNumberFormat="1"/>
    <xf numFmtId="0" fontId="0" fillId="24" borderId="0" xfId="0" applyFill="1"/>
    <xf numFmtId="0" fontId="11" fillId="24" borderId="0" xfId="0" applyFont="1" applyFill="1" applyAlignment="1">
      <alignment horizontal="center"/>
    </xf>
    <xf numFmtId="0" fontId="11" fillId="24" borderId="0" xfId="0" applyFont="1" applyFill="1" applyBorder="1" applyAlignment="1">
      <alignment horizontal="center"/>
    </xf>
    <xf numFmtId="0" fontId="11" fillId="24" borderId="21" xfId="0" applyFont="1" applyFill="1" applyBorder="1" applyAlignment="1">
      <alignment vertical="center" wrapText="1"/>
    </xf>
    <xf numFmtId="168" fontId="11" fillId="24" borderId="22" xfId="35" applyNumberFormat="1" applyFont="1" applyFill="1" applyBorder="1" applyAlignment="1">
      <alignment wrapText="1"/>
    </xf>
    <xf numFmtId="168" fontId="11" fillId="24" borderId="23" xfId="35" applyNumberFormat="1" applyFont="1" applyFill="1" applyBorder="1" applyAlignment="1">
      <alignment wrapText="1"/>
    </xf>
    <xf numFmtId="0" fontId="11" fillId="24" borderId="0" xfId="0" applyFont="1" applyFill="1" applyBorder="1" applyAlignment="1">
      <alignment wrapText="1"/>
    </xf>
    <xf numFmtId="0" fontId="11" fillId="24" borderId="22" xfId="0" applyFont="1" applyFill="1" applyBorder="1" applyAlignment="1">
      <alignment horizontal="center"/>
    </xf>
    <xf numFmtId="0" fontId="0" fillId="24" borderId="22" xfId="0" applyFill="1" applyBorder="1"/>
    <xf numFmtId="167" fontId="0" fillId="24" borderId="22" xfId="0" applyNumberFormat="1" applyFill="1" applyBorder="1"/>
    <xf numFmtId="0" fontId="1" fillId="24" borderId="22" xfId="0" applyFont="1" applyFill="1" applyBorder="1" applyAlignment="1">
      <alignment vertical="justify" wrapText="1"/>
    </xf>
    <xf numFmtId="10" fontId="17" fillId="24" borderId="22" xfId="35" applyNumberFormat="1" applyFont="1" applyFill="1" applyBorder="1"/>
    <xf numFmtId="0" fontId="0" fillId="24" borderId="22" xfId="0" applyFill="1" applyBorder="1" applyAlignment="1">
      <alignment vertical="justify" wrapText="1"/>
    </xf>
    <xf numFmtId="10" fontId="17" fillId="24" borderId="23" xfId="35" applyNumberFormat="1" applyFont="1" applyFill="1" applyBorder="1"/>
    <xf numFmtId="167" fontId="13" fillId="24" borderId="23" xfId="0" applyNumberFormat="1" applyFont="1" applyFill="1" applyBorder="1"/>
    <xf numFmtId="0" fontId="0" fillId="24" borderId="0" xfId="0" applyFill="1" applyBorder="1" applyAlignment="1">
      <alignment vertical="justify" wrapText="1"/>
    </xf>
    <xf numFmtId="167" fontId="0" fillId="24" borderId="0" xfId="0" applyNumberFormat="1" applyFill="1" applyBorder="1"/>
    <xf numFmtId="10" fontId="17" fillId="24" borderId="0" xfId="35" applyNumberFormat="1" applyFont="1" applyFill="1" applyBorder="1"/>
    <xf numFmtId="0" fontId="0" fillId="24" borderId="0" xfId="0" applyFill="1" applyAlignment="1">
      <alignment vertical="justify" wrapText="1"/>
    </xf>
    <xf numFmtId="167" fontId="0" fillId="24" borderId="0" xfId="0" applyNumberFormat="1" applyFill="1"/>
    <xf numFmtId="168" fontId="1" fillId="24" borderId="22" xfId="35" applyNumberFormat="1" applyFill="1" applyBorder="1"/>
    <xf numFmtId="168" fontId="1" fillId="24" borderId="23" xfId="35" applyNumberFormat="1" applyFill="1" applyBorder="1"/>
    <xf numFmtId="0" fontId="1" fillId="24" borderId="0" xfId="0" applyFont="1" applyFill="1" applyBorder="1" applyAlignment="1">
      <alignment vertical="justify" wrapText="1"/>
    </xf>
    <xf numFmtId="0" fontId="0" fillId="24" borderId="0" xfId="0" applyFill="1" applyBorder="1"/>
    <xf numFmtId="167" fontId="17" fillId="24" borderId="22" xfId="0" applyNumberFormat="1" applyFont="1" applyFill="1" applyBorder="1"/>
    <xf numFmtId="0" fontId="21" fillId="24" borderId="23" xfId="0" applyFont="1" applyFill="1" applyBorder="1"/>
    <xf numFmtId="0" fontId="22" fillId="24" borderId="22" xfId="0" applyFont="1" applyFill="1" applyBorder="1" applyAlignment="1">
      <alignment wrapText="1"/>
    </xf>
    <xf numFmtId="0" fontId="11" fillId="24" borderId="23" xfId="0" applyFont="1" applyFill="1" applyBorder="1" applyAlignment="1">
      <alignment horizontal="center"/>
    </xf>
    <xf numFmtId="0" fontId="0" fillId="24" borderId="23" xfId="0" applyFill="1" applyBorder="1" applyAlignment="1">
      <alignment vertical="justify" wrapText="1"/>
    </xf>
    <xf numFmtId="167" fontId="0" fillId="24" borderId="23" xfId="0" applyNumberFormat="1" applyFill="1" applyBorder="1"/>
    <xf numFmtId="0" fontId="0" fillId="24" borderId="22" xfId="0" applyFill="1" applyBorder="1" applyAlignment="1">
      <alignment wrapText="1"/>
    </xf>
    <xf numFmtId="0" fontId="11" fillId="24" borderId="22" xfId="0" applyFont="1" applyFill="1" applyBorder="1" applyAlignment="1">
      <alignment horizontal="center" vertical="center" wrapText="1"/>
    </xf>
    <xf numFmtId="0" fontId="11" fillId="24" borderId="21" xfId="0" applyFont="1" applyFill="1" applyBorder="1" applyAlignment="1">
      <alignment horizontal="center" vertical="center" wrapText="1"/>
    </xf>
    <xf numFmtId="0" fontId="11" fillId="24" borderId="22" xfId="0" applyFont="1" applyFill="1" applyBorder="1" applyAlignment="1">
      <alignment horizontal="center" vertical="center"/>
    </xf>
    <xf numFmtId="0" fontId="11" fillId="24" borderId="23" xfId="0" applyFont="1" applyFill="1" applyBorder="1" applyAlignment="1">
      <alignment horizontal="center" vertical="center"/>
    </xf>
    <xf numFmtId="43" fontId="1" fillId="24" borderId="0" xfId="32" applyFill="1" applyAlignment="1">
      <alignment vertical="justify" wrapText="1"/>
    </xf>
    <xf numFmtId="0" fontId="11" fillId="24" borderId="23" xfId="0" quotePrefix="1" applyFont="1" applyFill="1" applyBorder="1" applyAlignment="1">
      <alignment horizontal="center" vertical="center"/>
    </xf>
    <xf numFmtId="0" fontId="13" fillId="24" borderId="23" xfId="0" applyFont="1" applyFill="1" applyBorder="1" applyAlignment="1">
      <alignment vertical="justify" wrapText="1"/>
    </xf>
    <xf numFmtId="43" fontId="14" fillId="0" borderId="0" xfId="32" applyFont="1"/>
    <xf numFmtId="43" fontId="1" fillId="0" borderId="0" xfId="32"/>
    <xf numFmtId="9" fontId="1" fillId="0" borderId="0" xfId="35"/>
    <xf numFmtId="43" fontId="0" fillId="24" borderId="0" xfId="32" applyFont="1" applyFill="1"/>
    <xf numFmtId="0" fontId="23" fillId="24" borderId="0" xfId="0" applyFont="1" applyFill="1"/>
    <xf numFmtId="43" fontId="17" fillId="24" borderId="22" xfId="32" applyFont="1" applyFill="1" applyBorder="1"/>
    <xf numFmtId="0" fontId="22" fillId="24" borderId="0" xfId="0" applyFont="1" applyFill="1"/>
    <xf numFmtId="0" fontId="22" fillId="24" borderId="22" xfId="0" applyFont="1" applyFill="1" applyBorder="1"/>
    <xf numFmtId="0" fontId="24" fillId="24" borderId="22" xfId="0" applyFont="1" applyFill="1" applyBorder="1" applyAlignment="1">
      <alignment horizontal="center"/>
    </xf>
    <xf numFmtId="0" fontId="11" fillId="24" borderId="0" xfId="0" applyFont="1" applyFill="1"/>
    <xf numFmtId="0" fontId="11" fillId="24" borderId="21" xfId="0" applyFont="1" applyFill="1" applyBorder="1" applyAlignment="1">
      <alignment wrapText="1"/>
    </xf>
    <xf numFmtId="43" fontId="11" fillId="24" borderId="0" xfId="32" applyFont="1" applyFill="1" applyBorder="1" applyAlignment="1">
      <alignment horizontal="center"/>
    </xf>
    <xf numFmtId="43" fontId="11" fillId="24" borderId="21" xfId="32" applyFont="1" applyFill="1" applyBorder="1" applyAlignment="1">
      <alignment horizontal="center" wrapText="1"/>
    </xf>
    <xf numFmtId="43" fontId="16" fillId="24" borderId="0" xfId="32" applyFont="1" applyFill="1" applyAlignment="1">
      <alignment horizontal="right"/>
    </xf>
    <xf numFmtId="43" fontId="0" fillId="24" borderId="0" xfId="0" applyNumberFormat="1" applyFill="1"/>
    <xf numFmtId="165" fontId="26" fillId="24" borderId="13" xfId="0" applyNumberFormat="1" applyFont="1" applyFill="1" applyBorder="1" applyAlignment="1">
      <alignment horizontal="right"/>
    </xf>
    <xf numFmtId="0" fontId="11" fillId="24" borderId="22" xfId="0" applyFont="1" applyFill="1" applyBorder="1" applyAlignment="1">
      <alignment horizontal="right"/>
    </xf>
    <xf numFmtId="0" fontId="11" fillId="24" borderId="0" xfId="0" quotePrefix="1" applyFont="1" applyFill="1" applyBorder="1" applyAlignment="1">
      <alignment horizontal="center" vertical="center"/>
    </xf>
    <xf numFmtId="0" fontId="13" fillId="24" borderId="0" xfId="0" applyFont="1" applyFill="1" applyBorder="1" applyAlignment="1">
      <alignment vertical="justify" wrapText="1"/>
    </xf>
    <xf numFmtId="167" fontId="13" fillId="24" borderId="0" xfId="0" applyNumberFormat="1" applyFont="1" applyFill="1" applyBorder="1"/>
    <xf numFmtId="10" fontId="0" fillId="24" borderId="0" xfId="35" applyNumberFormat="1" applyFont="1" applyFill="1"/>
    <xf numFmtId="0" fontId="0" fillId="24" borderId="24" xfId="0" applyFill="1" applyBorder="1" applyAlignment="1">
      <alignment horizontal="right"/>
    </xf>
    <xf numFmtId="0" fontId="0" fillId="24" borderId="23" xfId="0" applyFill="1" applyBorder="1"/>
    <xf numFmtId="167" fontId="0" fillId="24" borderId="25" xfId="0" applyNumberFormat="1" applyFill="1" applyBorder="1"/>
    <xf numFmtId="0" fontId="1" fillId="24" borderId="23" xfId="0" applyFont="1" applyFill="1" applyBorder="1" applyAlignment="1">
      <alignment vertical="justify" wrapText="1"/>
    </xf>
    <xf numFmtId="0" fontId="11" fillId="24" borderId="23" xfId="0" applyFont="1" applyFill="1" applyBorder="1" applyAlignment="1">
      <alignment horizontal="center" vertical="center" wrapText="1"/>
    </xf>
    <xf numFmtId="0" fontId="11" fillId="24" borderId="21" xfId="0" applyFont="1" applyFill="1" applyBorder="1" applyAlignment="1">
      <alignment horizontal="center" wrapText="1"/>
    </xf>
    <xf numFmtId="0" fontId="11" fillId="24" borderId="26" xfId="0" quotePrefix="1" applyFont="1" applyFill="1" applyBorder="1" applyAlignment="1">
      <alignment horizontal="center" vertical="center"/>
    </xf>
    <xf numFmtId="0" fontId="11" fillId="24" borderId="21" xfId="0" applyFont="1" applyFill="1" applyBorder="1" applyAlignment="1">
      <alignment vertical="justify" wrapText="1"/>
    </xf>
    <xf numFmtId="0" fontId="11" fillId="24" borderId="21" xfId="0" applyFont="1" applyFill="1" applyBorder="1" applyAlignment="1">
      <alignment horizontal="center"/>
    </xf>
    <xf numFmtId="0" fontId="11" fillId="24" borderId="27" xfId="0" applyFont="1" applyFill="1" applyBorder="1" applyAlignment="1">
      <alignment horizontal="center" wrapText="1"/>
    </xf>
    <xf numFmtId="43" fontId="1" fillId="24" borderId="22" xfId="32" applyFont="1" applyFill="1" applyBorder="1" applyAlignment="1">
      <alignment vertical="center"/>
    </xf>
    <xf numFmtId="168" fontId="42" fillId="24" borderId="23" xfId="32" applyNumberFormat="1" applyFont="1" applyFill="1" applyBorder="1" applyAlignment="1">
      <alignment wrapText="1"/>
    </xf>
    <xf numFmtId="166" fontId="11" fillId="0" borderId="21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24" borderId="0" xfId="0" applyFill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3" fillId="24" borderId="22" xfId="0" applyFont="1" applyFill="1" applyBorder="1" applyAlignment="1">
      <alignment wrapText="1"/>
    </xf>
    <xf numFmtId="10" fontId="13" fillId="24" borderId="22" xfId="35" applyNumberFormat="1" applyFont="1" applyFill="1" applyBorder="1"/>
    <xf numFmtId="0" fontId="13" fillId="24" borderId="23" xfId="0" applyFont="1" applyFill="1" applyBorder="1" applyAlignment="1">
      <alignment wrapText="1"/>
    </xf>
    <xf numFmtId="10" fontId="13" fillId="24" borderId="23" xfId="35" applyNumberFormat="1" applyFont="1" applyFill="1" applyBorder="1"/>
    <xf numFmtId="43" fontId="1" fillId="0" borderId="25" xfId="32" applyFill="1" applyBorder="1"/>
    <xf numFmtId="165" fontId="0" fillId="0" borderId="0" xfId="0" applyNumberFormat="1"/>
    <xf numFmtId="0" fontId="18" fillId="24" borderId="22" xfId="0" applyFont="1" applyFill="1" applyBorder="1" applyAlignment="1">
      <alignment horizontal="center" vertical="center" wrapText="1"/>
    </xf>
    <xf numFmtId="0" fontId="43" fillId="24" borderId="22" xfId="0" applyFont="1" applyFill="1" applyBorder="1" applyAlignment="1">
      <alignment wrapText="1"/>
    </xf>
    <xf numFmtId="10" fontId="43" fillId="24" borderId="22" xfId="35" applyNumberFormat="1" applyFont="1" applyFill="1" applyBorder="1"/>
    <xf numFmtId="0" fontId="30" fillId="24" borderId="22" xfId="0" applyFont="1" applyFill="1" applyBorder="1" applyAlignment="1">
      <alignment horizontal="center" vertical="center" wrapText="1"/>
    </xf>
    <xf numFmtId="0" fontId="46" fillId="24" borderId="22" xfId="0" applyFont="1" applyFill="1" applyBorder="1" applyAlignment="1">
      <alignment wrapText="1"/>
    </xf>
    <xf numFmtId="0" fontId="47" fillId="24" borderId="22" xfId="0" applyFont="1" applyFill="1" applyBorder="1" applyAlignment="1">
      <alignment horizontal="center"/>
    </xf>
    <xf numFmtId="0" fontId="48" fillId="24" borderId="22" xfId="0" applyFont="1" applyFill="1" applyBorder="1"/>
    <xf numFmtId="43" fontId="46" fillId="24" borderId="22" xfId="32" applyFont="1" applyFill="1" applyBorder="1" applyAlignment="1">
      <alignment vertical="center"/>
    </xf>
    <xf numFmtId="0" fontId="30" fillId="24" borderId="23" xfId="0" applyFont="1" applyFill="1" applyBorder="1" applyAlignment="1">
      <alignment horizontal="center" vertical="center" wrapText="1"/>
    </xf>
    <xf numFmtId="0" fontId="46" fillId="24" borderId="23" xfId="0" applyFont="1" applyFill="1" applyBorder="1" applyAlignment="1">
      <alignment wrapText="1"/>
    </xf>
    <xf numFmtId="4" fontId="0" fillId="0" borderId="0" xfId="0" applyNumberFormat="1"/>
    <xf numFmtId="0" fontId="11" fillId="24" borderId="0" xfId="0" applyFont="1" applyFill="1" applyBorder="1" applyAlignment="1">
      <alignment horizontal="center" vertical="justify" wrapText="1"/>
    </xf>
    <xf numFmtId="0" fontId="0" fillId="24" borderId="32" xfId="0" applyFill="1" applyBorder="1"/>
    <xf numFmtId="0" fontId="11" fillId="24" borderId="33" xfId="0" applyFont="1" applyFill="1" applyBorder="1" applyAlignment="1">
      <alignment horizontal="center"/>
    </xf>
    <xf numFmtId="0" fontId="11" fillId="24" borderId="34" xfId="0" applyFont="1" applyFill="1" applyBorder="1" applyAlignment="1">
      <alignment horizontal="center" vertical="justify" wrapText="1"/>
    </xf>
    <xf numFmtId="0" fontId="18" fillId="24" borderId="33" xfId="0" applyFont="1" applyFill="1" applyBorder="1" applyAlignment="1">
      <alignment horizontal="center"/>
    </xf>
    <xf numFmtId="0" fontId="0" fillId="24" borderId="26" xfId="0" applyFill="1" applyBorder="1"/>
    <xf numFmtId="43" fontId="11" fillId="24" borderId="26" xfId="32" applyFont="1" applyFill="1" applyBorder="1"/>
    <xf numFmtId="43" fontId="11" fillId="24" borderId="35" xfId="32" applyFont="1" applyFill="1" applyBorder="1"/>
    <xf numFmtId="43" fontId="1" fillId="24" borderId="25" xfId="32" applyFill="1" applyBorder="1" applyAlignment="1">
      <alignment vertical="justify" wrapText="1"/>
    </xf>
    <xf numFmtId="43" fontId="0" fillId="24" borderId="36" xfId="32" applyFont="1" applyFill="1" applyBorder="1"/>
    <xf numFmtId="0" fontId="11" fillId="24" borderId="33" xfId="0" applyFont="1" applyFill="1" applyBorder="1" applyAlignment="1">
      <alignment horizontal="center" vertical="center" wrapText="1"/>
    </xf>
    <xf numFmtId="167" fontId="13" fillId="24" borderId="37" xfId="0" applyNumberFormat="1" applyFont="1" applyFill="1" applyBorder="1"/>
    <xf numFmtId="0" fontId="11" fillId="24" borderId="33" xfId="0" applyFont="1" applyFill="1" applyBorder="1" applyAlignment="1">
      <alignment horizontal="center" vertical="center"/>
    </xf>
    <xf numFmtId="0" fontId="11" fillId="24" borderId="33" xfId="0" quotePrefix="1" applyFont="1" applyFill="1" applyBorder="1" applyAlignment="1">
      <alignment horizontal="center" vertical="center"/>
    </xf>
    <xf numFmtId="169" fontId="11" fillId="24" borderId="21" xfId="32" applyNumberFormat="1" applyFont="1" applyFill="1" applyBorder="1" applyAlignment="1">
      <alignment horizontal="center" wrapText="1"/>
    </xf>
    <xf numFmtId="169" fontId="11" fillId="24" borderId="22" xfId="32" applyNumberFormat="1" applyFont="1" applyFill="1" applyBorder="1" applyAlignment="1">
      <alignment wrapText="1"/>
    </xf>
    <xf numFmtId="169" fontId="0" fillId="24" borderId="0" xfId="32" applyNumberFormat="1" applyFont="1" applyFill="1"/>
    <xf numFmtId="169" fontId="1" fillId="24" borderId="22" xfId="32" applyNumberFormat="1" applyFill="1" applyBorder="1"/>
    <xf numFmtId="169" fontId="11" fillId="24" borderId="38" xfId="32" applyNumberFormat="1" applyFont="1" applyFill="1" applyBorder="1" applyAlignment="1">
      <alignment vertical="center" wrapText="1"/>
    </xf>
    <xf numFmtId="169" fontId="0" fillId="24" borderId="0" xfId="32" applyNumberFormat="1" applyFont="1" applyFill="1" applyBorder="1"/>
    <xf numFmtId="169" fontId="11" fillId="24" borderId="38" xfId="32" applyNumberFormat="1" applyFont="1" applyFill="1" applyBorder="1" applyAlignment="1">
      <alignment vertical="justify" wrapText="1"/>
    </xf>
    <xf numFmtId="169" fontId="1" fillId="24" borderId="0" xfId="32" applyNumberFormat="1" applyFill="1" applyBorder="1"/>
    <xf numFmtId="169" fontId="11" fillId="24" borderId="0" xfId="32" applyNumberFormat="1" applyFont="1" applyFill="1" applyBorder="1" applyAlignment="1">
      <alignment horizontal="center"/>
    </xf>
    <xf numFmtId="169" fontId="1" fillId="24" borderId="0" xfId="32" applyNumberFormat="1" applyFill="1" applyAlignment="1">
      <alignment vertical="justify" wrapText="1"/>
    </xf>
    <xf numFmtId="169" fontId="0" fillId="24" borderId="36" xfId="32" applyNumberFormat="1" applyFont="1" applyFill="1" applyBorder="1"/>
    <xf numFmtId="169" fontId="1" fillId="24" borderId="22" xfId="32" applyNumberFormat="1" applyFill="1" applyBorder="1" applyAlignment="1">
      <alignment vertical="justify" wrapText="1"/>
    </xf>
    <xf numFmtId="169" fontId="0" fillId="24" borderId="22" xfId="32" applyNumberFormat="1" applyFont="1" applyFill="1" applyBorder="1"/>
    <xf numFmtId="169" fontId="1" fillId="24" borderId="39" xfId="32" applyNumberFormat="1" applyFill="1" applyBorder="1"/>
    <xf numFmtId="169" fontId="20" fillId="24" borderId="22" xfId="32" applyNumberFormat="1" applyFont="1" applyFill="1" applyBorder="1"/>
    <xf numFmtId="169" fontId="11" fillId="24" borderId="40" xfId="32" applyNumberFormat="1" applyFont="1" applyFill="1" applyBorder="1" applyAlignment="1">
      <alignment vertical="justify" wrapText="1"/>
    </xf>
    <xf numFmtId="169" fontId="1" fillId="24" borderId="0" xfId="32" applyNumberFormat="1" applyFill="1" applyBorder="1" applyAlignment="1">
      <alignment vertical="justify" wrapText="1"/>
    </xf>
    <xf numFmtId="169" fontId="1" fillId="24" borderId="22" xfId="32" applyNumberFormat="1" applyFill="1" applyBorder="1" applyAlignment="1">
      <alignment vertical="center"/>
    </xf>
    <xf numFmtId="169" fontId="46" fillId="24" borderId="22" xfId="32" applyNumberFormat="1" applyFont="1" applyFill="1" applyBorder="1"/>
    <xf numFmtId="169" fontId="21" fillId="24" borderId="22" xfId="32" applyNumberFormat="1" applyFont="1" applyFill="1" applyBorder="1"/>
    <xf numFmtId="169" fontId="13" fillId="24" borderId="22" xfId="32" applyNumberFormat="1" applyFont="1" applyFill="1" applyBorder="1" applyAlignment="1">
      <alignment vertical="justify" wrapText="1"/>
    </xf>
    <xf numFmtId="169" fontId="13" fillId="24" borderId="0" xfId="32" applyNumberFormat="1" applyFont="1" applyFill="1" applyBorder="1" applyAlignment="1">
      <alignment vertical="justify" wrapText="1"/>
    </xf>
    <xf numFmtId="169" fontId="0" fillId="24" borderId="41" xfId="32" applyNumberFormat="1" applyFont="1" applyFill="1" applyBorder="1"/>
    <xf numFmtId="169" fontId="27" fillId="24" borderId="22" xfId="32" applyNumberFormat="1" applyFont="1" applyFill="1" applyBorder="1"/>
    <xf numFmtId="169" fontId="11" fillId="24" borderId="23" xfId="32" applyNumberFormat="1" applyFont="1" applyFill="1" applyBorder="1"/>
    <xf numFmtId="0" fontId="31" fillId="24" borderId="23" xfId="0" applyFont="1" applyFill="1" applyBorder="1" applyAlignment="1">
      <alignment horizontal="center"/>
    </xf>
    <xf numFmtId="0" fontId="35" fillId="24" borderId="23" xfId="0" applyFont="1" applyFill="1" applyBorder="1" applyAlignment="1">
      <alignment vertical="justify" wrapText="1"/>
    </xf>
    <xf numFmtId="169" fontId="35" fillId="24" borderId="39" xfId="32" applyNumberFormat="1" applyFont="1" applyFill="1" applyBorder="1" applyAlignment="1">
      <alignment horizontal="right"/>
    </xf>
    <xf numFmtId="43" fontId="20" fillId="24" borderId="0" xfId="0" applyNumberFormat="1" applyFont="1" applyFill="1" applyBorder="1" applyAlignment="1">
      <alignment horizontal="center"/>
    </xf>
    <xf numFmtId="43" fontId="11" fillId="24" borderId="21" xfId="32" applyNumberFormat="1" applyFont="1" applyFill="1" applyBorder="1" applyAlignment="1">
      <alignment horizontal="center" wrapText="1"/>
    </xf>
    <xf numFmtId="43" fontId="11" fillId="24" borderId="22" xfId="32" applyNumberFormat="1" applyFont="1" applyFill="1" applyBorder="1" applyAlignment="1">
      <alignment wrapText="1"/>
    </xf>
    <xf numFmtId="43" fontId="11" fillId="24" borderId="24" xfId="0" applyNumberFormat="1" applyFont="1" applyFill="1" applyBorder="1"/>
    <xf numFmtId="43" fontId="16" fillId="24" borderId="23" xfId="32" applyNumberFormat="1" applyFont="1" applyFill="1" applyBorder="1" applyAlignment="1">
      <alignment wrapText="1"/>
    </xf>
    <xf numFmtId="43" fontId="0" fillId="24" borderId="0" xfId="32" applyNumberFormat="1" applyFont="1" applyFill="1"/>
    <xf numFmtId="43" fontId="0" fillId="24" borderId="42" xfId="0" applyNumberFormat="1" applyFill="1" applyBorder="1"/>
    <xf numFmtId="43" fontId="0" fillId="24" borderId="25" xfId="32" applyNumberFormat="1" applyFont="1" applyFill="1" applyBorder="1"/>
    <xf numFmtId="43" fontId="1" fillId="24" borderId="25" xfId="32" applyNumberFormat="1" applyFill="1" applyBorder="1"/>
    <xf numFmtId="43" fontId="11" fillId="24" borderId="38" xfId="32" applyNumberFormat="1" applyFont="1" applyFill="1" applyBorder="1" applyAlignment="1">
      <alignment vertical="center" wrapText="1"/>
    </xf>
    <xf numFmtId="43" fontId="0" fillId="24" borderId="0" xfId="32" applyNumberFormat="1" applyFont="1" applyFill="1" applyBorder="1"/>
    <xf numFmtId="43" fontId="0" fillId="24" borderId="22" xfId="0" applyNumberFormat="1" applyFill="1" applyBorder="1"/>
    <xf numFmtId="43" fontId="11" fillId="24" borderId="38" xfId="32" applyNumberFormat="1" applyFont="1" applyFill="1" applyBorder="1" applyAlignment="1">
      <alignment vertical="justify" wrapText="1"/>
    </xf>
    <xf numFmtId="43" fontId="11" fillId="24" borderId="43" xfId="32" applyNumberFormat="1" applyFont="1" applyFill="1" applyBorder="1" applyAlignment="1">
      <alignment vertical="justify" wrapText="1"/>
    </xf>
    <xf numFmtId="43" fontId="17" fillId="24" borderId="25" xfId="32" applyNumberFormat="1" applyFont="1" applyFill="1" applyBorder="1"/>
    <xf numFmtId="43" fontId="1" fillId="24" borderId="0" xfId="32" applyNumberFormat="1" applyFill="1" applyBorder="1"/>
    <xf numFmtId="43" fontId="38" fillId="0" borderId="25" xfId="32" applyNumberFormat="1" applyFont="1" applyFill="1" applyBorder="1"/>
    <xf numFmtId="43" fontId="13" fillId="24" borderId="0" xfId="0" applyNumberFormat="1" applyFont="1" applyFill="1"/>
    <xf numFmtId="43" fontId="1" fillId="0" borderId="25" xfId="32" applyNumberFormat="1" applyFill="1" applyBorder="1"/>
    <xf numFmtId="43" fontId="0" fillId="0" borderId="0" xfId="0" applyNumberFormat="1" applyFill="1"/>
    <xf numFmtId="43" fontId="44" fillId="0" borderId="25" xfId="32" applyNumberFormat="1" applyFont="1" applyFill="1" applyBorder="1"/>
    <xf numFmtId="43" fontId="11" fillId="24" borderId="44" xfId="32" applyNumberFormat="1" applyFont="1" applyFill="1" applyBorder="1" applyAlignment="1">
      <alignment vertical="justify" wrapText="1"/>
    </xf>
    <xf numFmtId="43" fontId="0" fillId="24" borderId="25" xfId="0" applyNumberFormat="1" applyFill="1" applyBorder="1"/>
    <xf numFmtId="43" fontId="11" fillId="0" borderId="44" xfId="32" applyNumberFormat="1" applyFont="1" applyFill="1" applyBorder="1" applyAlignment="1">
      <alignment vertical="justify" wrapText="1"/>
    </xf>
    <xf numFmtId="43" fontId="0" fillId="0" borderId="0" xfId="32" applyNumberFormat="1" applyFont="1" applyFill="1"/>
    <xf numFmtId="0" fontId="0" fillId="0" borderId="0" xfId="0" applyAlignment="1">
      <alignment horizontal="center"/>
    </xf>
    <xf numFmtId="0" fontId="35" fillId="24" borderId="0" xfId="0" applyFont="1" applyFill="1"/>
    <xf numFmtId="0" fontId="31" fillId="24" borderId="0" xfId="0" applyFont="1" applyFill="1" applyAlignment="1">
      <alignment horizontal="center"/>
    </xf>
    <xf numFmtId="0" fontId="31" fillId="24" borderId="0" xfId="0" applyFont="1" applyFill="1" applyBorder="1" applyAlignment="1">
      <alignment horizontal="center"/>
    </xf>
    <xf numFmtId="0" fontId="31" fillId="24" borderId="21" xfId="0" applyFont="1" applyFill="1" applyBorder="1" applyAlignment="1">
      <alignment horizontal="center" vertical="center" wrapText="1"/>
    </xf>
    <xf numFmtId="0" fontId="35" fillId="24" borderId="22" xfId="0" applyFont="1" applyFill="1" applyBorder="1" applyAlignment="1">
      <alignment vertical="justify" wrapText="1"/>
    </xf>
    <xf numFmtId="0" fontId="35" fillId="24" borderId="0" xfId="0" applyFont="1" applyFill="1" applyAlignment="1">
      <alignment vertical="justify" wrapText="1"/>
    </xf>
    <xf numFmtId="0" fontId="31" fillId="24" borderId="21" xfId="0" applyFont="1" applyFill="1" applyBorder="1" applyAlignment="1">
      <alignment horizontal="center" wrapText="1"/>
    </xf>
    <xf numFmtId="0" fontId="31" fillId="24" borderId="21" xfId="0" applyFont="1" applyFill="1" applyBorder="1" applyAlignment="1">
      <alignment vertical="center" wrapText="1"/>
    </xf>
    <xf numFmtId="0" fontId="31" fillId="24" borderId="22" xfId="0" applyFont="1" applyFill="1" applyBorder="1" applyAlignment="1">
      <alignment horizontal="center"/>
    </xf>
    <xf numFmtId="0" fontId="35" fillId="24" borderId="0" xfId="0" applyFont="1" applyFill="1" applyBorder="1" applyAlignment="1">
      <alignment vertical="justify" wrapText="1"/>
    </xf>
    <xf numFmtId="0" fontId="31" fillId="24" borderId="21" xfId="0" applyFont="1" applyFill="1" applyBorder="1" applyAlignment="1">
      <alignment wrapText="1"/>
    </xf>
    <xf numFmtId="0" fontId="35" fillId="24" borderId="22" xfId="0" applyFont="1" applyFill="1" applyBorder="1"/>
    <xf numFmtId="0" fontId="31" fillId="24" borderId="26" xfId="0" quotePrefix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vertical="justify" wrapText="1"/>
    </xf>
    <xf numFmtId="0" fontId="31" fillId="24" borderId="22" xfId="0" applyFont="1" applyFill="1" applyBorder="1" applyAlignment="1">
      <alignment horizontal="center" vertical="center" wrapText="1"/>
    </xf>
    <xf numFmtId="0" fontId="35" fillId="24" borderId="22" xfId="0" applyFont="1" applyFill="1" applyBorder="1" applyAlignment="1">
      <alignment wrapText="1"/>
    </xf>
    <xf numFmtId="43" fontId="35" fillId="24" borderId="22" xfId="32" applyFont="1" applyFill="1" applyBorder="1" applyAlignment="1">
      <alignment vertical="center"/>
    </xf>
    <xf numFmtId="0" fontId="31" fillId="24" borderId="23" xfId="0" applyFont="1" applyFill="1" applyBorder="1" applyAlignment="1">
      <alignment horizontal="center" vertical="center" wrapText="1"/>
    </xf>
    <xf numFmtId="0" fontId="35" fillId="24" borderId="23" xfId="0" applyFont="1" applyFill="1" applyBorder="1" applyAlignment="1">
      <alignment wrapText="1"/>
    </xf>
    <xf numFmtId="0" fontId="31" fillId="24" borderId="21" xfId="0" applyFont="1" applyFill="1" applyBorder="1" applyAlignment="1">
      <alignment horizontal="center"/>
    </xf>
    <xf numFmtId="0" fontId="31" fillId="24" borderId="22" xfId="0" applyFont="1" applyFill="1" applyBorder="1" applyAlignment="1">
      <alignment horizontal="center" vertical="center"/>
    </xf>
    <xf numFmtId="0" fontId="31" fillId="24" borderId="0" xfId="0" quotePrefix="1" applyFont="1" applyFill="1" applyBorder="1" applyAlignment="1">
      <alignment horizontal="center" vertical="center"/>
    </xf>
    <xf numFmtId="0" fontId="66" fillId="24" borderId="22" xfId="0" applyFont="1" applyFill="1" applyBorder="1" applyAlignment="1">
      <alignment horizontal="center"/>
    </xf>
    <xf numFmtId="0" fontId="27" fillId="24" borderId="22" xfId="0" applyFont="1" applyFill="1" applyBorder="1"/>
    <xf numFmtId="0" fontId="27" fillId="24" borderId="22" xfId="0" applyFont="1" applyFill="1" applyBorder="1" applyAlignment="1">
      <alignment wrapText="1"/>
    </xf>
    <xf numFmtId="37" fontId="67" fillId="24" borderId="10" xfId="0" applyNumberFormat="1" applyFont="1" applyFill="1" applyBorder="1"/>
    <xf numFmtId="0" fontId="67" fillId="24" borderId="10" xfId="0" applyFont="1" applyFill="1" applyBorder="1"/>
    <xf numFmtId="39" fontId="67" fillId="24" borderId="10" xfId="0" applyNumberFormat="1" applyFont="1" applyFill="1" applyBorder="1"/>
    <xf numFmtId="0" fontId="17" fillId="0" borderId="0" xfId="0" applyFont="1"/>
    <xf numFmtId="43" fontId="17" fillId="0" borderId="0" xfId="32" applyFont="1"/>
    <xf numFmtId="0" fontId="68" fillId="0" borderId="0" xfId="0" applyFont="1"/>
    <xf numFmtId="165" fontId="68" fillId="0" borderId="0" xfId="0" applyNumberFormat="1" applyFont="1"/>
    <xf numFmtId="165" fontId="17" fillId="0" borderId="0" xfId="0" applyNumberFormat="1" applyFont="1"/>
    <xf numFmtId="0" fontId="10" fillId="0" borderId="0" xfId="0" applyFont="1" applyAlignment="1">
      <alignment horizontal="center"/>
    </xf>
    <xf numFmtId="0" fontId="5" fillId="24" borderId="0" xfId="0" applyFont="1" applyFill="1" applyBorder="1" applyAlignment="1">
      <alignment horizontal="center"/>
    </xf>
    <xf numFmtId="165" fontId="11" fillId="0" borderId="0" xfId="0" applyNumberFormat="1" applyFont="1"/>
    <xf numFmtId="43" fontId="35" fillId="24" borderId="0" xfId="32" applyFont="1" applyFill="1"/>
    <xf numFmtId="43" fontId="31" fillId="24" borderId="21" xfId="32" applyFont="1" applyFill="1" applyBorder="1" applyAlignment="1">
      <alignment horizontal="center" wrapText="1"/>
    </xf>
    <xf numFmtId="169" fontId="31" fillId="24" borderId="22" xfId="32" applyNumberFormat="1" applyFont="1" applyFill="1" applyBorder="1" applyAlignment="1">
      <alignment wrapText="1"/>
    </xf>
    <xf numFmtId="169" fontId="31" fillId="24" borderId="23" xfId="32" applyNumberFormat="1" applyFont="1" applyFill="1" applyBorder="1"/>
    <xf numFmtId="43" fontId="35" fillId="24" borderId="0" xfId="32" applyFont="1" applyFill="1" applyAlignment="1">
      <alignment vertical="justify" wrapText="1"/>
    </xf>
    <xf numFmtId="43" fontId="35" fillId="24" borderId="22" xfId="32" applyFont="1" applyFill="1" applyBorder="1"/>
    <xf numFmtId="43" fontId="70" fillId="24" borderId="25" xfId="32" applyNumberFormat="1" applyFont="1" applyFill="1" applyBorder="1"/>
    <xf numFmtId="0" fontId="39" fillId="0" borderId="0" xfId="0" applyFont="1"/>
    <xf numFmtId="0" fontId="21" fillId="0" borderId="0" xfId="0" applyFont="1"/>
    <xf numFmtId="37" fontId="71" fillId="24" borderId="10" xfId="0" applyNumberFormat="1" applyFont="1" applyFill="1" applyBorder="1"/>
    <xf numFmtId="39" fontId="71" fillId="24" borderId="10" xfId="0" applyNumberFormat="1" applyFont="1" applyFill="1" applyBorder="1"/>
    <xf numFmtId="169" fontId="35" fillId="24" borderId="22" xfId="32" applyNumberFormat="1" applyFont="1" applyFill="1" applyBorder="1"/>
    <xf numFmtId="0" fontId="5" fillId="24" borderId="0" xfId="0" applyFont="1" applyFill="1"/>
    <xf numFmtId="43" fontId="0" fillId="0" borderId="0" xfId="0" applyNumberFormat="1"/>
    <xf numFmtId="0" fontId="8" fillId="24" borderId="17" xfId="0" applyFont="1" applyFill="1" applyBorder="1"/>
    <xf numFmtId="0" fontId="8" fillId="24" borderId="11" xfId="0" applyFont="1" applyFill="1" applyBorder="1"/>
    <xf numFmtId="37" fontId="8" fillId="24" borderId="11" xfId="0" applyNumberFormat="1" applyFont="1" applyFill="1" applyBorder="1"/>
    <xf numFmtId="37" fontId="67" fillId="24" borderId="11" xfId="0" applyNumberFormat="1" applyFont="1" applyFill="1" applyBorder="1"/>
    <xf numFmtId="37" fontId="71" fillId="24" borderId="11" xfId="0" applyNumberFormat="1" applyFont="1" applyFill="1" applyBorder="1"/>
    <xf numFmtId="37" fontId="8" fillId="24" borderId="12" xfId="0" applyNumberFormat="1" applyFont="1" applyFill="1" applyBorder="1"/>
    <xf numFmtId="39" fontId="8" fillId="24" borderId="17" xfId="0" applyNumberFormat="1" applyFont="1" applyFill="1" applyBorder="1"/>
    <xf numFmtId="0" fontId="0" fillId="0" borderId="11" xfId="0" applyFill="1" applyBorder="1"/>
    <xf numFmtId="0" fontId="73" fillId="0" borderId="11" xfId="0" applyFont="1" applyFill="1" applyBorder="1"/>
    <xf numFmtId="37" fontId="8" fillId="24" borderId="12" xfId="0" applyNumberFormat="1" applyFont="1" applyFill="1" applyBorder="1" applyAlignment="1">
      <alignment horizontal="right"/>
    </xf>
    <xf numFmtId="0" fontId="0" fillId="0" borderId="12" xfId="0" applyFill="1" applyBorder="1"/>
    <xf numFmtId="165" fontId="8" fillId="24" borderId="12" xfId="0" applyNumberFormat="1" applyFont="1" applyFill="1" applyBorder="1"/>
    <xf numFmtId="43" fontId="33" fillId="0" borderId="45" xfId="32" applyNumberFormat="1" applyFont="1" applyFill="1" applyBorder="1" applyAlignment="1">
      <alignment horizontal="center"/>
    </xf>
    <xf numFmtId="43" fontId="33" fillId="0" borderId="46" xfId="32" applyNumberFormat="1" applyFont="1" applyFill="1" applyBorder="1" applyAlignment="1">
      <alignment horizontal="center"/>
    </xf>
    <xf numFmtId="43" fontId="33" fillId="0" borderId="47" xfId="32" applyNumberFormat="1" applyFont="1" applyFill="1" applyBorder="1" applyAlignment="1">
      <alignment horizontal="center"/>
    </xf>
    <xf numFmtId="43" fontId="33" fillId="0" borderId="48" xfId="32" applyNumberFormat="1" applyFont="1" applyFill="1" applyBorder="1" applyAlignment="1">
      <alignment horizontal="center"/>
    </xf>
    <xf numFmtId="43" fontId="33" fillId="0" borderId="49" xfId="32" applyNumberFormat="1" applyFont="1" applyFill="1" applyBorder="1" applyAlignment="1">
      <alignment horizontal="center"/>
    </xf>
    <xf numFmtId="43" fontId="33" fillId="0" borderId="50" xfId="32" applyNumberFormat="1" applyFont="1" applyFill="1" applyBorder="1" applyAlignment="1">
      <alignment horizontal="center"/>
    </xf>
    <xf numFmtId="43" fontId="17" fillId="0" borderId="0" xfId="32" applyNumberFormat="1" applyFont="1" applyFill="1" applyBorder="1"/>
    <xf numFmtId="169" fontId="34" fillId="0" borderId="51" xfId="32" applyNumberFormat="1" applyFont="1" applyFill="1" applyBorder="1"/>
    <xf numFmtId="43" fontId="34" fillId="26" borderId="26" xfId="32" applyNumberFormat="1" applyFont="1" applyFill="1" applyBorder="1"/>
    <xf numFmtId="43" fontId="29" fillId="26" borderId="52" xfId="32" applyNumberFormat="1" applyFont="1" applyFill="1" applyBorder="1"/>
    <xf numFmtId="43" fontId="34" fillId="26" borderId="53" xfId="32" applyNumberFormat="1" applyFont="1" applyFill="1" applyBorder="1"/>
    <xf numFmtId="43" fontId="34" fillId="26" borderId="21" xfId="32" applyNumberFormat="1" applyFont="1" applyFill="1" applyBorder="1"/>
    <xf numFmtId="43" fontId="34" fillId="26" borderId="52" xfId="32" applyNumberFormat="1" applyFont="1" applyFill="1" applyBorder="1"/>
    <xf numFmtId="43" fontId="17" fillId="0" borderId="0" xfId="32" applyNumberFormat="1" applyFont="1" applyFill="1"/>
    <xf numFmtId="43" fontId="36" fillId="0" borderId="26" xfId="32" applyNumberFormat="1" applyFont="1" applyFill="1" applyBorder="1"/>
    <xf numFmtId="43" fontId="28" fillId="0" borderId="28" xfId="32" applyNumberFormat="1" applyFont="1" applyFill="1" applyBorder="1"/>
    <xf numFmtId="43" fontId="28" fillId="0" borderId="29" xfId="32" applyNumberFormat="1" applyFont="1" applyFill="1" applyBorder="1"/>
    <xf numFmtId="43" fontId="28" fillId="0" borderId="30" xfId="32" applyNumberFormat="1" applyFont="1" applyFill="1" applyBorder="1"/>
    <xf numFmtId="43" fontId="37" fillId="0" borderId="28" xfId="32" applyNumberFormat="1" applyFont="1" applyFill="1" applyBorder="1"/>
    <xf numFmtId="43" fontId="41" fillId="0" borderId="29" xfId="32" applyNumberFormat="1" applyFont="1" applyFill="1" applyBorder="1"/>
    <xf numFmtId="43" fontId="37" fillId="0" borderId="30" xfId="32" applyNumberFormat="1" applyFont="1" applyFill="1" applyBorder="1"/>
    <xf numFmtId="43" fontId="37" fillId="0" borderId="29" xfId="32" applyNumberFormat="1" applyFont="1" applyFill="1" applyBorder="1"/>
    <xf numFmtId="43" fontId="37" fillId="0" borderId="54" xfId="32" applyNumberFormat="1" applyFont="1" applyFill="1" applyBorder="1"/>
    <xf numFmtId="43" fontId="33" fillId="0" borderId="51" xfId="32" applyNumberFormat="1" applyFont="1" applyFill="1" applyBorder="1"/>
    <xf numFmtId="169" fontId="31" fillId="0" borderId="51" xfId="32" applyNumberFormat="1" applyFont="1" applyFill="1" applyBorder="1" applyAlignment="1">
      <alignment horizontal="center"/>
    </xf>
    <xf numFmtId="1" fontId="72" fillId="0" borderId="51" xfId="32" applyNumberFormat="1" applyFont="1" applyFill="1" applyBorder="1"/>
    <xf numFmtId="43" fontId="31" fillId="0" borderId="51" xfId="32" applyNumberFormat="1" applyFont="1" applyFill="1" applyBorder="1"/>
    <xf numFmtId="43" fontId="28" fillId="0" borderId="55" xfId="32" applyNumberFormat="1" applyFont="1" applyFill="1" applyBorder="1"/>
    <xf numFmtId="43" fontId="28" fillId="0" borderId="56" xfId="32" applyNumberFormat="1" applyFont="1" applyFill="1" applyBorder="1"/>
    <xf numFmtId="43" fontId="32" fillId="0" borderId="57" xfId="32" applyNumberFormat="1" applyFont="1" applyFill="1" applyBorder="1"/>
    <xf numFmtId="43" fontId="28" fillId="0" borderId="58" xfId="32" applyNumberFormat="1" applyFont="1" applyFill="1" applyBorder="1"/>
    <xf numFmtId="43" fontId="28" fillId="0" borderId="59" xfId="32" applyNumberFormat="1" applyFont="1" applyFill="1" applyBorder="1"/>
    <xf numFmtId="43" fontId="28" fillId="0" borderId="60" xfId="32" applyNumberFormat="1" applyFont="1" applyFill="1" applyBorder="1"/>
    <xf numFmtId="43" fontId="28" fillId="0" borderId="61" xfId="32" applyNumberFormat="1" applyFont="1" applyFill="1" applyBorder="1"/>
    <xf numFmtId="43" fontId="28" fillId="0" borderId="62" xfId="32" applyNumberFormat="1" applyFont="1" applyFill="1" applyBorder="1"/>
    <xf numFmtId="43" fontId="28" fillId="0" borderId="63" xfId="32" applyNumberFormat="1" applyFont="1" applyFill="1" applyBorder="1"/>
    <xf numFmtId="43" fontId="34" fillId="0" borderId="64" xfId="32" applyNumberFormat="1" applyFont="1" applyFill="1" applyBorder="1"/>
    <xf numFmtId="43" fontId="34" fillId="0" borderId="65" xfId="32" applyNumberFormat="1" applyFont="1" applyFill="1" applyBorder="1"/>
    <xf numFmtId="43" fontId="34" fillId="0" borderId="66" xfId="32" applyNumberFormat="1" applyFont="1" applyFill="1" applyBorder="1"/>
    <xf numFmtId="43" fontId="34" fillId="0" borderId="67" xfId="32" applyNumberFormat="1" applyFont="1" applyFill="1" applyBorder="1"/>
    <xf numFmtId="43" fontId="34" fillId="0" borderId="68" xfId="32" applyNumberFormat="1" applyFont="1" applyFill="1" applyBorder="1"/>
    <xf numFmtId="43" fontId="34" fillId="0" borderId="69" xfId="32" applyNumberFormat="1" applyFont="1" applyFill="1" applyBorder="1"/>
    <xf numFmtId="43" fontId="34" fillId="0" borderId="70" xfId="32" applyNumberFormat="1" applyFont="1" applyFill="1" applyBorder="1"/>
    <xf numFmtId="43" fontId="28" fillId="0" borderId="0" xfId="32" applyNumberFormat="1" applyFont="1" applyFill="1"/>
    <xf numFmtId="43" fontId="28" fillId="0" borderId="0" xfId="32" applyNumberFormat="1" applyFont="1" applyFill="1" applyBorder="1"/>
    <xf numFmtId="43" fontId="36" fillId="0" borderId="26" xfId="32" applyNumberFormat="1" applyFont="1" applyFill="1" applyBorder="1" applyAlignment="1">
      <alignment horizontal="right"/>
    </xf>
    <xf numFmtId="43" fontId="34" fillId="0" borderId="71" xfId="32" applyNumberFormat="1" applyFont="1" applyFill="1" applyBorder="1"/>
    <xf numFmtId="0" fontId="75" fillId="24" borderId="0" xfId="0" applyFont="1" applyFill="1" applyAlignment="1">
      <alignment horizontal="center"/>
    </xf>
    <xf numFmtId="0" fontId="76" fillId="24" borderId="0" xfId="0" applyFont="1" applyFill="1" applyAlignment="1">
      <alignment horizontal="right"/>
    </xf>
    <xf numFmtId="43" fontId="34" fillId="25" borderId="71" xfId="32" applyNumberFormat="1" applyFont="1" applyFill="1" applyBorder="1"/>
    <xf numFmtId="0" fontId="77" fillId="0" borderId="0" xfId="0" applyFont="1"/>
    <xf numFmtId="0" fontId="77" fillId="0" borderId="0" xfId="0" applyFont="1" applyAlignment="1">
      <alignment horizontal="right"/>
    </xf>
    <xf numFmtId="43" fontId="34" fillId="0" borderId="72" xfId="32" applyNumberFormat="1" applyFont="1" applyFill="1" applyBorder="1" applyAlignment="1">
      <alignment horizontal="center"/>
    </xf>
    <xf numFmtId="43" fontId="78" fillId="0" borderId="29" xfId="32" applyNumberFormat="1" applyFont="1" applyFill="1" applyBorder="1"/>
    <xf numFmtId="43" fontId="38" fillId="0" borderId="0" xfId="32" applyNumberFormat="1" applyFont="1" applyFill="1"/>
    <xf numFmtId="43" fontId="28" fillId="0" borderId="0" xfId="32" applyFont="1"/>
    <xf numFmtId="43" fontId="28" fillId="0" borderId="54" xfId="32" applyNumberFormat="1" applyFont="1" applyFill="1" applyBorder="1"/>
    <xf numFmtId="0" fontId="28" fillId="0" borderId="0" xfId="0" applyFont="1"/>
    <xf numFmtId="43" fontId="79" fillId="26" borderId="52" xfId="32" applyNumberFormat="1" applyFont="1" applyFill="1" applyBorder="1"/>
    <xf numFmtId="0" fontId="80" fillId="24" borderId="0" xfId="0" applyFont="1" applyFill="1"/>
    <xf numFmtId="0" fontId="46" fillId="24" borderId="0" xfId="0" applyFont="1" applyFill="1" applyBorder="1" applyAlignment="1">
      <alignment wrapText="1"/>
    </xf>
    <xf numFmtId="43" fontId="38" fillId="0" borderId="0" xfId="32" applyNumberFormat="1" applyFont="1" applyFill="1" applyBorder="1"/>
    <xf numFmtId="43" fontId="11" fillId="24" borderId="0" xfId="0" applyNumberFormat="1" applyFont="1" applyFill="1"/>
    <xf numFmtId="169" fontId="1" fillId="24" borderId="0" xfId="32" applyNumberFormat="1" applyFill="1" applyBorder="1" applyAlignment="1">
      <alignment vertical="center"/>
    </xf>
    <xf numFmtId="43" fontId="81" fillId="0" borderId="54" xfId="32" applyNumberFormat="1" applyFont="1" applyFill="1" applyBorder="1"/>
    <xf numFmtId="43" fontId="81" fillId="0" borderId="30" xfId="32" applyNumberFormat="1" applyFont="1" applyFill="1" applyBorder="1"/>
    <xf numFmtId="0" fontId="11" fillId="24" borderId="73" xfId="0" applyFont="1" applyFill="1" applyBorder="1" applyAlignment="1">
      <alignment horizontal="center" vertical="justify" wrapText="1"/>
    </xf>
    <xf numFmtId="43" fontId="11" fillId="24" borderId="74" xfId="32" applyFont="1" applyFill="1" applyBorder="1"/>
    <xf numFmtId="0" fontId="82" fillId="0" borderId="0" xfId="0" applyFont="1"/>
    <xf numFmtId="44" fontId="0" fillId="0" borderId="0" xfId="0" applyNumberFormat="1"/>
    <xf numFmtId="43" fontId="84" fillId="0" borderId="28" xfId="32" applyNumberFormat="1" applyFont="1" applyFill="1" applyBorder="1"/>
    <xf numFmtId="43" fontId="85" fillId="0" borderId="29" xfId="32" applyNumberFormat="1" applyFont="1" applyFill="1" applyBorder="1"/>
    <xf numFmtId="43" fontId="86" fillId="0" borderId="29" xfId="32" applyNumberFormat="1" applyFont="1" applyFill="1" applyBorder="1"/>
    <xf numFmtId="168" fontId="11" fillId="24" borderId="25" xfId="35" applyNumberFormat="1" applyFont="1" applyFill="1" applyBorder="1" applyAlignment="1">
      <alignment wrapText="1"/>
    </xf>
    <xf numFmtId="43" fontId="16" fillId="24" borderId="35" xfId="32" applyNumberFormat="1" applyFont="1" applyFill="1" applyBorder="1" applyAlignment="1">
      <alignment wrapText="1"/>
    </xf>
    <xf numFmtId="43" fontId="0" fillId="24" borderId="36" xfId="0" applyNumberFormat="1" applyFill="1" applyBorder="1"/>
    <xf numFmtId="43" fontId="0" fillId="24" borderId="22" xfId="32" applyNumberFormat="1" applyFont="1" applyFill="1" applyBorder="1"/>
    <xf numFmtId="43" fontId="1" fillId="24" borderId="22" xfId="32" applyNumberFormat="1" applyFill="1" applyBorder="1"/>
    <xf numFmtId="43" fontId="1" fillId="24" borderId="31" xfId="32" applyNumberFormat="1" applyFill="1" applyBorder="1"/>
    <xf numFmtId="43" fontId="17" fillId="24" borderId="22" xfId="32" applyNumberFormat="1" applyFont="1" applyFill="1" applyBorder="1"/>
    <xf numFmtId="43" fontId="17" fillId="24" borderId="31" xfId="32" applyNumberFormat="1" applyFont="1" applyFill="1" applyBorder="1"/>
    <xf numFmtId="43" fontId="38" fillId="0" borderId="31" xfId="32" applyNumberFormat="1" applyFont="1" applyFill="1" applyBorder="1"/>
    <xf numFmtId="43" fontId="0" fillId="24" borderId="41" xfId="0" applyNumberFormat="1" applyFill="1" applyBorder="1"/>
    <xf numFmtId="0" fontId="10" fillId="24" borderId="0" xfId="0" applyFont="1" applyFill="1"/>
    <xf numFmtId="0" fontId="10" fillId="24" borderId="21" xfId="0" applyFont="1" applyFill="1" applyBorder="1"/>
    <xf numFmtId="165" fontId="0" fillId="24" borderId="0" xfId="0" applyNumberFormat="1" applyFill="1"/>
    <xf numFmtId="166" fontId="13" fillId="24" borderId="21" xfId="0" applyNumberFormat="1" applyFont="1" applyFill="1" applyBorder="1"/>
    <xf numFmtId="165" fontId="13" fillId="24" borderId="21" xfId="0" applyNumberFormat="1" applyFont="1" applyFill="1" applyBorder="1"/>
    <xf numFmtId="43" fontId="13" fillId="24" borderId="21" xfId="32" applyFont="1" applyFill="1" applyBorder="1"/>
    <xf numFmtId="166" fontId="19" fillId="24" borderId="21" xfId="0" applyNumberFormat="1" applyFont="1" applyFill="1" applyBorder="1"/>
    <xf numFmtId="43" fontId="34" fillId="27" borderId="71" xfId="32" applyNumberFormat="1" applyFont="1" applyFill="1" applyBorder="1"/>
    <xf numFmtId="166" fontId="18" fillId="24" borderId="21" xfId="0" applyNumberFormat="1" applyFont="1" applyFill="1" applyBorder="1"/>
    <xf numFmtId="44" fontId="73" fillId="0" borderId="11" xfId="0" applyNumberFormat="1" applyFont="1" applyFill="1" applyBorder="1"/>
    <xf numFmtId="44" fontId="87" fillId="0" borderId="11" xfId="0" applyNumberFormat="1" applyFont="1" applyFill="1" applyBorder="1"/>
    <xf numFmtId="2" fontId="0" fillId="0" borderId="0" xfId="0" applyNumberFormat="1" applyAlignment="1">
      <alignment horizontal="center"/>
    </xf>
    <xf numFmtId="9" fontId="0" fillId="0" borderId="0" xfId="0" applyNumberFormat="1"/>
    <xf numFmtId="44" fontId="82" fillId="0" borderId="0" xfId="0" applyNumberFormat="1" applyFont="1"/>
    <xf numFmtId="43" fontId="82" fillId="0" borderId="0" xfId="0" applyNumberFormat="1" applyFont="1"/>
    <xf numFmtId="170" fontId="0" fillId="24" borderId="0" xfId="35" applyNumberFormat="1" applyFont="1" applyFill="1"/>
    <xf numFmtId="169" fontId="11" fillId="24" borderId="0" xfId="32" applyNumberFormat="1" applyFont="1" applyFill="1" applyAlignment="1">
      <alignment vertical="justify" wrapText="1"/>
    </xf>
    <xf numFmtId="170" fontId="1" fillId="24" borderId="0" xfId="35" applyNumberFormat="1" applyFill="1"/>
    <xf numFmtId="169" fontId="31" fillId="24" borderId="0" xfId="32" applyNumberFormat="1" applyFont="1" applyFill="1" applyBorder="1" applyAlignment="1">
      <alignment horizontal="center"/>
    </xf>
    <xf numFmtId="43" fontId="31" fillId="24" borderId="0" xfId="32" applyFont="1" applyFill="1" applyBorder="1" applyAlignment="1">
      <alignment horizontal="center"/>
    </xf>
    <xf numFmtId="43" fontId="31" fillId="24" borderId="0" xfId="0" applyNumberFormat="1" applyFont="1" applyFill="1" applyBorder="1" applyAlignment="1">
      <alignment horizontal="center"/>
    </xf>
    <xf numFmtId="169" fontId="31" fillId="24" borderId="21" xfId="32" applyNumberFormat="1" applyFont="1" applyFill="1" applyBorder="1" applyAlignment="1">
      <alignment horizontal="center" wrapText="1"/>
    </xf>
    <xf numFmtId="43" fontId="31" fillId="24" borderId="21" xfId="32" applyNumberFormat="1" applyFont="1" applyFill="1" applyBorder="1" applyAlignment="1">
      <alignment horizontal="center" wrapText="1"/>
    </xf>
    <xf numFmtId="0" fontId="31" fillId="24" borderId="22" xfId="0" applyFont="1" applyFill="1" applyBorder="1" applyAlignment="1">
      <alignment horizontal="right"/>
    </xf>
    <xf numFmtId="168" fontId="31" fillId="24" borderId="22" xfId="35" applyNumberFormat="1" applyFont="1" applyFill="1" applyBorder="1" applyAlignment="1">
      <alignment wrapText="1"/>
    </xf>
    <xf numFmtId="43" fontId="31" fillId="24" borderId="22" xfId="32" applyNumberFormat="1" applyFont="1" applyFill="1" applyBorder="1" applyAlignment="1">
      <alignment wrapText="1"/>
    </xf>
    <xf numFmtId="0" fontId="35" fillId="24" borderId="24" xfId="0" applyFont="1" applyFill="1" applyBorder="1" applyAlignment="1">
      <alignment horizontal="right"/>
    </xf>
    <xf numFmtId="168" fontId="31" fillId="24" borderId="23" xfId="35" applyNumberFormat="1" applyFont="1" applyFill="1" applyBorder="1" applyAlignment="1">
      <alignment wrapText="1"/>
    </xf>
    <xf numFmtId="43" fontId="31" fillId="24" borderId="24" xfId="0" applyNumberFormat="1" applyFont="1" applyFill="1" applyBorder="1"/>
    <xf numFmtId="43" fontId="69" fillId="24" borderId="23" xfId="32" applyNumberFormat="1" applyFont="1" applyFill="1" applyBorder="1" applyAlignment="1">
      <alignment wrapText="1"/>
    </xf>
    <xf numFmtId="168" fontId="89" fillId="24" borderId="23" xfId="32" applyNumberFormat="1" applyFont="1" applyFill="1" applyBorder="1" applyAlignment="1">
      <alignment wrapText="1"/>
    </xf>
    <xf numFmtId="0" fontId="31" fillId="24" borderId="0" xfId="0" applyFont="1" applyFill="1" applyBorder="1" applyAlignment="1">
      <alignment wrapText="1"/>
    </xf>
    <xf numFmtId="169" fontId="69" fillId="24" borderId="0" xfId="32" applyNumberFormat="1" applyFont="1" applyFill="1" applyAlignment="1">
      <alignment horizontal="right"/>
    </xf>
    <xf numFmtId="43" fontId="69" fillId="24" borderId="0" xfId="32" applyFont="1" applyFill="1" applyAlignment="1">
      <alignment horizontal="right"/>
    </xf>
    <xf numFmtId="168" fontId="31" fillId="24" borderId="25" xfId="35" applyNumberFormat="1" applyFont="1" applyFill="1" applyBorder="1" applyAlignment="1">
      <alignment wrapText="1"/>
    </xf>
    <xf numFmtId="169" fontId="31" fillId="24" borderId="0" xfId="32" applyNumberFormat="1" applyFont="1" applyFill="1" applyAlignment="1">
      <alignment vertical="justify" wrapText="1"/>
    </xf>
    <xf numFmtId="43" fontId="35" fillId="24" borderId="0" xfId="32" applyNumberFormat="1" applyFont="1" applyFill="1"/>
    <xf numFmtId="169" fontId="35" fillId="24" borderId="36" xfId="32" applyNumberFormat="1" applyFont="1" applyFill="1" applyBorder="1"/>
    <xf numFmtId="43" fontId="35" fillId="24" borderId="36" xfId="32" applyFont="1" applyFill="1" applyBorder="1"/>
    <xf numFmtId="43" fontId="35" fillId="24" borderId="42" xfId="0" applyNumberFormat="1" applyFont="1" applyFill="1" applyBorder="1"/>
    <xf numFmtId="169" fontId="35" fillId="24" borderId="22" xfId="32" applyNumberFormat="1" applyFont="1" applyFill="1" applyBorder="1" applyAlignment="1">
      <alignment vertical="justify" wrapText="1"/>
    </xf>
    <xf numFmtId="43" fontId="35" fillId="24" borderId="25" xfId="32" applyFont="1" applyFill="1" applyBorder="1" applyAlignment="1">
      <alignment vertical="justify" wrapText="1"/>
    </xf>
    <xf numFmtId="43" fontId="35" fillId="24" borderId="25" xfId="32" applyNumberFormat="1" applyFont="1" applyFill="1" applyBorder="1"/>
    <xf numFmtId="10" fontId="35" fillId="24" borderId="0" xfId="35" applyNumberFormat="1" applyFont="1" applyFill="1"/>
    <xf numFmtId="10" fontId="35" fillId="24" borderId="22" xfId="35" applyNumberFormat="1" applyFont="1" applyFill="1" applyBorder="1"/>
    <xf numFmtId="169" fontId="35" fillId="24" borderId="0" xfId="32" applyNumberFormat="1" applyFont="1" applyFill="1" applyBorder="1"/>
    <xf numFmtId="167" fontId="35" fillId="24" borderId="23" xfId="0" applyNumberFormat="1" applyFont="1" applyFill="1" applyBorder="1"/>
    <xf numFmtId="0" fontId="31" fillId="24" borderId="33" xfId="0" applyFont="1" applyFill="1" applyBorder="1" applyAlignment="1">
      <alignment horizontal="center"/>
    </xf>
    <xf numFmtId="0" fontId="31" fillId="24" borderId="34" xfId="0" applyFont="1" applyFill="1" applyBorder="1" applyAlignment="1">
      <alignment horizontal="center" vertical="justify" wrapText="1"/>
    </xf>
    <xf numFmtId="169" fontId="31" fillId="24" borderId="38" xfId="32" applyNumberFormat="1" applyFont="1" applyFill="1" applyBorder="1" applyAlignment="1">
      <alignment vertical="center" wrapText="1"/>
    </xf>
    <xf numFmtId="0" fontId="35" fillId="24" borderId="26" xfId="0" applyFont="1" applyFill="1" applyBorder="1"/>
    <xf numFmtId="43" fontId="31" fillId="24" borderId="38" xfId="32" applyNumberFormat="1" applyFont="1" applyFill="1" applyBorder="1" applyAlignment="1">
      <alignment vertical="center" wrapText="1"/>
    </xf>
    <xf numFmtId="169" fontId="35" fillId="24" borderId="0" xfId="32" applyNumberFormat="1" applyFont="1" applyFill="1"/>
    <xf numFmtId="167" fontId="35" fillId="24" borderId="0" xfId="0" applyNumberFormat="1" applyFont="1" applyFill="1" applyBorder="1"/>
    <xf numFmtId="43" fontId="35" fillId="24" borderId="0" xfId="32" applyNumberFormat="1" applyFont="1" applyFill="1" applyBorder="1"/>
    <xf numFmtId="167" fontId="35" fillId="24" borderId="22" xfId="0" applyNumberFormat="1" applyFont="1" applyFill="1" applyBorder="1"/>
    <xf numFmtId="43" fontId="35" fillId="24" borderId="22" xfId="0" applyNumberFormat="1" applyFont="1" applyFill="1" applyBorder="1"/>
    <xf numFmtId="169" fontId="35" fillId="24" borderId="39" xfId="32" applyNumberFormat="1" applyFont="1" applyFill="1" applyBorder="1"/>
    <xf numFmtId="10" fontId="35" fillId="24" borderId="23" xfId="35" applyNumberFormat="1" applyFont="1" applyFill="1" applyBorder="1"/>
    <xf numFmtId="169" fontId="31" fillId="24" borderId="38" xfId="32" applyNumberFormat="1" applyFont="1" applyFill="1" applyBorder="1" applyAlignment="1">
      <alignment vertical="justify" wrapText="1"/>
    </xf>
    <xf numFmtId="43" fontId="31" fillId="24" borderId="26" xfId="32" applyFont="1" applyFill="1" applyBorder="1"/>
    <xf numFmtId="43" fontId="31" fillId="24" borderId="38" xfId="32" applyNumberFormat="1" applyFont="1" applyFill="1" applyBorder="1" applyAlignment="1">
      <alignment vertical="justify" wrapText="1"/>
    </xf>
    <xf numFmtId="169" fontId="35" fillId="24" borderId="0" xfId="32" applyNumberFormat="1" applyFont="1" applyFill="1" applyAlignment="1">
      <alignment vertical="justify" wrapText="1"/>
    </xf>
    <xf numFmtId="167" fontId="35" fillId="24" borderId="0" xfId="0" applyNumberFormat="1" applyFont="1" applyFill="1"/>
    <xf numFmtId="43" fontId="35" fillId="24" borderId="0" xfId="0" applyNumberFormat="1" applyFont="1" applyFill="1"/>
    <xf numFmtId="169" fontId="31" fillId="24" borderId="22" xfId="32" applyNumberFormat="1" applyFont="1" applyFill="1" applyBorder="1"/>
    <xf numFmtId="167" fontId="35" fillId="24" borderId="25" xfId="0" applyNumberFormat="1" applyFont="1" applyFill="1" applyBorder="1"/>
    <xf numFmtId="0" fontId="31" fillId="24" borderId="33" xfId="0" applyFont="1" applyFill="1" applyBorder="1" applyAlignment="1">
      <alignment horizontal="center" vertical="center" wrapText="1"/>
    </xf>
    <xf numFmtId="169" fontId="31" fillId="24" borderId="40" xfId="32" applyNumberFormat="1" applyFont="1" applyFill="1" applyBorder="1" applyAlignment="1">
      <alignment vertical="justify" wrapText="1"/>
    </xf>
    <xf numFmtId="167" fontId="35" fillId="24" borderId="37" xfId="0" applyNumberFormat="1" applyFont="1" applyFill="1" applyBorder="1"/>
    <xf numFmtId="43" fontId="31" fillId="24" borderId="43" xfId="32" applyNumberFormat="1" applyFont="1" applyFill="1" applyBorder="1" applyAlignment="1">
      <alignment vertical="justify" wrapText="1"/>
    </xf>
    <xf numFmtId="169" fontId="35" fillId="24" borderId="0" xfId="32" applyNumberFormat="1" applyFont="1" applyFill="1" applyBorder="1" applyAlignment="1">
      <alignment vertical="justify" wrapText="1"/>
    </xf>
    <xf numFmtId="168" fontId="35" fillId="24" borderId="22" xfId="35" applyNumberFormat="1" applyFont="1" applyFill="1" applyBorder="1"/>
    <xf numFmtId="0" fontId="35" fillId="24" borderId="23" xfId="0" applyFont="1" applyFill="1" applyBorder="1"/>
    <xf numFmtId="0" fontId="35" fillId="24" borderId="0" xfId="0" applyFont="1" applyFill="1" applyBorder="1"/>
    <xf numFmtId="0" fontId="31" fillId="24" borderId="23" xfId="0" applyFont="1" applyFill="1" applyBorder="1" applyAlignment="1">
      <alignment horizontal="center" vertical="center"/>
    </xf>
    <xf numFmtId="168" fontId="35" fillId="24" borderId="23" xfId="35" applyNumberFormat="1" applyFont="1" applyFill="1" applyBorder="1"/>
    <xf numFmtId="0" fontId="31" fillId="24" borderId="33" xfId="0" applyFont="1" applyFill="1" applyBorder="1" applyAlignment="1">
      <alignment horizontal="center" vertical="center"/>
    </xf>
    <xf numFmtId="0" fontId="35" fillId="24" borderId="32" xfId="0" applyFont="1" applyFill="1" applyBorder="1"/>
    <xf numFmtId="0" fontId="31" fillId="24" borderId="23" xfId="0" quotePrefix="1" applyFont="1" applyFill="1" applyBorder="1" applyAlignment="1">
      <alignment horizontal="center" vertical="center"/>
    </xf>
    <xf numFmtId="0" fontId="31" fillId="24" borderId="33" xfId="0" quotePrefix="1" applyFont="1" applyFill="1" applyBorder="1" applyAlignment="1">
      <alignment horizontal="center" vertical="center"/>
    </xf>
    <xf numFmtId="43" fontId="35" fillId="0" borderId="25" xfId="32" applyNumberFormat="1" applyFont="1" applyFill="1" applyBorder="1"/>
    <xf numFmtId="0" fontId="35" fillId="24" borderId="0" xfId="0" applyFont="1" applyFill="1" applyAlignment="1">
      <alignment horizontal="left"/>
    </xf>
    <xf numFmtId="43" fontId="35" fillId="0" borderId="25" xfId="32" applyFont="1" applyFill="1" applyBorder="1"/>
    <xf numFmtId="0" fontId="35" fillId="0" borderId="0" xfId="0" applyFont="1" applyAlignment="1">
      <alignment horizontal="left"/>
    </xf>
    <xf numFmtId="43" fontId="35" fillId="0" borderId="0" xfId="0" applyNumberFormat="1" applyFont="1" applyFill="1"/>
    <xf numFmtId="43" fontId="66" fillId="0" borderId="25" xfId="32" applyNumberFormat="1" applyFont="1" applyFill="1" applyBorder="1"/>
    <xf numFmtId="10" fontId="27" fillId="24" borderId="22" xfId="35" applyNumberFormat="1" applyFont="1" applyFill="1" applyBorder="1"/>
    <xf numFmtId="0" fontId="27" fillId="0" borderId="0" xfId="0" applyFont="1" applyAlignment="1">
      <alignment horizontal="left"/>
    </xf>
    <xf numFmtId="0" fontId="35" fillId="0" borderId="0" xfId="0" applyFont="1"/>
    <xf numFmtId="0" fontId="35" fillId="24" borderId="0" xfId="0" applyFont="1" applyFill="1" applyBorder="1" applyAlignment="1">
      <alignment wrapText="1"/>
    </xf>
    <xf numFmtId="43" fontId="35" fillId="0" borderId="0" xfId="32" applyNumberFormat="1" applyFont="1" applyFill="1" applyBorder="1"/>
    <xf numFmtId="10" fontId="35" fillId="24" borderId="0" xfId="35" applyNumberFormat="1" applyFont="1" applyFill="1" applyBorder="1"/>
    <xf numFmtId="0" fontId="31" fillId="24" borderId="0" xfId="0" applyFont="1" applyFill="1" applyBorder="1" applyAlignment="1">
      <alignment horizontal="center" vertical="justify" wrapText="1"/>
    </xf>
    <xf numFmtId="43" fontId="31" fillId="24" borderId="35" xfId="32" applyFont="1" applyFill="1" applyBorder="1"/>
    <xf numFmtId="43" fontId="31" fillId="24" borderId="44" xfId="32" applyNumberFormat="1" applyFont="1" applyFill="1" applyBorder="1" applyAlignment="1">
      <alignment vertical="justify" wrapText="1"/>
    </xf>
    <xf numFmtId="0" fontId="31" fillId="24" borderId="27" xfId="0" applyFont="1" applyFill="1" applyBorder="1" applyAlignment="1">
      <alignment horizontal="center" wrapText="1"/>
    </xf>
    <xf numFmtId="169" fontId="35" fillId="24" borderId="41" xfId="32" applyNumberFormat="1" applyFont="1" applyFill="1" applyBorder="1"/>
    <xf numFmtId="43" fontId="35" fillId="24" borderId="25" xfId="0" applyNumberFormat="1" applyFont="1" applyFill="1" applyBorder="1"/>
    <xf numFmtId="169" fontId="35" fillId="24" borderId="22" xfId="32" applyNumberFormat="1" applyFont="1" applyFill="1" applyBorder="1" applyAlignment="1">
      <alignment vertical="center"/>
    </xf>
    <xf numFmtId="169" fontId="35" fillId="24" borderId="0" xfId="32" applyNumberFormat="1" applyFont="1" applyFill="1" applyBorder="1" applyAlignment="1">
      <alignment vertical="center"/>
    </xf>
    <xf numFmtId="0" fontId="31" fillId="24" borderId="73" xfId="0" applyFont="1" applyFill="1" applyBorder="1" applyAlignment="1">
      <alignment horizontal="center" vertical="justify" wrapText="1"/>
    </xf>
    <xf numFmtId="43" fontId="31" fillId="24" borderId="74" xfId="32" applyFont="1" applyFill="1" applyBorder="1"/>
    <xf numFmtId="43" fontId="31" fillId="0" borderId="44" xfId="32" applyNumberFormat="1" applyFont="1" applyFill="1" applyBorder="1" applyAlignment="1">
      <alignment vertical="justify" wrapText="1"/>
    </xf>
    <xf numFmtId="43" fontId="35" fillId="0" borderId="0" xfId="32" applyNumberFormat="1" applyFont="1" applyFill="1"/>
    <xf numFmtId="37" fontId="90" fillId="24" borderId="10" xfId="0" applyNumberFormat="1" applyFont="1" applyFill="1" applyBorder="1" applyAlignment="1">
      <alignment horizontal="right"/>
    </xf>
    <xf numFmtId="0" fontId="90" fillId="24" borderId="10" xfId="0" applyFont="1" applyFill="1" applyBorder="1"/>
    <xf numFmtId="37" fontId="90" fillId="24" borderId="10" xfId="0" applyNumberFormat="1" applyFont="1" applyFill="1" applyBorder="1"/>
    <xf numFmtId="39" fontId="90" fillId="24" borderId="10" xfId="0" applyNumberFormat="1" applyFont="1" applyFill="1" applyBorder="1"/>
    <xf numFmtId="37" fontId="90" fillId="24" borderId="11" xfId="0" applyNumberFormat="1" applyFont="1" applyFill="1" applyBorder="1"/>
    <xf numFmtId="0" fontId="90" fillId="0" borderId="11" xfId="0" applyFont="1" applyFill="1" applyBorder="1"/>
    <xf numFmtId="44" fontId="91" fillId="0" borderId="11" xfId="0" applyNumberFormat="1" applyFont="1" applyFill="1" applyBorder="1"/>
    <xf numFmtId="44" fontId="90" fillId="0" borderId="11" xfId="0" applyNumberFormat="1" applyFont="1" applyFill="1" applyBorder="1"/>
    <xf numFmtId="43" fontId="82" fillId="0" borderId="0" xfId="32" applyFont="1"/>
    <xf numFmtId="37" fontId="8" fillId="24" borderId="10" xfId="0" applyNumberFormat="1" applyFont="1" applyFill="1" applyBorder="1" applyAlignment="1">
      <alignment horizontal="right"/>
    </xf>
    <xf numFmtId="165" fontId="92" fillId="0" borderId="0" xfId="0" applyNumberFormat="1" applyFont="1"/>
    <xf numFmtId="165" fontId="5" fillId="0" borderId="0" xfId="0" applyNumberFormat="1" applyFont="1"/>
    <xf numFmtId="43" fontId="10" fillId="0" borderId="0" xfId="32" applyFont="1"/>
    <xf numFmtId="43" fontId="93" fillId="0" borderId="54" xfId="32" applyNumberFormat="1" applyFont="1" applyFill="1" applyBorder="1"/>
    <xf numFmtId="0" fontId="8" fillId="24" borderId="10" xfId="0" applyFont="1" applyFill="1" applyBorder="1" applyAlignment="1">
      <alignment vertical="top" wrapText="1"/>
    </xf>
    <xf numFmtId="43" fontId="16" fillId="24" borderId="0" xfId="32" applyNumberFormat="1" applyFont="1" applyFill="1" applyAlignment="1">
      <alignment horizontal="right"/>
    </xf>
    <xf numFmtId="37" fontId="8" fillId="24" borderId="10" xfId="0" applyNumberFormat="1" applyFont="1" applyFill="1" applyBorder="1" applyAlignment="1">
      <alignment horizontal="right" vertical="center"/>
    </xf>
    <xf numFmtId="43" fontId="22" fillId="24" borderId="0" xfId="0" applyNumberFormat="1" applyFont="1" applyFill="1"/>
    <xf numFmtId="166" fontId="19" fillId="27" borderId="21" xfId="0" applyNumberFormat="1" applyFont="1" applyFill="1" applyBorder="1"/>
    <xf numFmtId="165" fontId="0" fillId="28" borderId="0" xfId="0" applyNumberFormat="1" applyFill="1"/>
    <xf numFmtId="166" fontId="13" fillId="28" borderId="21" xfId="0" applyNumberFormat="1" applyFont="1" applyFill="1" applyBorder="1"/>
    <xf numFmtId="43" fontId="13" fillId="28" borderId="21" xfId="32" applyFont="1" applyFill="1" applyBorder="1"/>
    <xf numFmtId="166" fontId="13" fillId="25" borderId="21" xfId="0" applyNumberFormat="1" applyFont="1" applyFill="1" applyBorder="1"/>
    <xf numFmtId="43" fontId="28" fillId="0" borderId="76" xfId="32" applyNumberFormat="1" applyFont="1" applyFill="1" applyBorder="1"/>
    <xf numFmtId="168" fontId="35" fillId="24" borderId="0" xfId="35" applyNumberFormat="1" applyFont="1" applyFill="1"/>
    <xf numFmtId="0" fontId="31" fillId="24" borderId="0" xfId="0" applyFont="1" applyFill="1" applyBorder="1" applyAlignment="1">
      <alignment horizontal="center" vertical="center" wrapText="1"/>
    </xf>
    <xf numFmtId="168" fontId="31" fillId="24" borderId="0" xfId="35" applyNumberFormat="1" applyFont="1" applyFill="1" applyBorder="1" applyAlignment="1">
      <alignment wrapText="1"/>
    </xf>
    <xf numFmtId="168" fontId="89" fillId="24" borderId="0" xfId="32" applyNumberFormat="1" applyFont="1" applyFill="1" applyBorder="1" applyAlignment="1">
      <alignment wrapText="1"/>
    </xf>
    <xf numFmtId="43" fontId="35" fillId="0" borderId="0" xfId="32" applyFont="1" applyFill="1" applyBorder="1"/>
    <xf numFmtId="168" fontId="31" fillId="27" borderId="0" xfId="35" applyNumberFormat="1" applyFont="1" applyFill="1" applyBorder="1" applyAlignment="1">
      <alignment wrapText="1"/>
    </xf>
    <xf numFmtId="43" fontId="35" fillId="27" borderId="25" xfId="32" applyNumberFormat="1" applyFont="1" applyFill="1" applyBorder="1"/>
    <xf numFmtId="43" fontId="35" fillId="28" borderId="25" xfId="32" applyNumberFormat="1" applyFont="1" applyFill="1" applyBorder="1"/>
    <xf numFmtId="43" fontId="35" fillId="25" borderId="25" xfId="32" applyNumberFormat="1" applyFont="1" applyFill="1" applyBorder="1"/>
    <xf numFmtId="43" fontId="35" fillId="29" borderId="25" xfId="32" applyNumberFormat="1" applyFont="1" applyFill="1" applyBorder="1"/>
    <xf numFmtId="43" fontId="35" fillId="24" borderId="0" xfId="32" applyFont="1" applyFill="1" applyBorder="1" applyAlignment="1">
      <alignment wrapText="1"/>
    </xf>
    <xf numFmtId="43" fontId="19" fillId="24" borderId="25" xfId="32" applyNumberFormat="1" applyFont="1" applyFill="1" applyBorder="1"/>
    <xf numFmtId="10" fontId="31" fillId="24" borderId="22" xfId="35" applyNumberFormat="1" applyFont="1" applyFill="1" applyBorder="1" applyAlignment="1">
      <alignment wrapText="1"/>
    </xf>
    <xf numFmtId="10" fontId="31" fillId="24" borderId="23" xfId="35" applyNumberFormat="1" applyFont="1" applyFill="1" applyBorder="1" applyAlignment="1">
      <alignment wrapText="1"/>
    </xf>
    <xf numFmtId="44" fontId="73" fillId="0" borderId="11" xfId="0" applyNumberFormat="1" applyFont="1" applyFill="1" applyBorder="1" applyAlignment="1">
      <alignment vertical="center"/>
    </xf>
    <xf numFmtId="44" fontId="87" fillId="0" borderId="11" xfId="0" applyNumberFormat="1" applyFont="1" applyFill="1" applyBorder="1" applyAlignment="1">
      <alignment vertical="center"/>
    </xf>
    <xf numFmtId="1" fontId="95" fillId="0" borderId="51" xfId="32" applyNumberFormat="1" applyFont="1" applyFill="1" applyBorder="1"/>
    <xf numFmtId="43" fontId="96" fillId="0" borderId="26" xfId="32" applyNumberFormat="1" applyFont="1" applyFill="1" applyBorder="1"/>
    <xf numFmtId="43" fontId="88" fillId="25" borderId="71" xfId="32" applyNumberFormat="1" applyFont="1" applyFill="1" applyBorder="1"/>
    <xf numFmtId="43" fontId="97" fillId="0" borderId="28" xfId="32" applyNumberFormat="1" applyFont="1" applyFill="1" applyBorder="1"/>
    <xf numFmtId="43" fontId="97" fillId="0" borderId="29" xfId="32" applyNumberFormat="1" applyFont="1" applyFill="1" applyBorder="1"/>
    <xf numFmtId="43" fontId="97" fillId="0" borderId="30" xfId="32" applyNumberFormat="1" applyFont="1" applyFill="1" applyBorder="1"/>
    <xf numFmtId="43" fontId="97" fillId="0" borderId="54" xfId="32" applyNumberFormat="1" applyFont="1" applyFill="1" applyBorder="1"/>
    <xf numFmtId="43" fontId="83" fillId="0" borderId="0" xfId="32" applyNumberFormat="1" applyFont="1" applyFill="1"/>
    <xf numFmtId="43" fontId="98" fillId="0" borderId="29" xfId="32" applyNumberFormat="1" applyFont="1" applyFill="1" applyBorder="1"/>
    <xf numFmtId="0" fontId="0" fillId="0" borderId="21" xfId="0" applyBorder="1"/>
    <xf numFmtId="0" fontId="99" fillId="31" borderId="21" xfId="0" applyFont="1" applyFill="1" applyBorder="1" applyAlignment="1">
      <alignment horizontal="center" vertical="center" wrapText="1"/>
    </xf>
    <xf numFmtId="0" fontId="99" fillId="31" borderId="21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69" fillId="24" borderId="33" xfId="0" applyFont="1" applyFill="1" applyBorder="1" applyAlignment="1">
      <alignment horizontal="center"/>
    </xf>
    <xf numFmtId="0" fontId="69" fillId="24" borderId="24" xfId="0" applyFont="1" applyFill="1" applyBorder="1" applyAlignment="1">
      <alignment horizontal="center"/>
    </xf>
    <xf numFmtId="0" fontId="31" fillId="24" borderId="26" xfId="0" applyFont="1" applyFill="1" applyBorder="1" applyAlignment="1">
      <alignment horizontal="center" vertical="center"/>
    </xf>
    <xf numFmtId="0" fontId="31" fillId="24" borderId="27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5" fillId="0" borderId="0" xfId="0" applyFont="1" applyAlignment="1">
      <alignment horizontal="center" wrapText="1"/>
    </xf>
    <xf numFmtId="43" fontId="40" fillId="0" borderId="77" xfId="32" applyNumberFormat="1" applyFont="1" applyFill="1" applyBorder="1" applyAlignment="1">
      <alignment horizontal="center"/>
    </xf>
    <xf numFmtId="43" fontId="40" fillId="0" borderId="78" xfId="32" applyNumberFormat="1" applyFont="1" applyFill="1" applyBorder="1" applyAlignment="1">
      <alignment horizontal="center"/>
    </xf>
    <xf numFmtId="0" fontId="74" fillId="24" borderId="0" xfId="0" applyFont="1" applyFill="1" applyAlignment="1">
      <alignment horizontal="center"/>
    </xf>
    <xf numFmtId="43" fontId="33" fillId="0" borderId="79" xfId="32" applyNumberFormat="1" applyFont="1" applyFill="1" applyBorder="1" applyAlignment="1">
      <alignment horizontal="center"/>
    </xf>
    <xf numFmtId="43" fontId="33" fillId="0" borderId="47" xfId="32" applyNumberFormat="1" applyFont="1" applyFill="1" applyBorder="1" applyAlignment="1">
      <alignment horizontal="center"/>
    </xf>
    <xf numFmtId="0" fontId="10" fillId="24" borderId="25" xfId="0" applyFont="1" applyFill="1" applyBorder="1" applyAlignment="1">
      <alignment vertical="center"/>
    </xf>
    <xf numFmtId="0" fontId="0" fillId="24" borderId="25" xfId="0" applyFill="1" applyBorder="1" applyAlignment="1">
      <alignment vertical="center"/>
    </xf>
    <xf numFmtId="0" fontId="10" fillId="24" borderId="36" xfId="0" applyFont="1" applyFill="1" applyBorder="1" applyAlignment="1">
      <alignment vertical="center"/>
    </xf>
    <xf numFmtId="0" fontId="0" fillId="24" borderId="23" xfId="0" applyFill="1" applyBorder="1" applyAlignment="1">
      <alignment vertical="center"/>
    </xf>
    <xf numFmtId="0" fontId="7" fillId="24" borderId="0" xfId="0" applyFont="1" applyFill="1" applyAlignment="1">
      <alignment horizontal="center"/>
    </xf>
    <xf numFmtId="0" fontId="5" fillId="24" borderId="13" xfId="0" applyFont="1" applyFill="1" applyBorder="1" applyAlignment="1">
      <alignment horizontal="center" vertical="center"/>
    </xf>
    <xf numFmtId="0" fontId="5" fillId="24" borderId="14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/>
    </xf>
    <xf numFmtId="0" fontId="5" fillId="24" borderId="75" xfId="0" applyFont="1" applyFill="1" applyBorder="1" applyAlignment="1">
      <alignment horizontal="center"/>
    </xf>
    <xf numFmtId="0" fontId="5" fillId="24" borderId="18" xfId="0" applyFont="1" applyFill="1" applyBorder="1" applyAlignment="1">
      <alignment horizontal="center"/>
    </xf>
    <xf numFmtId="0" fontId="0" fillId="0" borderId="11" xfId="0" applyBorder="1" applyAlignment="1">
      <alignment vertical="center" textRotation="45"/>
    </xf>
    <xf numFmtId="164" fontId="67" fillId="25" borderId="11" xfId="32" applyNumberFormat="1" applyFont="1" applyFill="1" applyBorder="1" applyAlignment="1">
      <alignment vertical="center" textRotation="42"/>
    </xf>
    <xf numFmtId="164" fontId="1" fillId="0" borderId="11" xfId="32" applyNumberFormat="1" applyBorder="1" applyAlignment="1">
      <alignment vertical="center" textRotation="42"/>
    </xf>
    <xf numFmtId="0" fontId="15" fillId="24" borderId="33" xfId="0" applyFont="1" applyFill="1" applyBorder="1" applyAlignment="1">
      <alignment horizontal="center"/>
    </xf>
    <xf numFmtId="0" fontId="15" fillId="24" borderId="24" xfId="0" applyFont="1" applyFill="1" applyBorder="1" applyAlignment="1">
      <alignment horizontal="center"/>
    </xf>
    <xf numFmtId="0" fontId="11" fillId="24" borderId="26" xfId="0" applyFont="1" applyFill="1" applyBorder="1" applyAlignment="1">
      <alignment horizontal="center" vertical="center"/>
    </xf>
    <xf numFmtId="0" fontId="11" fillId="24" borderId="27" xfId="0" applyFont="1" applyFill="1" applyBorder="1" applyAlignment="1">
      <alignment horizontal="center" vertical="center"/>
    </xf>
    <xf numFmtId="0" fontId="11" fillId="2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1" xfId="0" applyBorder="1" applyAlignment="1">
      <alignment horizontal="center"/>
    </xf>
    <xf numFmtId="0" fontId="99" fillId="31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01" fillId="0" borderId="21" xfId="0" applyFont="1" applyFill="1" applyBorder="1" applyAlignment="1">
      <alignment horizontal="center" vertical="center" wrapText="1"/>
    </xf>
    <xf numFmtId="0" fontId="100" fillId="0" borderId="21" xfId="44" applyNumberFormat="1" applyFont="1" applyFill="1" applyBorder="1" applyAlignment="1">
      <alignment horizontal="center" vertical="center"/>
    </xf>
    <xf numFmtId="44" fontId="100" fillId="30" borderId="21" xfId="44" applyFont="1" applyFill="1" applyBorder="1" applyAlignment="1">
      <alignment horizontal="center" vertical="center"/>
    </xf>
    <xf numFmtId="44" fontId="101" fillId="0" borderId="21" xfId="0" applyNumberFormat="1" applyFont="1" applyFill="1" applyBorder="1" applyAlignment="1">
      <alignment horizontal="center" vertical="center"/>
    </xf>
    <xf numFmtId="8" fontId="101" fillId="0" borderId="21" xfId="0" applyNumberFormat="1" applyFont="1" applyFill="1" applyBorder="1" applyAlignment="1">
      <alignment horizontal="center" vertical="center"/>
    </xf>
    <xf numFmtId="44" fontId="100" fillId="0" borderId="21" xfId="0" applyNumberFormat="1" applyFont="1" applyFill="1" applyBorder="1" applyAlignment="1">
      <alignment horizontal="center" vertical="center"/>
    </xf>
    <xf numFmtId="44" fontId="101" fillId="30" borderId="21" xfId="0" applyNumberFormat="1" applyFont="1" applyFill="1" applyBorder="1" applyAlignment="1">
      <alignment horizontal="center" vertical="center"/>
    </xf>
    <xf numFmtId="8" fontId="101" fillId="0" borderId="26" xfId="0" applyNumberFormat="1" applyFont="1" applyFill="1" applyBorder="1" applyAlignment="1">
      <alignment horizontal="center" vertical="center"/>
    </xf>
    <xf numFmtId="44" fontId="101" fillId="0" borderId="27" xfId="0" applyNumberFormat="1" applyFont="1" applyFill="1" applyBorder="1" applyAlignment="1">
      <alignment horizontal="center" vertical="center"/>
    </xf>
    <xf numFmtId="44" fontId="100" fillId="30" borderId="2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oneda" xfId="44" builtinId="4"/>
    <cellStyle name="Neutral" xfId="33" builtinId="28" customBuiltin="1"/>
    <cellStyle name="Normal" xfId="0" builtinId="0"/>
    <cellStyle name="Notas" xfId="34" builtinId="10" customBuiltin="1"/>
    <cellStyle name="Porcentual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1914525</xdr:colOff>
      <xdr:row>0</xdr:row>
      <xdr:rowOff>104775</xdr:rowOff>
    </xdr:from>
    <xdr:to>
      <xdr:col>11</xdr:col>
      <xdr:colOff>2676525</xdr:colOff>
      <xdr:row>6</xdr:row>
      <xdr:rowOff>19050</xdr:rowOff>
    </xdr:to>
    <xdr:sp macro="" textlink="">
      <xdr:nvSpPr>
        <xdr:cNvPr id="47105" name="WordArt 1"/>
        <xdr:cNvSpPr>
          <a:spLocks noChangeArrowheads="1" noChangeShapeType="1"/>
        </xdr:cNvSpPr>
      </xdr:nvSpPr>
      <xdr:spPr bwMode="auto">
        <a:xfrm rot="-216132">
          <a:off x="12344400" y="104775"/>
          <a:ext cx="0" cy="8858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653"/>
            </a:avLst>
          </a:prstTxWarp>
        </a:bodyPr>
        <a:lstStyle/>
        <a:p>
          <a:pPr algn="ctr" rtl="0"/>
          <a:r>
            <a:rPr lang="es-SV" sz="28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Tahoma"/>
              <a:cs typeface="Tahoma"/>
            </a:rPr>
            <a:t>F 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30"/>
  <sheetViews>
    <sheetView zoomScale="75" workbookViewId="0">
      <selection activeCell="F7" sqref="F7:F15"/>
    </sheetView>
  </sheetViews>
  <sheetFormatPr baseColWidth="10" defaultColWidth="9.140625" defaultRowHeight="12.75"/>
  <cols>
    <col min="1" max="1" width="13.140625" style="198" customWidth="1"/>
    <col min="2" max="2" width="39.5703125" style="197" customWidth="1"/>
    <col min="3" max="3" width="16.42578125" style="394" bestFit="1" customWidth="1"/>
    <col min="4" max="4" width="8.85546875" style="233" bestFit="1" customWidth="1"/>
    <col min="5" max="5" width="16.42578125" style="406" bestFit="1" customWidth="1"/>
    <col min="6" max="6" width="13.85546875" style="197" bestFit="1" customWidth="1"/>
    <col min="7" max="8" width="13.85546875" style="197" customWidth="1"/>
    <col min="9" max="10" width="14.42578125" style="35" bestFit="1" customWidth="1"/>
    <col min="11" max="11" width="13.85546875" style="35" bestFit="1" customWidth="1"/>
    <col min="12" max="12" width="12.5703125" style="35" bestFit="1" customWidth="1"/>
    <col min="13" max="13" width="13.28515625" style="35" bestFit="1" customWidth="1"/>
    <col min="14" max="14" width="12.28515625" style="35" bestFit="1" customWidth="1"/>
    <col min="15" max="16" width="12.42578125" style="35" bestFit="1" customWidth="1"/>
    <col min="17" max="17" width="12.85546875" style="35" bestFit="1" customWidth="1"/>
    <col min="18" max="18" width="12.5703125" style="35" bestFit="1" customWidth="1"/>
    <col min="19" max="19" width="15" style="35" bestFit="1" customWidth="1"/>
    <col min="20" max="20" width="12.7109375" style="35" bestFit="1" customWidth="1"/>
    <col min="21" max="16384" width="9.140625" style="35"/>
  </cols>
  <sheetData>
    <row r="2" spans="1:12">
      <c r="A2" s="505" t="s">
        <v>41</v>
      </c>
      <c r="B2" s="505"/>
      <c r="C2" s="505"/>
      <c r="D2" s="505"/>
      <c r="E2" s="506"/>
      <c r="F2" s="198"/>
      <c r="G2" s="198"/>
      <c r="H2" s="198"/>
    </row>
    <row r="3" spans="1:12">
      <c r="A3" s="505" t="s">
        <v>227</v>
      </c>
      <c r="B3" s="505"/>
      <c r="C3" s="505"/>
      <c r="D3" s="505"/>
      <c r="E3" s="506"/>
      <c r="F3" s="198"/>
      <c r="G3" s="198"/>
      <c r="H3" s="198"/>
    </row>
    <row r="4" spans="1:12">
      <c r="A4" s="505" t="s">
        <v>42</v>
      </c>
      <c r="B4" s="505"/>
      <c r="C4" s="505"/>
      <c r="D4" s="505"/>
      <c r="E4" s="506"/>
      <c r="F4" s="198"/>
      <c r="G4" s="198"/>
      <c r="H4" s="198"/>
    </row>
    <row r="5" spans="1:12">
      <c r="C5" s="360"/>
      <c r="D5" s="361"/>
      <c r="E5" s="362"/>
      <c r="J5" s="35">
        <v>1824625</v>
      </c>
    </row>
    <row r="6" spans="1:12">
      <c r="A6" s="503" t="s">
        <v>43</v>
      </c>
      <c r="B6" s="504"/>
      <c r="C6" s="363" t="s">
        <v>76</v>
      </c>
      <c r="D6" s="234" t="s">
        <v>63</v>
      </c>
      <c r="E6" s="364" t="s">
        <v>226</v>
      </c>
      <c r="F6" s="200" t="s">
        <v>63</v>
      </c>
      <c r="G6" s="472"/>
      <c r="H6" s="472"/>
      <c r="J6" s="35">
        <v>1782565</v>
      </c>
      <c r="K6" s="35">
        <v>9070</v>
      </c>
      <c r="L6" s="35">
        <f>SUM(J6:K6)</f>
        <v>1791635</v>
      </c>
    </row>
    <row r="7" spans="1:12">
      <c r="A7" s="365" t="s">
        <v>94</v>
      </c>
      <c r="B7" s="201" t="s">
        <v>77</v>
      </c>
      <c r="C7" s="235">
        <f>+C28</f>
        <v>1069530</v>
      </c>
      <c r="D7" s="366">
        <f t="shared" ref="D7:D15" si="0">+C7/C$16</f>
        <v>0.58616428033157497</v>
      </c>
      <c r="E7" s="367">
        <f>+E28</f>
        <v>1294350</v>
      </c>
      <c r="F7" s="483">
        <f t="shared" ref="F7:F15" si="1">+E7/E$16</f>
        <v>0.68424933985679059</v>
      </c>
      <c r="G7" s="481">
        <f>-C7+E7</f>
        <v>224820</v>
      </c>
      <c r="H7" s="476">
        <f>+G7/C7</f>
        <v>0.21020448234271127</v>
      </c>
      <c r="J7" s="35">
        <f>+J5-J6</f>
        <v>42060</v>
      </c>
    </row>
    <row r="8" spans="1:12">
      <c r="A8" s="365" t="s">
        <v>182</v>
      </c>
      <c r="B8" s="201" t="s">
        <v>79</v>
      </c>
      <c r="C8" s="235">
        <f>+C57</f>
        <v>95714.49</v>
      </c>
      <c r="D8" s="366">
        <f t="shared" si="0"/>
        <v>5.2457074741385216E-2</v>
      </c>
      <c r="E8" s="367">
        <f>+E57</f>
        <v>90000</v>
      </c>
      <c r="F8" s="483">
        <f t="shared" si="1"/>
        <v>4.7577888969066444E-2</v>
      </c>
      <c r="G8" s="481">
        <f t="shared" ref="G8:G15" si="2">-C8+E8</f>
        <v>-5714.4900000000052</v>
      </c>
      <c r="H8" s="473">
        <f t="shared" ref="H8:H15" si="3">+G8/C8</f>
        <v>-5.9703499438799754E-2</v>
      </c>
    </row>
    <row r="9" spans="1:12">
      <c r="A9" s="365" t="s">
        <v>183</v>
      </c>
      <c r="B9" s="201" t="s">
        <v>80</v>
      </c>
      <c r="C9" s="235">
        <f>+C64</f>
        <v>59000</v>
      </c>
      <c r="D9" s="366">
        <f t="shared" si="0"/>
        <v>3.2335411385901215E-2</v>
      </c>
      <c r="E9" s="367">
        <f>+E64</f>
        <v>44120</v>
      </c>
      <c r="F9" s="483">
        <f t="shared" si="1"/>
        <v>2.3323738459057906E-2</v>
      </c>
      <c r="G9" s="481">
        <f t="shared" si="2"/>
        <v>-14880</v>
      </c>
      <c r="H9" s="473">
        <f t="shared" si="3"/>
        <v>-0.2522033898305085</v>
      </c>
    </row>
    <row r="10" spans="1:12">
      <c r="A10" s="365" t="s">
        <v>184</v>
      </c>
      <c r="B10" s="201" t="s">
        <v>81</v>
      </c>
      <c r="C10" s="235">
        <f>+C70</f>
        <v>1000</v>
      </c>
      <c r="D10" s="366">
        <f t="shared" si="0"/>
        <v>5.4805782010002057E-4</v>
      </c>
      <c r="E10" s="367">
        <f>+E70</f>
        <v>1000</v>
      </c>
      <c r="F10" s="483">
        <f t="shared" si="1"/>
        <v>5.2864321076740491E-4</v>
      </c>
      <c r="G10" s="481">
        <f t="shared" si="2"/>
        <v>0</v>
      </c>
      <c r="H10" s="473">
        <f t="shared" si="3"/>
        <v>0</v>
      </c>
    </row>
    <row r="11" spans="1:12">
      <c r="A11" s="365" t="s">
        <v>186</v>
      </c>
      <c r="B11" s="201" t="s">
        <v>82</v>
      </c>
      <c r="C11" s="235">
        <f>+C74</f>
        <v>240977</v>
      </c>
      <c r="D11" s="366">
        <f t="shared" si="0"/>
        <v>0.13206932931424264</v>
      </c>
      <c r="E11" s="367">
        <f>+E74</f>
        <v>145685</v>
      </c>
      <c r="F11" s="483">
        <f t="shared" si="1"/>
        <v>7.7015386160649388E-2</v>
      </c>
      <c r="G11" s="481">
        <f t="shared" si="2"/>
        <v>-95292</v>
      </c>
      <c r="H11" s="473">
        <f t="shared" si="3"/>
        <v>-0.39544022873552248</v>
      </c>
      <c r="L11" s="35">
        <v>45385</v>
      </c>
    </row>
    <row r="12" spans="1:12">
      <c r="A12" s="365" t="s">
        <v>185</v>
      </c>
      <c r="B12" s="201" t="s">
        <v>83</v>
      </c>
      <c r="C12" s="235">
        <f>+C108</f>
        <v>103576.67</v>
      </c>
      <c r="D12" s="366">
        <f t="shared" si="0"/>
        <v>5.6766003973419195E-2</v>
      </c>
      <c r="E12" s="367">
        <f>+E108</f>
        <v>94770</v>
      </c>
      <c r="F12" s="483">
        <f t="shared" si="1"/>
        <v>5.0099517084426962E-2</v>
      </c>
      <c r="G12" s="481">
        <f t="shared" si="2"/>
        <v>-8806.6699999999983</v>
      </c>
      <c r="H12" s="473">
        <f t="shared" si="3"/>
        <v>-8.5025614358909193E-2</v>
      </c>
      <c r="L12" s="35">
        <v>30099</v>
      </c>
    </row>
    <row r="13" spans="1:12">
      <c r="A13" s="168"/>
      <c r="B13" s="368" t="s">
        <v>91</v>
      </c>
      <c r="C13" s="236">
        <f>+C120</f>
        <v>148336.84</v>
      </c>
      <c r="D13" s="369">
        <f t="shared" si="0"/>
        <v>8.1297165170925528E-2</v>
      </c>
      <c r="E13" s="370">
        <f>+E120</f>
        <v>150180</v>
      </c>
      <c r="F13" s="484">
        <f t="shared" si="1"/>
        <v>7.9391637393048872E-2</v>
      </c>
      <c r="G13" s="481">
        <f t="shared" si="2"/>
        <v>1843.1600000000035</v>
      </c>
      <c r="H13" s="473">
        <f t="shared" si="3"/>
        <v>1.242550400830976E-2</v>
      </c>
    </row>
    <row r="14" spans="1:12">
      <c r="A14" s="365" t="s">
        <v>181</v>
      </c>
      <c r="B14" s="201" t="s">
        <v>86</v>
      </c>
      <c r="C14" s="235">
        <f>+C46</f>
        <v>58600</v>
      </c>
      <c r="D14" s="366">
        <f t="shared" si="0"/>
        <v>3.2116188257861202E-2</v>
      </c>
      <c r="E14" s="367">
        <f>+E46</f>
        <v>57530</v>
      </c>
      <c r="F14" s="483">
        <f t="shared" si="1"/>
        <v>3.0412843915448805E-2</v>
      </c>
      <c r="G14" s="481">
        <f t="shared" si="2"/>
        <v>-1070</v>
      </c>
      <c r="H14" s="473">
        <f t="shared" si="3"/>
        <v>-1.825938566552901E-2</v>
      </c>
    </row>
    <row r="15" spans="1:12">
      <c r="A15" s="365" t="s">
        <v>95</v>
      </c>
      <c r="B15" s="201" t="s">
        <v>78</v>
      </c>
      <c r="C15" s="235">
        <f>C38</f>
        <v>47890</v>
      </c>
      <c r="D15" s="366">
        <f t="shared" si="0"/>
        <v>2.6246489004589986E-2</v>
      </c>
      <c r="E15" s="367">
        <f>E38</f>
        <v>14000</v>
      </c>
      <c r="F15" s="483">
        <f t="shared" si="1"/>
        <v>7.4010049507436688E-3</v>
      </c>
      <c r="G15" s="481">
        <f t="shared" si="2"/>
        <v>-33890</v>
      </c>
      <c r="H15" s="473">
        <f t="shared" si="3"/>
        <v>-0.70766339528085198</v>
      </c>
      <c r="J15" s="359">
        <f>+J7/J5</f>
        <v>2.3051311913406865E-2</v>
      </c>
    </row>
    <row r="16" spans="1:12" ht="15.75">
      <c r="A16" s="501" t="s">
        <v>44</v>
      </c>
      <c r="B16" s="502"/>
      <c r="C16" s="371">
        <f t="shared" ref="C16:H16" si="4">SUM(C7:C15)</f>
        <v>1824625</v>
      </c>
      <c r="D16" s="372">
        <f t="shared" si="4"/>
        <v>1</v>
      </c>
      <c r="E16" s="371">
        <f t="shared" si="4"/>
        <v>1891635</v>
      </c>
      <c r="F16" s="372">
        <f t="shared" si="4"/>
        <v>1</v>
      </c>
      <c r="G16" s="481">
        <f t="shared" si="4"/>
        <v>67010.000000000015</v>
      </c>
      <c r="H16" s="474">
        <f t="shared" si="4"/>
        <v>-1.2956655269591</v>
      </c>
    </row>
    <row r="17" spans="1:20" ht="16.5" thickBot="1">
      <c r="A17" s="199"/>
      <c r="B17" s="373"/>
      <c r="C17" s="374"/>
      <c r="D17" s="375"/>
      <c r="E17" s="371">
        <f>+E16-C16</f>
        <v>67010</v>
      </c>
      <c r="F17" s="376"/>
      <c r="G17" s="473"/>
      <c r="H17" s="473"/>
    </row>
    <row r="18" spans="1:20" ht="14.25" thickTop="1" thickBot="1">
      <c r="B18" s="202"/>
      <c r="C18" s="377"/>
      <c r="D18" s="237"/>
      <c r="E18" s="471">
        <f>+E17/C16</f>
        <v>3.672535452490238E-2</v>
      </c>
      <c r="I18" s="259" t="str">
        <f>+Mensualizado!D6</f>
        <v>ENERO</v>
      </c>
      <c r="J18" s="259" t="str">
        <f>+Mensualizado!E6</f>
        <v>FEBRERO</v>
      </c>
      <c r="K18" s="259" t="str">
        <f>+Mensualizado!F6</f>
        <v>MARZO</v>
      </c>
      <c r="L18" s="259" t="str">
        <f>+Mensualizado!G6</f>
        <v>ABRIL</v>
      </c>
      <c r="M18" s="259" t="str">
        <f>+Mensualizado!H6</f>
        <v>MAYO</v>
      </c>
      <c r="N18" s="259" t="str">
        <f>+Mensualizado!I6</f>
        <v>JUNIO</v>
      </c>
      <c r="O18" s="259" t="str">
        <f>+Mensualizado!J6</f>
        <v>JULIO</v>
      </c>
      <c r="P18" s="259" t="str">
        <f>+Mensualizado!K6</f>
        <v>AGOSTO</v>
      </c>
      <c r="Q18" s="259" t="str">
        <f>+Mensualizado!L6</f>
        <v>SEPTIEMBRE</v>
      </c>
      <c r="R18" s="259" t="str">
        <f>+Mensualizado!M6</f>
        <v>OCTUBRE</v>
      </c>
      <c r="S18" s="259" t="str">
        <f>+Mensualizado!N6</f>
        <v>NOVIEMBRE</v>
      </c>
      <c r="T18" s="259" t="str">
        <f>+Mensualizado!O6</f>
        <v>DICIEMBRE</v>
      </c>
    </row>
    <row r="19" spans="1:20" ht="25.5">
      <c r="A19" s="203" t="s">
        <v>45</v>
      </c>
      <c r="B19" s="204" t="s">
        <v>66</v>
      </c>
      <c r="C19" s="379"/>
      <c r="D19" s="380"/>
      <c r="E19" s="381"/>
    </row>
    <row r="20" spans="1:20">
      <c r="A20" s="205"/>
      <c r="B20" s="201"/>
      <c r="C20" s="382"/>
      <c r="D20" s="383"/>
      <c r="E20" s="384"/>
      <c r="F20" s="385"/>
      <c r="G20" s="385"/>
      <c r="H20" s="385"/>
    </row>
    <row r="21" spans="1:20">
      <c r="A21" s="205">
        <v>51105</v>
      </c>
      <c r="B21" s="201" t="s">
        <v>49</v>
      </c>
      <c r="C21" s="244">
        <v>18000</v>
      </c>
      <c r="D21" s="386"/>
      <c r="E21" s="384">
        <f>SUM(I21:T21)</f>
        <v>18000</v>
      </c>
      <c r="F21" s="385"/>
      <c r="G21" s="481">
        <f t="shared" ref="G21:G27" si="5">-C21+E21</f>
        <v>0</v>
      </c>
      <c r="H21" s="385"/>
      <c r="I21" s="87">
        <f>+'P E P'!D11</f>
        <v>1500</v>
      </c>
      <c r="J21" s="87">
        <f>+'P E P'!E11</f>
        <v>1500</v>
      </c>
      <c r="K21" s="87">
        <f>+'P E P'!F11</f>
        <v>1500</v>
      </c>
      <c r="L21" s="87">
        <f>+'P E P'!G11</f>
        <v>1500</v>
      </c>
      <c r="M21" s="87">
        <f>+'P E P'!H11</f>
        <v>1500</v>
      </c>
      <c r="N21" s="87">
        <f>+'P E P'!I11</f>
        <v>1500</v>
      </c>
      <c r="O21" s="87">
        <f>+'P E P'!J11</f>
        <v>1500</v>
      </c>
      <c r="P21" s="87">
        <f>+'P E P'!K11</f>
        <v>1500</v>
      </c>
      <c r="Q21" s="87">
        <f>+'P E P'!L11</f>
        <v>1500</v>
      </c>
      <c r="R21" s="87">
        <f>+'P E P'!M11</f>
        <v>1500</v>
      </c>
      <c r="S21" s="87">
        <f>+'P E P'!N11</f>
        <v>1500</v>
      </c>
      <c r="T21" s="87">
        <f>+'P E P'!O11</f>
        <v>1500</v>
      </c>
    </row>
    <row r="22" spans="1:20">
      <c r="A22" s="205">
        <v>51201</v>
      </c>
      <c r="B22" s="201" t="s">
        <v>215</v>
      </c>
      <c r="C22" s="384">
        <v>791540</v>
      </c>
      <c r="D22" s="386"/>
      <c r="E22" s="482">
        <v>964800</v>
      </c>
      <c r="G22" s="481">
        <f t="shared" si="5"/>
        <v>173260</v>
      </c>
      <c r="I22" s="87">
        <f>+'P E P'!D12</f>
        <v>80400</v>
      </c>
      <c r="J22" s="87">
        <f>+'P E P'!E12</f>
        <v>80400</v>
      </c>
      <c r="K22" s="87">
        <f>+'P E P'!F12</f>
        <v>80400</v>
      </c>
      <c r="L22" s="87">
        <f>+'P E P'!G12</f>
        <v>80400</v>
      </c>
      <c r="M22" s="87">
        <f>+'P E P'!H12</f>
        <v>80400</v>
      </c>
      <c r="N22" s="87">
        <f>+'P E P'!I12</f>
        <v>80400</v>
      </c>
      <c r="O22" s="87">
        <f>+'P E P'!J12</f>
        <v>80400</v>
      </c>
      <c r="P22" s="87">
        <f>+'P E P'!K12</f>
        <v>80400</v>
      </c>
      <c r="Q22" s="87">
        <f>+'P E P'!L12</f>
        <v>80400</v>
      </c>
      <c r="R22" s="87">
        <f>+'P E P'!M12</f>
        <v>80400</v>
      </c>
      <c r="S22" s="87">
        <f>+'P E P'!N12</f>
        <v>80400</v>
      </c>
      <c r="T22" s="87">
        <f>+'P E P'!O12</f>
        <v>80400</v>
      </c>
    </row>
    <row r="23" spans="1:20">
      <c r="A23" s="205">
        <v>51203</v>
      </c>
      <c r="B23" s="201" t="s">
        <v>216</v>
      </c>
      <c r="C23" s="384">
        <v>65965</v>
      </c>
      <c r="D23" s="386"/>
      <c r="E23" s="482">
        <v>80400</v>
      </c>
      <c r="G23" s="481">
        <f t="shared" si="5"/>
        <v>14435</v>
      </c>
      <c r="I23" s="87">
        <f>+'P E P'!D13</f>
        <v>0</v>
      </c>
      <c r="J23" s="87">
        <f>+'P E P'!E13</f>
        <v>0</v>
      </c>
      <c r="K23" s="87">
        <f>+'P E P'!F13</f>
        <v>0</v>
      </c>
      <c r="L23" s="87">
        <f>+'P E P'!G13</f>
        <v>0</v>
      </c>
      <c r="M23" s="87">
        <f>+'P E P'!H13</f>
        <v>0</v>
      </c>
      <c r="N23" s="87">
        <f>+'P E P'!I13</f>
        <v>0</v>
      </c>
      <c r="O23" s="87">
        <f>+'P E P'!J13</f>
        <v>0</v>
      </c>
      <c r="P23" s="87">
        <f>+'P E P'!K13</f>
        <v>0</v>
      </c>
      <c r="Q23" s="87">
        <f>+'P E P'!L13</f>
        <v>0</v>
      </c>
      <c r="R23" s="87">
        <f>+'P E P'!M13</f>
        <v>0</v>
      </c>
      <c r="S23" s="87">
        <f>+'P E P'!N13</f>
        <v>0</v>
      </c>
      <c r="T23" s="87">
        <f>+'P E P'!O13</f>
        <v>80400</v>
      </c>
    </row>
    <row r="24" spans="1:20">
      <c r="A24" s="205">
        <v>51207</v>
      </c>
      <c r="B24" s="201" t="s">
        <v>84</v>
      </c>
      <c r="C24" s="384">
        <v>109755</v>
      </c>
      <c r="D24" s="386"/>
      <c r="E24" s="482">
        <v>129890</v>
      </c>
      <c r="G24" s="481">
        <f t="shared" si="5"/>
        <v>20135</v>
      </c>
      <c r="I24" s="87" t="e">
        <f>SUM('P E P'!D14:D15)</f>
        <v>#REF!</v>
      </c>
      <c r="J24" s="87">
        <f>SUM('P E P'!E14:E15)</f>
        <v>7285</v>
      </c>
      <c r="K24" s="87">
        <f>SUM('P E P'!F14:F15)</f>
        <v>6380</v>
      </c>
      <c r="L24" s="87">
        <f>SUM('P E P'!G14:G15)</f>
        <v>3710</v>
      </c>
      <c r="M24" s="87">
        <f>SUM('P E P'!H14:H15)</f>
        <v>0</v>
      </c>
      <c r="N24" s="87">
        <f>SUM('P E P'!I14:I15)</f>
        <v>87780</v>
      </c>
      <c r="O24" s="87">
        <f>SUM('P E P'!J14:J15)</f>
        <v>3680</v>
      </c>
      <c r="P24" s="87">
        <f>SUM('P E P'!K14:K15)</f>
        <v>330</v>
      </c>
      <c r="Q24" s="87">
        <f>SUM('P E P'!L14:L15)</f>
        <v>2350</v>
      </c>
      <c r="R24" s="87">
        <f>SUM('P E P'!M14:M15)</f>
        <v>0</v>
      </c>
      <c r="S24" s="87">
        <f>SUM('P E P'!N14:N15)</f>
        <v>0</v>
      </c>
      <c r="T24" s="87">
        <f>SUM('P E P'!O14:O15)</f>
        <v>0</v>
      </c>
    </row>
    <row r="25" spans="1:20">
      <c r="A25" s="205">
        <v>51402</v>
      </c>
      <c r="B25" s="201" t="s">
        <v>56</v>
      </c>
      <c r="C25" s="384">
        <v>25410</v>
      </c>
      <c r="D25" s="386"/>
      <c r="E25" s="482">
        <v>30300</v>
      </c>
      <c r="G25" s="481">
        <f t="shared" si="5"/>
        <v>4890</v>
      </c>
      <c r="I25" s="87">
        <f>SUM('P E P'!D16:D16)</f>
        <v>2525</v>
      </c>
      <c r="J25" s="87">
        <f>SUM('P E P'!E16:E16)</f>
        <v>2525</v>
      </c>
      <c r="K25" s="87">
        <f>SUM('P E P'!F16:F16)</f>
        <v>2525</v>
      </c>
      <c r="L25" s="87">
        <f>SUM('P E P'!G16:G16)</f>
        <v>2525</v>
      </c>
      <c r="M25" s="87">
        <f>SUM('P E P'!H16:H16)</f>
        <v>2525</v>
      </c>
      <c r="N25" s="87">
        <f>SUM('P E P'!I16:I16)</f>
        <v>2525</v>
      </c>
      <c r="O25" s="87">
        <f>SUM('P E P'!J16:J16)</f>
        <v>2525</v>
      </c>
      <c r="P25" s="87">
        <f>SUM('P E P'!K16:K16)</f>
        <v>2525</v>
      </c>
      <c r="Q25" s="87">
        <f>SUM('P E P'!L16:L16)</f>
        <v>2525</v>
      </c>
      <c r="R25" s="87">
        <f>SUM('P E P'!M16:M16)</f>
        <v>2525</v>
      </c>
      <c r="S25" s="87">
        <f>SUM('P E P'!N16:N16)</f>
        <v>2525</v>
      </c>
      <c r="T25" s="87">
        <f>SUM('P E P'!O16:O16)</f>
        <v>2525</v>
      </c>
    </row>
    <row r="26" spans="1:20">
      <c r="A26" s="205">
        <v>51502</v>
      </c>
      <c r="B26" s="201" t="s">
        <v>17</v>
      </c>
      <c r="C26" s="387">
        <v>53025</v>
      </c>
      <c r="D26" s="386"/>
      <c r="E26" s="482">
        <v>65125</v>
      </c>
      <c r="G26" s="481">
        <f t="shared" si="5"/>
        <v>12100</v>
      </c>
      <c r="I26" s="87">
        <f>SUM('P E P'!D17:D17)</f>
        <v>5427</v>
      </c>
      <c r="J26" s="87">
        <f>SUM('P E P'!E17:E17)</f>
        <v>5427</v>
      </c>
      <c r="K26" s="87">
        <f>SUM('P E P'!F17:F17)</f>
        <v>5427</v>
      </c>
      <c r="L26" s="87">
        <f>SUM('P E P'!G17:G17)</f>
        <v>5427</v>
      </c>
      <c r="M26" s="87">
        <f>SUM('P E P'!H17:H17)</f>
        <v>5427</v>
      </c>
      <c r="N26" s="87">
        <f>SUM('P E P'!I17:I17)</f>
        <v>5427</v>
      </c>
      <c r="O26" s="87">
        <f>SUM('P E P'!J17:J17)</f>
        <v>5427</v>
      </c>
      <c r="P26" s="87">
        <f>SUM('P E P'!K17:K17)</f>
        <v>5427</v>
      </c>
      <c r="Q26" s="87">
        <f>SUM('P E P'!L17:L17)</f>
        <v>5427</v>
      </c>
      <c r="R26" s="87">
        <f>SUM('P E P'!M17:M17)</f>
        <v>5427</v>
      </c>
      <c r="S26" s="87">
        <f>SUM('P E P'!N17:N17)</f>
        <v>5428</v>
      </c>
      <c r="T26" s="87">
        <f>SUM('P E P'!O17:O17)</f>
        <v>5427</v>
      </c>
    </row>
    <row r="27" spans="1:20" ht="13.5" thickBot="1">
      <c r="A27" s="168">
        <v>51999</v>
      </c>
      <c r="B27" s="169" t="s">
        <v>64</v>
      </c>
      <c r="C27" s="387">
        <v>5835</v>
      </c>
      <c r="D27" s="388"/>
      <c r="E27" s="482">
        <v>5835</v>
      </c>
      <c r="G27" s="481">
        <f t="shared" si="5"/>
        <v>0</v>
      </c>
      <c r="I27" s="87">
        <f>+'P E P'!D18</f>
        <v>0</v>
      </c>
      <c r="J27" s="87">
        <f>+'P E P'!E18</f>
        <v>0</v>
      </c>
      <c r="K27" s="87">
        <f>+'P E P'!F18</f>
        <v>0</v>
      </c>
      <c r="L27" s="87">
        <f>+'P E P'!G18</f>
        <v>835</v>
      </c>
      <c r="M27" s="87">
        <f>+'P E P'!H18</f>
        <v>835</v>
      </c>
      <c r="N27" s="87">
        <f>+'P E P'!I18</f>
        <v>835</v>
      </c>
      <c r="O27" s="87">
        <f>+'P E P'!J18</f>
        <v>835</v>
      </c>
      <c r="P27" s="87">
        <f>+'P E P'!K18</f>
        <v>835</v>
      </c>
      <c r="Q27" s="87">
        <f>+'P E P'!L18</f>
        <v>830</v>
      </c>
      <c r="R27" s="87">
        <f>+'P E P'!M18+0.4</f>
        <v>830.4</v>
      </c>
      <c r="S27" s="87">
        <f>+'P E P'!N18</f>
        <v>0</v>
      </c>
      <c r="T27" s="87">
        <f>+'P E P'!O18</f>
        <v>0</v>
      </c>
    </row>
    <row r="28" spans="1:20" ht="13.5" thickBot="1">
      <c r="A28" s="389"/>
      <c r="B28" s="390" t="s">
        <v>204</v>
      </c>
      <c r="C28" s="391">
        <f>SUM(C20:C27)</f>
        <v>1069530</v>
      </c>
      <c r="D28" s="392"/>
      <c r="E28" s="393">
        <f>SUM(E20:E27)</f>
        <v>1294350</v>
      </c>
      <c r="F28" s="406" t="e">
        <f>SUM(I28:T28)</f>
        <v>#REF!</v>
      </c>
      <c r="G28" s="406"/>
      <c r="H28" s="406"/>
      <c r="I28" s="317" t="e">
        <f t="shared" ref="I28:T28" si="6">SUM(I21:I27)</f>
        <v>#REF!</v>
      </c>
      <c r="J28" s="317">
        <f t="shared" si="6"/>
        <v>97137</v>
      </c>
      <c r="K28" s="317">
        <f t="shared" si="6"/>
        <v>96232</v>
      </c>
      <c r="L28" s="317">
        <f t="shared" si="6"/>
        <v>94397</v>
      </c>
      <c r="M28" s="317">
        <f t="shared" si="6"/>
        <v>90687</v>
      </c>
      <c r="N28" s="317">
        <f t="shared" si="6"/>
        <v>178467</v>
      </c>
      <c r="O28" s="317">
        <f t="shared" si="6"/>
        <v>94367</v>
      </c>
      <c r="P28" s="317">
        <f t="shared" si="6"/>
        <v>91017</v>
      </c>
      <c r="Q28" s="317">
        <f t="shared" si="6"/>
        <v>93032</v>
      </c>
      <c r="R28" s="317">
        <f t="shared" si="6"/>
        <v>90682.4</v>
      </c>
      <c r="S28" s="317">
        <f t="shared" si="6"/>
        <v>89853</v>
      </c>
      <c r="T28" s="317">
        <f t="shared" si="6"/>
        <v>170252</v>
      </c>
    </row>
    <row r="29" spans="1:20">
      <c r="A29" s="199"/>
      <c r="B29" s="206"/>
      <c r="D29" s="395"/>
      <c r="E29" s="396"/>
    </row>
    <row r="30" spans="1:20">
      <c r="A30" s="203"/>
      <c r="B30" s="207" t="s">
        <v>92</v>
      </c>
      <c r="C30" s="379"/>
      <c r="D30" s="380"/>
      <c r="E30" s="381"/>
    </row>
    <row r="31" spans="1:20">
      <c r="A31" s="205"/>
      <c r="B31" s="208"/>
      <c r="C31" s="244"/>
      <c r="D31" s="397"/>
      <c r="E31" s="398"/>
    </row>
    <row r="32" spans="1:20">
      <c r="A32" s="205">
        <v>61101</v>
      </c>
      <c r="B32" s="201" t="s">
        <v>199</v>
      </c>
      <c r="C32" s="399">
        <v>500</v>
      </c>
      <c r="D32" s="238"/>
      <c r="E32" s="384">
        <f t="shared" ref="E32:E37" si="7">SUM(I32:T32)</f>
        <v>7000</v>
      </c>
      <c r="I32" s="87">
        <f>+Mensualizado!D107</f>
        <v>0</v>
      </c>
      <c r="J32" s="87">
        <f>+Mensualizado!E107</f>
        <v>0</v>
      </c>
      <c r="K32" s="87">
        <v>7000</v>
      </c>
      <c r="L32" s="87">
        <f>+Mensualizado!G107</f>
        <v>0</v>
      </c>
      <c r="M32" s="87">
        <f>+Mensualizado!H107</f>
        <v>0</v>
      </c>
      <c r="N32" s="87">
        <f>+Mensualizado!I107</f>
        <v>0</v>
      </c>
      <c r="O32" s="87">
        <f>+Mensualizado!J107</f>
        <v>0</v>
      </c>
      <c r="P32" s="87">
        <f>+Mensualizado!K107</f>
        <v>0</v>
      </c>
      <c r="Q32" s="87">
        <f>+Mensualizado!L107</f>
        <v>0</v>
      </c>
      <c r="R32" s="87">
        <f>+Mensualizado!M107</f>
        <v>0</v>
      </c>
      <c r="S32" s="87">
        <f>+Mensualizado!N107</f>
        <v>0</v>
      </c>
      <c r="T32" s="87">
        <f>+Mensualizado!O107</f>
        <v>0</v>
      </c>
    </row>
    <row r="33" spans="1:20">
      <c r="A33" s="205">
        <v>61102</v>
      </c>
      <c r="B33" s="201" t="s">
        <v>257</v>
      </c>
      <c r="C33" s="399"/>
      <c r="D33" s="238"/>
      <c r="E33" s="384">
        <f t="shared" si="7"/>
        <v>0</v>
      </c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</row>
    <row r="34" spans="1:20">
      <c r="A34" s="205">
        <v>61104</v>
      </c>
      <c r="B34" s="201" t="s">
        <v>187</v>
      </c>
      <c r="C34" s="399">
        <v>36650</v>
      </c>
      <c r="D34" s="238"/>
      <c r="E34" s="384">
        <f t="shared" si="7"/>
        <v>5000</v>
      </c>
      <c r="I34" s="87">
        <f>+Mensualizado!D109</f>
        <v>0</v>
      </c>
      <c r="J34" s="87">
        <f>+Mensualizado!E109</f>
        <v>0</v>
      </c>
      <c r="K34" s="87">
        <f>+Mensualizado!F109</f>
        <v>0</v>
      </c>
      <c r="L34" s="87">
        <v>5000</v>
      </c>
      <c r="M34" s="87">
        <f>+Mensualizado!H109</f>
        <v>0</v>
      </c>
      <c r="N34" s="87">
        <f>+Mensualizado!I109</f>
        <v>0</v>
      </c>
      <c r="O34" s="87">
        <f>+Mensualizado!J109</f>
        <v>0</v>
      </c>
      <c r="P34" s="87">
        <f>+Mensualizado!K109</f>
        <v>0</v>
      </c>
      <c r="Q34" s="87">
        <f>+Mensualizado!L109</f>
        <v>0</v>
      </c>
      <c r="R34" s="87">
        <f>+Mensualizado!M109</f>
        <v>0</v>
      </c>
      <c r="S34" s="87">
        <f>+Mensualizado!N109</f>
        <v>0</v>
      </c>
      <c r="T34" s="87">
        <f>+Mensualizado!O109</f>
        <v>0</v>
      </c>
    </row>
    <row r="35" spans="1:20">
      <c r="A35" s="205">
        <v>61105</v>
      </c>
      <c r="B35" s="201" t="s">
        <v>203</v>
      </c>
      <c r="C35" s="399">
        <v>1500</v>
      </c>
      <c r="D35" s="238"/>
      <c r="E35" s="384">
        <f t="shared" si="7"/>
        <v>0</v>
      </c>
      <c r="I35" s="87">
        <f>+Mensualizado!D110</f>
        <v>0</v>
      </c>
      <c r="J35" s="87">
        <f>+Mensualizado!E110</f>
        <v>0</v>
      </c>
      <c r="K35" s="87">
        <f>+Mensualizado!F110</f>
        <v>0</v>
      </c>
      <c r="L35" s="87">
        <f>+Mensualizado!G110</f>
        <v>0</v>
      </c>
      <c r="M35" s="87">
        <f>+Mensualizado!H110</f>
        <v>0</v>
      </c>
      <c r="N35" s="87">
        <f>+Mensualizado!I110</f>
        <v>0</v>
      </c>
      <c r="O35" s="87">
        <f>+Mensualizado!J110</f>
        <v>0</v>
      </c>
      <c r="P35" s="87">
        <f>+Mensualizado!K110</f>
        <v>0</v>
      </c>
      <c r="Q35" s="87">
        <f>+Mensualizado!L110</f>
        <v>0</v>
      </c>
      <c r="R35" s="87">
        <f>+Mensualizado!M110</f>
        <v>0</v>
      </c>
      <c r="S35" s="87">
        <f>+Mensualizado!N110</f>
        <v>0</v>
      </c>
      <c r="T35" s="87">
        <f>+Mensualizado!O110</f>
        <v>0</v>
      </c>
    </row>
    <row r="36" spans="1:20">
      <c r="A36" s="205">
        <v>61199</v>
      </c>
      <c r="B36" s="201" t="s">
        <v>162</v>
      </c>
      <c r="C36" s="244"/>
      <c r="D36" s="238"/>
      <c r="E36" s="384">
        <f t="shared" si="7"/>
        <v>0</v>
      </c>
      <c r="I36" s="87">
        <f>+Mensualizado!D110</f>
        <v>0</v>
      </c>
      <c r="J36" s="87">
        <f>+Mensualizado!E110</f>
        <v>0</v>
      </c>
      <c r="K36" s="87">
        <f>+Mensualizado!F110</f>
        <v>0</v>
      </c>
      <c r="L36" s="87"/>
      <c r="M36" s="87">
        <f>+Mensualizado!H110</f>
        <v>0</v>
      </c>
      <c r="N36" s="87">
        <f>+Mensualizado!I110</f>
        <v>0</v>
      </c>
      <c r="O36" s="87">
        <f>+Mensualizado!J110</f>
        <v>0</v>
      </c>
      <c r="P36" s="87">
        <f>+Mensualizado!K110</f>
        <v>0</v>
      </c>
      <c r="Q36" s="87">
        <f>+Mensualizado!L110</f>
        <v>0</v>
      </c>
      <c r="R36" s="87">
        <f>+Mensualizado!M110</f>
        <v>0</v>
      </c>
      <c r="S36" s="87">
        <f>+Mensualizado!N110</f>
        <v>0</v>
      </c>
      <c r="T36" s="87">
        <f>+Mensualizado!O110</f>
        <v>0</v>
      </c>
    </row>
    <row r="37" spans="1:20" ht="13.5" thickBot="1">
      <c r="A37" s="168">
        <v>61403</v>
      </c>
      <c r="B37" s="169" t="s">
        <v>206</v>
      </c>
      <c r="C37" s="170">
        <v>9240</v>
      </c>
      <c r="D37" s="400"/>
      <c r="E37" s="384">
        <f t="shared" si="7"/>
        <v>2000</v>
      </c>
      <c r="I37" s="87">
        <f>+Mensualizado!D113</f>
        <v>0</v>
      </c>
      <c r="J37" s="87">
        <f>+Mensualizado!E113</f>
        <v>0</v>
      </c>
      <c r="K37" s="87"/>
      <c r="L37" s="87">
        <v>2000</v>
      </c>
      <c r="M37" s="87">
        <f>+Mensualizado!H113</f>
        <v>0</v>
      </c>
      <c r="N37" s="87">
        <f>+Mensualizado!I113</f>
        <v>0</v>
      </c>
      <c r="O37" s="87">
        <f>+Mensualizado!J113</f>
        <v>0</v>
      </c>
      <c r="P37" s="87">
        <f>+Mensualizado!K113</f>
        <v>0</v>
      </c>
      <c r="Q37" s="87">
        <f>+Mensualizado!L113</f>
        <v>0</v>
      </c>
      <c r="R37" s="87">
        <f>+Mensualizado!M113</f>
        <v>0</v>
      </c>
      <c r="S37" s="87">
        <f>+Mensualizado!N113</f>
        <v>0</v>
      </c>
      <c r="T37" s="87">
        <f>+Mensualizado!O113</f>
        <v>0</v>
      </c>
    </row>
    <row r="38" spans="1:20" ht="13.5" thickBot="1">
      <c r="A38" s="389"/>
      <c r="B38" s="390" t="s">
        <v>204</v>
      </c>
      <c r="C38" s="401">
        <f>SUM(C32:C37)</f>
        <v>47890</v>
      </c>
      <c r="D38" s="402"/>
      <c r="E38" s="403">
        <f>SUM(E32:E37)</f>
        <v>14000</v>
      </c>
      <c r="F38" s="406">
        <f>SUM(I38:T38)</f>
        <v>14000</v>
      </c>
      <c r="G38" s="406"/>
      <c r="H38" s="406"/>
      <c r="I38" s="317">
        <f t="shared" ref="I38:T38" si="8">SUM(I32:I37)</f>
        <v>0</v>
      </c>
      <c r="J38" s="317">
        <f t="shared" si="8"/>
        <v>0</v>
      </c>
      <c r="K38" s="317">
        <f t="shared" si="8"/>
        <v>7000</v>
      </c>
      <c r="L38" s="317">
        <f t="shared" si="8"/>
        <v>7000</v>
      </c>
      <c r="M38" s="317">
        <f t="shared" si="8"/>
        <v>0</v>
      </c>
      <c r="N38" s="317">
        <f t="shared" si="8"/>
        <v>0</v>
      </c>
      <c r="O38" s="317">
        <f t="shared" si="8"/>
        <v>0</v>
      </c>
      <c r="P38" s="317">
        <f t="shared" si="8"/>
        <v>0</v>
      </c>
      <c r="Q38" s="317">
        <f t="shared" si="8"/>
        <v>0</v>
      </c>
      <c r="R38" s="317">
        <f t="shared" si="8"/>
        <v>0</v>
      </c>
      <c r="S38" s="317">
        <f t="shared" si="8"/>
        <v>0</v>
      </c>
      <c r="T38" s="317">
        <f t="shared" si="8"/>
        <v>0</v>
      </c>
    </row>
    <row r="39" spans="1:20">
      <c r="B39" s="202"/>
      <c r="C39" s="404"/>
      <c r="D39" s="405"/>
    </row>
    <row r="40" spans="1:20" ht="12.75" customHeight="1">
      <c r="A40" s="209"/>
      <c r="B40" s="210" t="s">
        <v>93</v>
      </c>
      <c r="C40" s="379"/>
      <c r="D40" s="380"/>
      <c r="E40" s="381"/>
    </row>
    <row r="41" spans="1:20" ht="12" customHeight="1">
      <c r="A41" s="205"/>
      <c r="B41" s="201"/>
      <c r="C41" s="407"/>
      <c r="D41" s="408"/>
      <c r="E41" s="384"/>
    </row>
    <row r="42" spans="1:20" ht="12" customHeight="1">
      <c r="A42" s="205">
        <v>55599</v>
      </c>
      <c r="B42" s="201" t="s">
        <v>146</v>
      </c>
      <c r="C42" s="244">
        <v>500</v>
      </c>
      <c r="D42" s="408"/>
      <c r="E42" s="384">
        <f>SUM(I42:T42)</f>
        <v>500</v>
      </c>
      <c r="I42" s="87">
        <f>+Mensualizado!D94</f>
        <v>0</v>
      </c>
      <c r="J42" s="87">
        <f>+Mensualizado!E94</f>
        <v>0</v>
      </c>
      <c r="K42" s="87">
        <f>+Mensualizado!F94</f>
        <v>0</v>
      </c>
      <c r="L42" s="87">
        <f>+Mensualizado!G94</f>
        <v>0</v>
      </c>
      <c r="M42" s="87">
        <f>+Mensualizado!H94</f>
        <v>0</v>
      </c>
      <c r="N42" s="87">
        <f>+Mensualizado!I94</f>
        <v>0</v>
      </c>
      <c r="O42" s="87">
        <f>+Mensualizado!J94</f>
        <v>0</v>
      </c>
      <c r="P42" s="87">
        <f>+Mensualizado!K94</f>
        <v>0</v>
      </c>
      <c r="Q42" s="87">
        <f>+Mensualizado!L94</f>
        <v>0</v>
      </c>
      <c r="R42" s="87"/>
      <c r="S42" s="87">
        <v>500</v>
      </c>
      <c r="T42" s="87">
        <f>+Mensualizado!O94</f>
        <v>0</v>
      </c>
    </row>
    <row r="43" spans="1:20" s="77" customFormat="1" ht="11.25" customHeight="1">
      <c r="A43" s="211">
        <v>55601</v>
      </c>
      <c r="B43" s="212" t="s">
        <v>54</v>
      </c>
      <c r="C43" s="384">
        <v>53750</v>
      </c>
      <c r="D43" s="386"/>
      <c r="E43" s="384">
        <f>SUM(I43:T43)</f>
        <v>52680</v>
      </c>
      <c r="F43" s="197"/>
      <c r="G43" s="197"/>
      <c r="H43" s="197"/>
      <c r="I43" s="87">
        <f>+Mensualizado!D95</f>
        <v>0</v>
      </c>
      <c r="J43" s="87">
        <f>+Mensualizado!E95</f>
        <v>0</v>
      </c>
      <c r="K43" s="87">
        <f>+Mensualizado!F95</f>
        <v>0</v>
      </c>
      <c r="L43" s="87"/>
      <c r="M43" s="87">
        <f>+Mensualizado!H95</f>
        <v>0</v>
      </c>
      <c r="N43" s="87">
        <v>39000</v>
      </c>
      <c r="O43" s="87">
        <v>6000</v>
      </c>
      <c r="P43" s="87">
        <f>+Mensualizado!K95</f>
        <v>0</v>
      </c>
      <c r="Q43" s="87"/>
      <c r="R43" s="87">
        <f>+Mensualizado!M95</f>
        <v>0</v>
      </c>
      <c r="S43" s="87">
        <f>+Mensualizado!N95</f>
        <v>0</v>
      </c>
      <c r="T43" s="87">
        <f>8000-320</f>
        <v>7680</v>
      </c>
    </row>
    <row r="44" spans="1:20" s="77" customFormat="1" ht="11.25" customHeight="1">
      <c r="A44" s="211">
        <v>55602</v>
      </c>
      <c r="B44" s="212" t="s">
        <v>55</v>
      </c>
      <c r="C44" s="384">
        <v>4200</v>
      </c>
      <c r="D44" s="386"/>
      <c r="E44" s="384">
        <f>SUM(I44:T44)</f>
        <v>4200</v>
      </c>
      <c r="F44" s="197"/>
      <c r="G44" s="197"/>
      <c r="H44" s="197"/>
      <c r="I44" s="87">
        <f>+Mensualizado!D96</f>
        <v>0</v>
      </c>
      <c r="J44" s="87">
        <f>+Mensualizado!E96</f>
        <v>0</v>
      </c>
      <c r="K44" s="87">
        <f>+Mensualizado!F96</f>
        <v>0</v>
      </c>
      <c r="L44" s="87">
        <v>500</v>
      </c>
      <c r="M44" s="87">
        <f>+Mensualizado!H96</f>
        <v>0</v>
      </c>
      <c r="N44" s="87">
        <f>+Mensualizado!I96</f>
        <v>0</v>
      </c>
      <c r="O44" s="87">
        <f>+Mensualizado!J96</f>
        <v>0</v>
      </c>
      <c r="P44" s="87">
        <f>+Mensualizado!K96</f>
        <v>0</v>
      </c>
      <c r="Q44" s="87">
        <v>2500</v>
      </c>
      <c r="R44" s="87">
        <f>+Mensualizado!M96</f>
        <v>0</v>
      </c>
      <c r="S44" s="87">
        <v>1000</v>
      </c>
      <c r="T44" s="87">
        <v>200</v>
      </c>
    </row>
    <row r="45" spans="1:20" s="77" customFormat="1" ht="13.5" thickBot="1">
      <c r="A45" s="214">
        <v>55603</v>
      </c>
      <c r="B45" s="215" t="s">
        <v>200</v>
      </c>
      <c r="C45" s="384">
        <v>150</v>
      </c>
      <c r="D45" s="400"/>
      <c r="E45" s="384">
        <f>SUM(I45:T45)</f>
        <v>150</v>
      </c>
      <c r="F45" s="197"/>
      <c r="G45" s="197"/>
      <c r="H45" s="197"/>
      <c r="I45" s="87">
        <f>+Mensualizado!D97</f>
        <v>0</v>
      </c>
      <c r="J45" s="87">
        <f>+Mensualizado!E97</f>
        <v>0</v>
      </c>
      <c r="K45" s="87">
        <f>+Mensualizado!F97</f>
        <v>0</v>
      </c>
      <c r="L45" s="87">
        <f>+Mensualizado!G97</f>
        <v>25</v>
      </c>
      <c r="M45" s="87">
        <f>+Mensualizado!H97</f>
        <v>0</v>
      </c>
      <c r="N45" s="87">
        <f>+Mensualizado!I97</f>
        <v>50</v>
      </c>
      <c r="O45" s="87">
        <f>+Mensualizado!J97</f>
        <v>0</v>
      </c>
      <c r="P45" s="87">
        <f>+Mensualizado!K97</f>
        <v>0</v>
      </c>
      <c r="Q45" s="87"/>
      <c r="R45" s="87">
        <f>+Mensualizado!M97</f>
        <v>0</v>
      </c>
      <c r="S45" s="87">
        <f>+Mensualizado!N97</f>
        <v>25</v>
      </c>
      <c r="T45" s="87">
        <f>+Mensualizado!O97</f>
        <v>50</v>
      </c>
    </row>
    <row r="46" spans="1:20" s="77" customFormat="1">
      <c r="A46" s="409"/>
      <c r="B46" s="390" t="s">
        <v>204</v>
      </c>
      <c r="C46" s="410">
        <f>SUM(C42:C45)</f>
        <v>58600</v>
      </c>
      <c r="D46" s="411"/>
      <c r="E46" s="412">
        <f>SUM(E42:E45)</f>
        <v>57530</v>
      </c>
      <c r="F46" s="406">
        <f>SUM(I46:T46)</f>
        <v>57530</v>
      </c>
      <c r="G46" s="406"/>
      <c r="H46" s="406"/>
      <c r="I46" s="317">
        <f t="shared" ref="I46:T46" si="9">SUM(I42:I45)</f>
        <v>0</v>
      </c>
      <c r="J46" s="317">
        <f t="shared" si="9"/>
        <v>0</v>
      </c>
      <c r="K46" s="317">
        <f t="shared" si="9"/>
        <v>0</v>
      </c>
      <c r="L46" s="317">
        <f t="shared" si="9"/>
        <v>525</v>
      </c>
      <c r="M46" s="317">
        <f t="shared" si="9"/>
        <v>0</v>
      </c>
      <c r="N46" s="317">
        <f t="shared" si="9"/>
        <v>39050</v>
      </c>
      <c r="O46" s="317">
        <f t="shared" si="9"/>
        <v>6000</v>
      </c>
      <c r="P46" s="317">
        <f t="shared" si="9"/>
        <v>0</v>
      </c>
      <c r="Q46" s="317">
        <f t="shared" si="9"/>
        <v>2500</v>
      </c>
      <c r="R46" s="317">
        <f t="shared" si="9"/>
        <v>0</v>
      </c>
      <c r="S46" s="317">
        <f t="shared" si="9"/>
        <v>1525</v>
      </c>
      <c r="T46" s="317">
        <f t="shared" si="9"/>
        <v>7930</v>
      </c>
    </row>
    <row r="47" spans="1:20">
      <c r="B47" s="206"/>
      <c r="C47" s="413"/>
      <c r="D47" s="405"/>
      <c r="E47" s="378"/>
    </row>
    <row r="48" spans="1:20">
      <c r="A48" s="216"/>
      <c r="B48" s="210" t="s">
        <v>75</v>
      </c>
      <c r="C48" s="379"/>
      <c r="D48" s="380"/>
      <c r="E48" s="381"/>
    </row>
    <row r="49" spans="1:20">
      <c r="A49" s="205"/>
      <c r="B49" s="201"/>
      <c r="C49" s="382"/>
      <c r="D49" s="397"/>
      <c r="E49" s="384"/>
    </row>
    <row r="50" spans="1:20">
      <c r="A50" s="211">
        <v>54105</v>
      </c>
      <c r="B50" s="212" t="s">
        <v>213</v>
      </c>
      <c r="C50" s="384">
        <v>2000</v>
      </c>
      <c r="D50" s="386"/>
      <c r="E50" s="477">
        <f t="shared" ref="E50:E56" si="10">SUM(I50:T50)</f>
        <v>4500</v>
      </c>
      <c r="I50" s="87">
        <f>+Mensualizado!D24</f>
        <v>0</v>
      </c>
      <c r="J50" s="87">
        <v>560</v>
      </c>
      <c r="K50" s="87">
        <v>10</v>
      </c>
      <c r="L50" s="87">
        <v>2280</v>
      </c>
      <c r="M50" s="87">
        <f>+Mensualizado!H24</f>
        <v>0</v>
      </c>
      <c r="N50" s="87">
        <v>1040</v>
      </c>
      <c r="O50" s="87">
        <v>20</v>
      </c>
      <c r="P50" s="87">
        <v>60</v>
      </c>
      <c r="Q50" s="87">
        <v>65</v>
      </c>
      <c r="R50" s="87">
        <v>360</v>
      </c>
      <c r="S50" s="87">
        <v>80</v>
      </c>
      <c r="T50" s="87">
        <v>25</v>
      </c>
    </row>
    <row r="51" spans="1:20">
      <c r="A51" s="211">
        <v>54114</v>
      </c>
      <c r="B51" s="212" t="s">
        <v>201</v>
      </c>
      <c r="C51" s="384">
        <v>2500</v>
      </c>
      <c r="D51" s="386"/>
      <c r="E51" s="477">
        <f t="shared" si="10"/>
        <v>2600</v>
      </c>
      <c r="I51" s="87">
        <f>+Mensualizado!D25</f>
        <v>0</v>
      </c>
      <c r="J51" s="87">
        <f>+Mensualizado!E25</f>
        <v>0</v>
      </c>
      <c r="K51" s="87">
        <f>+Mensualizado!F25</f>
        <v>0</v>
      </c>
      <c r="L51" s="87">
        <v>650</v>
      </c>
      <c r="M51" s="87">
        <f>+Mensualizado!H25</f>
        <v>0</v>
      </c>
      <c r="N51" s="87">
        <v>700</v>
      </c>
      <c r="O51" s="87">
        <v>550</v>
      </c>
      <c r="P51" s="87">
        <f>+Mensualizado!K25</f>
        <v>0</v>
      </c>
      <c r="Q51" s="87">
        <v>450</v>
      </c>
      <c r="R51" s="87"/>
      <c r="S51" s="87">
        <f>+Mensualizado!N25</f>
        <v>0</v>
      </c>
      <c r="T51" s="87">
        <v>250</v>
      </c>
    </row>
    <row r="52" spans="1:20">
      <c r="A52" s="211">
        <v>54116</v>
      </c>
      <c r="B52" s="201" t="s">
        <v>248</v>
      </c>
      <c r="C52" s="384">
        <v>17564.490000000002</v>
      </c>
      <c r="D52" s="386"/>
      <c r="E52" s="477">
        <f t="shared" si="10"/>
        <v>17700</v>
      </c>
      <c r="I52" s="87">
        <f>+Mensualizado!D26</f>
        <v>0</v>
      </c>
      <c r="J52" s="87">
        <f>+Mensualizado!E26</f>
        <v>0</v>
      </c>
      <c r="K52" s="87">
        <f>+Mensualizado!F26</f>
        <v>0</v>
      </c>
      <c r="L52" s="87">
        <v>7700</v>
      </c>
      <c r="M52" s="87">
        <f>+Mensualizado!H26</f>
        <v>0</v>
      </c>
      <c r="N52" s="87">
        <v>2500</v>
      </c>
      <c r="O52" s="87">
        <v>150</v>
      </c>
      <c r="P52" s="87"/>
      <c r="Q52" s="87">
        <v>200</v>
      </c>
      <c r="R52" s="87">
        <v>200</v>
      </c>
      <c r="S52" s="87">
        <v>170</v>
      </c>
      <c r="T52" s="87">
        <v>6780</v>
      </c>
    </row>
    <row r="53" spans="1:20">
      <c r="A53" s="205">
        <v>54305</v>
      </c>
      <c r="B53" s="201" t="s">
        <v>47</v>
      </c>
      <c r="C53" s="384">
        <v>9350</v>
      </c>
      <c r="D53" s="414"/>
      <c r="E53" s="479">
        <f t="shared" si="10"/>
        <v>11000</v>
      </c>
      <c r="I53" s="87">
        <f>+Mensualizado!D27</f>
        <v>0</v>
      </c>
      <c r="J53" s="87"/>
      <c r="K53" s="87"/>
      <c r="L53" s="87"/>
      <c r="M53" s="87"/>
      <c r="N53" s="87"/>
      <c r="O53" s="87">
        <v>5000</v>
      </c>
      <c r="P53" s="87">
        <f>+Mensualizado!K27</f>
        <v>0</v>
      </c>
      <c r="Q53" s="87">
        <v>1700</v>
      </c>
      <c r="R53" s="87">
        <v>2500</v>
      </c>
      <c r="S53" s="87">
        <v>200</v>
      </c>
      <c r="T53" s="87">
        <v>1600</v>
      </c>
    </row>
    <row r="54" spans="1:20">
      <c r="A54" s="205">
        <v>54313</v>
      </c>
      <c r="B54" s="201" t="s">
        <v>46</v>
      </c>
      <c r="C54" s="384">
        <v>53500</v>
      </c>
      <c r="D54" s="414"/>
      <c r="E54" s="479">
        <f t="shared" si="10"/>
        <v>48000</v>
      </c>
      <c r="I54" s="87">
        <v>1000</v>
      </c>
      <c r="J54" s="87">
        <v>5000</v>
      </c>
      <c r="K54" s="87">
        <v>3000</v>
      </c>
      <c r="L54" s="87">
        <v>14500</v>
      </c>
      <c r="M54" s="87"/>
      <c r="N54" s="87">
        <v>10000</v>
      </c>
      <c r="O54" s="87">
        <v>9000</v>
      </c>
      <c r="P54" s="87">
        <f>+Mensualizado!K28</f>
        <v>0</v>
      </c>
      <c r="Q54" s="87">
        <v>1500</v>
      </c>
      <c r="R54" s="87">
        <f>+Mensualizado!M28</f>
        <v>0</v>
      </c>
      <c r="S54" s="87">
        <f>+Mensualizado!N28</f>
        <v>1000</v>
      </c>
      <c r="T54" s="87">
        <v>3000</v>
      </c>
    </row>
    <row r="55" spans="1:20">
      <c r="A55" s="211">
        <v>54314</v>
      </c>
      <c r="B55" s="212" t="s">
        <v>89</v>
      </c>
      <c r="C55" s="384">
        <v>200</v>
      </c>
      <c r="D55" s="386"/>
      <c r="E55" s="479">
        <f t="shared" si="10"/>
        <v>200</v>
      </c>
      <c r="I55" s="87"/>
      <c r="J55" s="87"/>
      <c r="K55" s="87">
        <v>50</v>
      </c>
      <c r="L55" s="87"/>
      <c r="M55" s="87">
        <f>+Mensualizado!H29</f>
        <v>0</v>
      </c>
      <c r="N55" s="87">
        <v>50</v>
      </c>
      <c r="O55" s="87"/>
      <c r="P55" s="87">
        <v>50</v>
      </c>
      <c r="Q55" s="87"/>
      <c r="R55" s="87"/>
      <c r="S55" s="87">
        <v>50</v>
      </c>
      <c r="T55" s="87"/>
    </row>
    <row r="56" spans="1:20" ht="13.5" thickBot="1">
      <c r="A56" s="211">
        <v>54399</v>
      </c>
      <c r="B56" s="212" t="s">
        <v>208</v>
      </c>
      <c r="C56" s="384">
        <v>10600</v>
      </c>
      <c r="D56" s="386"/>
      <c r="E56" s="479">
        <f t="shared" si="10"/>
        <v>6000</v>
      </c>
      <c r="I56" s="87">
        <f>+Mensualizado!D30</f>
        <v>0</v>
      </c>
      <c r="J56" s="87">
        <f>+Mensualizado!E30</f>
        <v>0</v>
      </c>
      <c r="K56" s="87">
        <v>2000</v>
      </c>
      <c r="L56" s="87">
        <f>+Mensualizado!G30</f>
        <v>0</v>
      </c>
      <c r="M56" s="87">
        <f>+Mensualizado!H30</f>
        <v>0</v>
      </c>
      <c r="N56" s="87">
        <v>2000</v>
      </c>
      <c r="O56" s="87">
        <f>+Mensualizado!J30</f>
        <v>0</v>
      </c>
      <c r="P56" s="87">
        <f>+Mensualizado!K30</f>
        <v>0</v>
      </c>
      <c r="Q56" s="87">
        <v>2000</v>
      </c>
      <c r="R56" s="87">
        <f>+Mensualizado!M30</f>
        <v>0</v>
      </c>
      <c r="S56" s="87">
        <f>+Mensualizado!N30</f>
        <v>0</v>
      </c>
      <c r="T56" s="87">
        <f>+Mensualizado!O30</f>
        <v>0</v>
      </c>
    </row>
    <row r="57" spans="1:20">
      <c r="A57" s="389"/>
      <c r="B57" s="390" t="s">
        <v>204</v>
      </c>
      <c r="C57" s="410">
        <f>SUM(C50:C56)</f>
        <v>95714.49</v>
      </c>
      <c r="D57" s="402"/>
      <c r="E57" s="412">
        <f>SUM(E50:E56)</f>
        <v>90000</v>
      </c>
      <c r="F57" s="406">
        <f>SUM(I57:T57)</f>
        <v>90000</v>
      </c>
      <c r="G57" s="406"/>
      <c r="H57" s="406"/>
      <c r="I57" s="317">
        <f t="shared" ref="I57:T57" si="11">SUM(I50:I56)</f>
        <v>1000</v>
      </c>
      <c r="J57" s="317">
        <f t="shared" si="11"/>
        <v>5560</v>
      </c>
      <c r="K57" s="317">
        <f t="shared" si="11"/>
        <v>5060</v>
      </c>
      <c r="L57" s="317">
        <f t="shared" si="11"/>
        <v>25130</v>
      </c>
      <c r="M57" s="317">
        <f t="shared" si="11"/>
        <v>0</v>
      </c>
      <c r="N57" s="317">
        <f t="shared" si="11"/>
        <v>16290</v>
      </c>
      <c r="O57" s="317">
        <f t="shared" si="11"/>
        <v>14720</v>
      </c>
      <c r="P57" s="317">
        <f t="shared" si="11"/>
        <v>110</v>
      </c>
      <c r="Q57" s="317">
        <f t="shared" si="11"/>
        <v>5915</v>
      </c>
      <c r="R57" s="317">
        <f t="shared" si="11"/>
        <v>3060</v>
      </c>
      <c r="S57" s="317">
        <f t="shared" si="11"/>
        <v>1500</v>
      </c>
      <c r="T57" s="317">
        <f t="shared" si="11"/>
        <v>11655</v>
      </c>
    </row>
    <row r="58" spans="1:20">
      <c r="A58" s="199"/>
      <c r="B58" s="206"/>
      <c r="C58" s="387"/>
      <c r="D58" s="416"/>
      <c r="E58" s="396"/>
    </row>
    <row r="59" spans="1:20">
      <c r="A59" s="216"/>
      <c r="B59" s="210" t="s">
        <v>67</v>
      </c>
      <c r="C59" s="379"/>
      <c r="D59" s="380"/>
      <c r="E59" s="381"/>
    </row>
    <row r="60" spans="1:20">
      <c r="A60" s="205"/>
      <c r="B60" s="201"/>
      <c r="C60" s="382"/>
      <c r="D60" s="208"/>
      <c r="E60" s="384"/>
    </row>
    <row r="61" spans="1:20">
      <c r="A61" s="217">
        <v>54402</v>
      </c>
      <c r="B61" s="201" t="s">
        <v>61</v>
      </c>
      <c r="C61" s="384">
        <v>34000</v>
      </c>
      <c r="D61" s="414"/>
      <c r="E61" s="384">
        <f>SUM(I61:T61)</f>
        <v>26345</v>
      </c>
      <c r="I61" s="87"/>
      <c r="J61" s="87">
        <v>4300</v>
      </c>
      <c r="K61" s="87">
        <v>9000</v>
      </c>
      <c r="L61" s="87">
        <f>+Mensualizado!G33</f>
        <v>0</v>
      </c>
      <c r="M61" s="87">
        <f>+Mensualizado!H33</f>
        <v>0</v>
      </c>
      <c r="N61" s="87">
        <v>9000</v>
      </c>
      <c r="O61" s="87">
        <f>+Mensualizado!J33</f>
        <v>0</v>
      </c>
      <c r="P61" s="87">
        <f>+Mensualizado!K33</f>
        <v>0</v>
      </c>
      <c r="Q61" s="87"/>
      <c r="R61" s="87">
        <v>545</v>
      </c>
      <c r="S61" s="87">
        <v>3500</v>
      </c>
      <c r="T61" s="87">
        <f>+Mensualizado!O33</f>
        <v>0</v>
      </c>
    </row>
    <row r="62" spans="1:20">
      <c r="A62" s="217">
        <v>54404</v>
      </c>
      <c r="B62" s="201" t="s">
        <v>62</v>
      </c>
      <c r="C62" s="384">
        <v>25000</v>
      </c>
      <c r="D62" s="414"/>
      <c r="E62" s="384">
        <f>SUM(I62:T62)</f>
        <v>17775</v>
      </c>
      <c r="I62" s="87"/>
      <c r="J62" s="87">
        <v>1635</v>
      </c>
      <c r="K62" s="87">
        <f>+Mensualizado!F34</f>
        <v>8575</v>
      </c>
      <c r="L62" s="87">
        <f>+Mensualizado!G34</f>
        <v>0</v>
      </c>
      <c r="M62" s="87"/>
      <c r="N62" s="87"/>
      <c r="O62" s="87">
        <f>+Mensualizado!J34</f>
        <v>945</v>
      </c>
      <c r="P62" s="87">
        <f>+Mensualizado!K34</f>
        <v>1095</v>
      </c>
      <c r="Q62" s="87"/>
      <c r="R62" s="87">
        <f>+Mensualizado!M34</f>
        <v>1270</v>
      </c>
      <c r="S62" s="87">
        <f>+Mensualizado!N34</f>
        <v>4255</v>
      </c>
      <c r="T62" s="87"/>
    </row>
    <row r="63" spans="1:20" ht="13.5" thickBot="1">
      <c r="A63" s="417"/>
      <c r="B63" s="169"/>
      <c r="C63" s="244"/>
      <c r="D63" s="418"/>
      <c r="E63" s="384"/>
    </row>
    <row r="64" spans="1:20">
      <c r="A64" s="419"/>
      <c r="B64" s="390" t="s">
        <v>204</v>
      </c>
      <c r="C64" s="410">
        <f>SUM(C61:C63)</f>
        <v>59000</v>
      </c>
      <c r="D64" s="402"/>
      <c r="E64" s="412">
        <f>SUM(E61:E63)</f>
        <v>44120</v>
      </c>
      <c r="F64" s="406">
        <f>SUM(I64:T64)</f>
        <v>44120</v>
      </c>
      <c r="G64" s="406"/>
      <c r="H64" s="406"/>
      <c r="I64" s="317">
        <f t="shared" ref="I64:T64" si="12">SUM(I61:I63)</f>
        <v>0</v>
      </c>
      <c r="J64" s="317">
        <f t="shared" si="12"/>
        <v>5935</v>
      </c>
      <c r="K64" s="317">
        <f t="shared" si="12"/>
        <v>17575</v>
      </c>
      <c r="L64" s="317">
        <f t="shared" si="12"/>
        <v>0</v>
      </c>
      <c r="M64" s="317">
        <f t="shared" si="12"/>
        <v>0</v>
      </c>
      <c r="N64" s="317">
        <f t="shared" si="12"/>
        <v>9000</v>
      </c>
      <c r="O64" s="317">
        <f t="shared" si="12"/>
        <v>945</v>
      </c>
      <c r="P64" s="317">
        <f t="shared" si="12"/>
        <v>1095</v>
      </c>
      <c r="Q64" s="317">
        <f t="shared" si="12"/>
        <v>0</v>
      </c>
      <c r="R64" s="317">
        <f t="shared" si="12"/>
        <v>1815</v>
      </c>
      <c r="S64" s="317">
        <f t="shared" si="12"/>
        <v>7755</v>
      </c>
      <c r="T64" s="317">
        <f t="shared" si="12"/>
        <v>0</v>
      </c>
    </row>
    <row r="65" spans="1:20">
      <c r="B65" s="202"/>
      <c r="C65" s="404"/>
      <c r="D65" s="405"/>
      <c r="E65" s="378"/>
    </row>
    <row r="66" spans="1:20">
      <c r="A66" s="216"/>
      <c r="B66" s="210" t="s">
        <v>68</v>
      </c>
      <c r="C66" s="379"/>
      <c r="D66" s="380"/>
      <c r="E66" s="381"/>
    </row>
    <row r="67" spans="1:20">
      <c r="A67" s="205"/>
      <c r="B67" s="201"/>
      <c r="C67" s="382"/>
      <c r="D67" s="397"/>
      <c r="E67" s="384"/>
    </row>
    <row r="68" spans="1:20">
      <c r="A68" s="205">
        <v>54116</v>
      </c>
      <c r="B68" s="201" t="s">
        <v>87</v>
      </c>
      <c r="C68" s="244">
        <v>1000</v>
      </c>
      <c r="D68" s="386"/>
      <c r="E68" s="477">
        <f>SUM(I68:T68)</f>
        <v>1000</v>
      </c>
      <c r="I68" s="87">
        <f>+Mensualizado!D36</f>
        <v>0</v>
      </c>
      <c r="J68" s="87">
        <f>+Mensualizado!E36</f>
        <v>180</v>
      </c>
      <c r="K68" s="87">
        <f>+Mensualizado!F36</f>
        <v>40</v>
      </c>
      <c r="L68" s="87">
        <f>+Mensualizado!G36</f>
        <v>168</v>
      </c>
      <c r="M68" s="87">
        <f>+Mensualizado!H36</f>
        <v>0</v>
      </c>
      <c r="N68" s="87">
        <f>+Mensualizado!I36</f>
        <v>0</v>
      </c>
      <c r="O68" s="87">
        <f>+Mensualizado!J36</f>
        <v>20.58</v>
      </c>
      <c r="P68" s="87">
        <f>+Mensualizado!K36</f>
        <v>60</v>
      </c>
      <c r="Q68" s="87">
        <f>+Mensualizado!L36</f>
        <v>133.5</v>
      </c>
      <c r="R68" s="87">
        <f>+Mensualizado!M36</f>
        <v>0</v>
      </c>
      <c r="S68" s="87">
        <f>+Mensualizado!N36</f>
        <v>17.5</v>
      </c>
      <c r="T68" s="87">
        <f>+Mensualizado!O36</f>
        <v>380.42</v>
      </c>
    </row>
    <row r="69" spans="1:20" ht="13.5" thickBot="1">
      <c r="A69" s="417">
        <v>61107</v>
      </c>
      <c r="B69" s="415" t="s">
        <v>205</v>
      </c>
      <c r="C69" s="244"/>
      <c r="D69" s="400"/>
      <c r="E69" s="384"/>
    </row>
    <row r="70" spans="1:20">
      <c r="A70" s="419"/>
      <c r="B70" s="390" t="s">
        <v>204</v>
      </c>
      <c r="C70" s="410">
        <f>SUM(C68:C69)</f>
        <v>1000</v>
      </c>
      <c r="D70" s="402"/>
      <c r="E70" s="412">
        <f>SUM(E68:E69)</f>
        <v>1000</v>
      </c>
      <c r="F70" s="406">
        <f>SUM(I70:T70)</f>
        <v>1000</v>
      </c>
      <c r="G70" s="406"/>
      <c r="H70" s="406"/>
      <c r="I70" s="317">
        <f t="shared" ref="I70:T70" si="13">SUM(I68:I69)</f>
        <v>0</v>
      </c>
      <c r="J70" s="317">
        <f t="shared" si="13"/>
        <v>180</v>
      </c>
      <c r="K70" s="317">
        <f t="shared" si="13"/>
        <v>40</v>
      </c>
      <c r="L70" s="317">
        <f t="shared" si="13"/>
        <v>168</v>
      </c>
      <c r="M70" s="317">
        <f t="shared" si="13"/>
        <v>0</v>
      </c>
      <c r="N70" s="317">
        <f t="shared" si="13"/>
        <v>0</v>
      </c>
      <c r="O70" s="317">
        <f t="shared" si="13"/>
        <v>20.58</v>
      </c>
      <c r="P70" s="317">
        <f t="shared" si="13"/>
        <v>60</v>
      </c>
      <c r="Q70" s="317">
        <f t="shared" si="13"/>
        <v>133.5</v>
      </c>
      <c r="R70" s="317">
        <f t="shared" si="13"/>
        <v>0</v>
      </c>
      <c r="S70" s="317">
        <f t="shared" si="13"/>
        <v>17.5</v>
      </c>
      <c r="T70" s="317">
        <f t="shared" si="13"/>
        <v>380.42</v>
      </c>
    </row>
    <row r="71" spans="1:20">
      <c r="B71" s="202"/>
      <c r="C71" s="404"/>
      <c r="D71" s="405"/>
      <c r="E71" s="378"/>
    </row>
    <row r="72" spans="1:20">
      <c r="A72" s="216"/>
      <c r="B72" s="210" t="s">
        <v>69</v>
      </c>
      <c r="C72" s="379"/>
      <c r="D72" s="420"/>
      <c r="E72" s="381"/>
    </row>
    <row r="73" spans="1:20" ht="12.75" customHeight="1" thickBot="1">
      <c r="A73" s="421">
        <v>54599</v>
      </c>
      <c r="B73" s="169" t="s">
        <v>82</v>
      </c>
      <c r="C73" s="382">
        <v>240977</v>
      </c>
      <c r="D73" s="388"/>
      <c r="E73" s="480">
        <f>SUM(I73:T73)</f>
        <v>145685</v>
      </c>
      <c r="I73" s="87">
        <v>75484</v>
      </c>
      <c r="J73" s="87"/>
      <c r="K73" s="87"/>
      <c r="L73" s="87"/>
      <c r="M73" s="87">
        <v>25000</v>
      </c>
      <c r="N73" s="87"/>
      <c r="O73" s="87"/>
      <c r="P73" s="87">
        <v>25000</v>
      </c>
      <c r="Q73" s="87"/>
      <c r="R73" s="87">
        <f>25000-4799</f>
        <v>20201</v>
      </c>
      <c r="S73" s="87"/>
      <c r="T73" s="87"/>
    </row>
    <row r="74" spans="1:20" ht="12.75" customHeight="1">
      <c r="A74" s="422"/>
      <c r="B74" s="390" t="s">
        <v>204</v>
      </c>
      <c r="C74" s="410">
        <f>SUM(C73)</f>
        <v>240977</v>
      </c>
      <c r="D74" s="402"/>
      <c r="E74" s="412">
        <f>SUM(E73)</f>
        <v>145685</v>
      </c>
      <c r="F74" s="406">
        <f>SUM(I74:T74)</f>
        <v>145685</v>
      </c>
      <c r="G74" s="406"/>
      <c r="H74" s="406"/>
      <c r="I74" s="317">
        <f t="shared" ref="I74:T74" si="14">SUM(I73)</f>
        <v>75484</v>
      </c>
      <c r="J74" s="317">
        <f t="shared" si="14"/>
        <v>0</v>
      </c>
      <c r="K74" s="317">
        <f t="shared" si="14"/>
        <v>0</v>
      </c>
      <c r="L74" s="317">
        <f t="shared" si="14"/>
        <v>0</v>
      </c>
      <c r="M74" s="317">
        <f t="shared" si="14"/>
        <v>25000</v>
      </c>
      <c r="N74" s="317">
        <f t="shared" si="14"/>
        <v>0</v>
      </c>
      <c r="O74" s="317">
        <f t="shared" si="14"/>
        <v>0</v>
      </c>
      <c r="P74" s="317">
        <f t="shared" si="14"/>
        <v>25000</v>
      </c>
      <c r="Q74" s="317">
        <f t="shared" si="14"/>
        <v>0</v>
      </c>
      <c r="R74" s="317">
        <f t="shared" si="14"/>
        <v>20201</v>
      </c>
      <c r="S74" s="317">
        <f t="shared" si="14"/>
        <v>0</v>
      </c>
      <c r="T74" s="317">
        <f t="shared" si="14"/>
        <v>0</v>
      </c>
    </row>
    <row r="75" spans="1:20" ht="12.75" customHeight="1">
      <c r="A75" s="218"/>
      <c r="B75" s="206"/>
      <c r="C75" s="413"/>
      <c r="D75" s="395"/>
      <c r="E75" s="396"/>
    </row>
    <row r="76" spans="1:20">
      <c r="A76" s="216"/>
      <c r="B76" s="210" t="s">
        <v>85</v>
      </c>
      <c r="C76" s="379"/>
      <c r="D76" s="380"/>
      <c r="E76" s="381"/>
    </row>
    <row r="77" spans="1:20">
      <c r="A77" s="205"/>
      <c r="B77" s="201"/>
      <c r="C77" s="382"/>
      <c r="D77" s="397"/>
      <c r="E77" s="384"/>
    </row>
    <row r="78" spans="1:20">
      <c r="A78" s="211">
        <v>54101</v>
      </c>
      <c r="B78" s="212" t="s">
        <v>53</v>
      </c>
      <c r="C78" s="423">
        <f>3620-730.3</f>
        <v>2889.7</v>
      </c>
      <c r="D78" s="386"/>
      <c r="E78" s="477">
        <f t="shared" ref="E78:E106" si="15">SUM(I78:T78)</f>
        <v>1350</v>
      </c>
      <c r="F78" s="424"/>
      <c r="G78" s="424"/>
      <c r="H78" s="424"/>
      <c r="I78" s="464">
        <v>1000</v>
      </c>
      <c r="J78" s="87">
        <v>60</v>
      </c>
      <c r="K78" s="87">
        <v>85</v>
      </c>
      <c r="L78" s="87">
        <f>+Mensualizado!G40</f>
        <v>0</v>
      </c>
      <c r="M78" s="87">
        <v>5</v>
      </c>
      <c r="N78" s="87">
        <v>75</v>
      </c>
      <c r="O78" s="87">
        <v>45</v>
      </c>
      <c r="P78" s="87">
        <f>+Mensualizado!K40</f>
        <v>0</v>
      </c>
      <c r="Q78" s="87">
        <f>+Mensualizado!L40</f>
        <v>0</v>
      </c>
      <c r="R78" s="87">
        <f>+Mensualizado!M40</f>
        <v>0</v>
      </c>
      <c r="S78" s="87">
        <v>80</v>
      </c>
      <c r="T78" s="87">
        <f>+Mensualizado!O40</f>
        <v>0</v>
      </c>
    </row>
    <row r="79" spans="1:20">
      <c r="A79" s="211">
        <v>54103</v>
      </c>
      <c r="B79" s="212" t="s">
        <v>74</v>
      </c>
      <c r="C79" s="423"/>
      <c r="D79" s="386"/>
      <c r="E79" s="477">
        <f t="shared" si="15"/>
        <v>280</v>
      </c>
      <c r="F79" s="424"/>
      <c r="G79" s="424"/>
      <c r="H79" s="424"/>
      <c r="I79" s="87">
        <f>+Mensualizado!D41</f>
        <v>0</v>
      </c>
      <c r="J79" s="87">
        <f>+Mensualizado!E41</f>
        <v>0</v>
      </c>
      <c r="K79" s="87">
        <f>+Mensualizado!F41</f>
        <v>0</v>
      </c>
      <c r="L79" s="87">
        <f>+Mensualizado!G41</f>
        <v>0</v>
      </c>
      <c r="M79" s="87">
        <v>10</v>
      </c>
      <c r="N79" s="87">
        <f>+Mensualizado!I41</f>
        <v>0</v>
      </c>
      <c r="O79" s="87">
        <f>+Mensualizado!J41</f>
        <v>0</v>
      </c>
      <c r="P79" s="87">
        <f>+Mensualizado!K41</f>
        <v>120</v>
      </c>
      <c r="Q79" s="87">
        <f>+Mensualizado!L41</f>
        <v>0</v>
      </c>
      <c r="R79" s="87">
        <f>+Mensualizado!M41</f>
        <v>0</v>
      </c>
      <c r="S79" s="87">
        <f>+Mensualizado!N41</f>
        <v>150</v>
      </c>
      <c r="T79" s="87">
        <f>+Mensualizado!O41</f>
        <v>0</v>
      </c>
    </row>
    <row r="80" spans="1:20">
      <c r="A80" s="211">
        <v>54104</v>
      </c>
      <c r="B80" s="212" t="s">
        <v>210</v>
      </c>
      <c r="C80" s="423">
        <f>480+1934.75</f>
        <v>2414.75</v>
      </c>
      <c r="D80" s="386"/>
      <c r="E80" s="477">
        <f t="shared" si="15"/>
        <v>1900</v>
      </c>
      <c r="F80" s="424"/>
      <c r="G80" s="424"/>
      <c r="H80" s="424"/>
      <c r="I80" s="464">
        <v>845</v>
      </c>
      <c r="J80" s="87">
        <v>145</v>
      </c>
      <c r="K80" s="87">
        <f>+Mensualizado!F42</f>
        <v>0</v>
      </c>
      <c r="L80" s="87">
        <v>170</v>
      </c>
      <c r="M80" s="87">
        <f>+Mensualizado!H42</f>
        <v>0</v>
      </c>
      <c r="N80" s="87">
        <v>405</v>
      </c>
      <c r="O80" s="87">
        <v>60</v>
      </c>
      <c r="P80" s="87">
        <f>+Mensualizado!K42</f>
        <v>0</v>
      </c>
      <c r="Q80" s="87">
        <f>+Mensualizado!L42</f>
        <v>10</v>
      </c>
      <c r="R80" s="87">
        <v>25</v>
      </c>
      <c r="S80" s="87">
        <v>25</v>
      </c>
      <c r="T80" s="87">
        <v>215</v>
      </c>
    </row>
    <row r="81" spans="1:20">
      <c r="A81" s="211">
        <v>54105</v>
      </c>
      <c r="B81" s="212" t="s">
        <v>211</v>
      </c>
      <c r="C81" s="423">
        <f>2660+1285.6</f>
        <v>3945.6</v>
      </c>
      <c r="D81" s="386"/>
      <c r="E81" s="477">
        <f t="shared" si="15"/>
        <v>0</v>
      </c>
      <c r="F81" s="424"/>
      <c r="G81" s="424"/>
      <c r="H81" s="424"/>
    </row>
    <row r="82" spans="1:20" s="79" customFormat="1">
      <c r="A82" s="219">
        <v>54106</v>
      </c>
      <c r="B82" s="220" t="s">
        <v>73</v>
      </c>
      <c r="C82" s="406">
        <f>15+2135.92</f>
        <v>2150.92</v>
      </c>
      <c r="D82" s="386"/>
      <c r="E82" s="477">
        <f t="shared" si="15"/>
        <v>1465</v>
      </c>
      <c r="F82" s="425"/>
      <c r="G82" s="475"/>
      <c r="H82" s="475"/>
      <c r="I82" s="87">
        <f>+Mensualizado!D43</f>
        <v>0</v>
      </c>
      <c r="J82" s="87">
        <f>+Mensualizado!E43</f>
        <v>500</v>
      </c>
      <c r="K82" s="87">
        <f>+Mensualizado!F43</f>
        <v>0</v>
      </c>
      <c r="L82" s="87">
        <f>+Mensualizado!G43</f>
        <v>0</v>
      </c>
      <c r="M82" s="87">
        <f>+Mensualizado!H43</f>
        <v>150</v>
      </c>
      <c r="N82" s="87">
        <f>+Mensualizado!I43</f>
        <v>0</v>
      </c>
      <c r="O82" s="87">
        <f>+Mensualizado!J43</f>
        <v>0</v>
      </c>
      <c r="P82" s="87">
        <f>+Mensualizado!K43</f>
        <v>0</v>
      </c>
      <c r="Q82" s="87">
        <v>795</v>
      </c>
      <c r="R82" s="87">
        <f>+Mensualizado!M43</f>
        <v>0</v>
      </c>
      <c r="S82" s="87">
        <v>20</v>
      </c>
      <c r="T82" s="87">
        <f>+Mensualizado!O43</f>
        <v>0</v>
      </c>
    </row>
    <row r="83" spans="1:20" s="79" customFormat="1">
      <c r="A83" s="219">
        <v>54107</v>
      </c>
      <c r="B83" s="220" t="s">
        <v>72</v>
      </c>
      <c r="C83" s="423">
        <f>615+445.04</f>
        <v>1060.04</v>
      </c>
      <c r="D83" s="386"/>
      <c r="E83" s="477">
        <f t="shared" si="15"/>
        <v>700</v>
      </c>
      <c r="F83" s="424"/>
      <c r="G83" s="424"/>
      <c r="H83" s="424"/>
      <c r="I83" s="87">
        <v>35</v>
      </c>
      <c r="J83" s="87">
        <v>65</v>
      </c>
      <c r="K83" s="87">
        <v>30</v>
      </c>
      <c r="L83" s="87">
        <f>+Mensualizado!G44</f>
        <v>0</v>
      </c>
      <c r="M83" s="87">
        <v>50</v>
      </c>
      <c r="N83" s="87">
        <f>+Mensualizado!I44</f>
        <v>0</v>
      </c>
      <c r="O83" s="87">
        <v>35</v>
      </c>
      <c r="P83" s="87">
        <f>+Mensualizado!K44</f>
        <v>0</v>
      </c>
      <c r="Q83" s="87">
        <v>155</v>
      </c>
      <c r="R83" s="87">
        <v>35</v>
      </c>
      <c r="S83" s="87">
        <v>190</v>
      </c>
      <c r="T83" s="87">
        <v>105</v>
      </c>
    </row>
    <row r="84" spans="1:20">
      <c r="A84" s="211">
        <v>54108</v>
      </c>
      <c r="B84" s="212" t="s">
        <v>59</v>
      </c>
      <c r="C84" s="423">
        <f>120-45.63</f>
        <v>74.37</v>
      </c>
      <c r="D84" s="386"/>
      <c r="E84" s="477">
        <f t="shared" si="15"/>
        <v>50</v>
      </c>
      <c r="F84" s="424"/>
      <c r="G84" s="424"/>
      <c r="H84" s="424"/>
      <c r="I84" s="87">
        <f>+Mensualizado!D45</f>
        <v>0</v>
      </c>
      <c r="J84" s="87">
        <v>10</v>
      </c>
      <c r="K84" s="87">
        <v>25</v>
      </c>
      <c r="L84" s="87">
        <f>+Mensualizado!G45</f>
        <v>0</v>
      </c>
      <c r="M84" s="87">
        <f>+Mensualizado!H45</f>
        <v>0</v>
      </c>
      <c r="N84" s="87">
        <f>+Mensualizado!I45</f>
        <v>0</v>
      </c>
      <c r="O84" s="87">
        <f>+Mensualizado!J45</f>
        <v>0</v>
      </c>
      <c r="P84" s="87">
        <v>15</v>
      </c>
      <c r="Q84" s="87">
        <f>+Mensualizado!L45</f>
        <v>0</v>
      </c>
      <c r="R84" s="87">
        <f>+Mensualizado!M45</f>
        <v>0</v>
      </c>
      <c r="S84" s="87">
        <f>+Mensualizado!N45</f>
        <v>0</v>
      </c>
      <c r="T84" s="87">
        <f>+Mensualizado!O45</f>
        <v>0</v>
      </c>
    </row>
    <row r="85" spans="1:20">
      <c r="A85" s="211">
        <v>54109</v>
      </c>
      <c r="B85" s="212" t="s">
        <v>60</v>
      </c>
      <c r="C85" s="423">
        <f>365+431.97</f>
        <v>796.97</v>
      </c>
      <c r="D85" s="386"/>
      <c r="E85" s="477">
        <f t="shared" si="15"/>
        <v>1100</v>
      </c>
      <c r="F85" s="424"/>
      <c r="G85" s="424"/>
      <c r="H85" s="424"/>
      <c r="I85" s="87">
        <f>+Mensualizado!D46</f>
        <v>0</v>
      </c>
      <c r="J85" s="87">
        <v>800</v>
      </c>
      <c r="K85" s="87">
        <f>+Mensualizado!F46</f>
        <v>0</v>
      </c>
      <c r="L85" s="87">
        <f>+Mensualizado!G46</f>
        <v>0</v>
      </c>
      <c r="M85" s="87">
        <f>+Mensualizado!H46</f>
        <v>0</v>
      </c>
      <c r="N85" s="87">
        <v>300</v>
      </c>
      <c r="O85" s="87">
        <f>+Mensualizado!J46</f>
        <v>0</v>
      </c>
      <c r="P85" s="87">
        <f>+Mensualizado!K46</f>
        <v>0</v>
      </c>
      <c r="Q85" s="87">
        <f>+Mensualizado!L46</f>
        <v>0</v>
      </c>
      <c r="R85" s="87">
        <f>+Mensualizado!M46</f>
        <v>0</v>
      </c>
      <c r="S85" s="87">
        <f>+Mensualizado!N46</f>
        <v>0</v>
      </c>
      <c r="T85" s="87">
        <f>+Mensualizado!O46</f>
        <v>0</v>
      </c>
    </row>
    <row r="86" spans="1:20">
      <c r="A86" s="211">
        <v>54110</v>
      </c>
      <c r="B86" s="212" t="s">
        <v>52</v>
      </c>
      <c r="C86" s="423">
        <f>6905+228.55</f>
        <v>7133.55</v>
      </c>
      <c r="D86" s="386"/>
      <c r="E86" s="384">
        <f t="shared" si="15"/>
        <v>6820</v>
      </c>
      <c r="F86" s="424"/>
      <c r="G86" s="424"/>
      <c r="H86" s="424"/>
      <c r="I86" s="87">
        <f>+Mensualizado!D47</f>
        <v>0</v>
      </c>
      <c r="J86" s="87">
        <f>+Mensualizado!E47</f>
        <v>0</v>
      </c>
      <c r="K86" s="87">
        <v>1715</v>
      </c>
      <c r="L86" s="87">
        <f>+Mensualizado!G47</f>
        <v>0</v>
      </c>
      <c r="M86" s="87">
        <f>+Mensualizado!H47</f>
        <v>1695</v>
      </c>
      <c r="N86" s="87">
        <f>+Mensualizado!I47</f>
        <v>0</v>
      </c>
      <c r="O86" s="87">
        <f>+Mensualizado!J47</f>
        <v>0</v>
      </c>
      <c r="P86" s="87">
        <f>+Mensualizado!K47</f>
        <v>1695</v>
      </c>
      <c r="Q86" s="87"/>
      <c r="R86" s="87">
        <f>+Mensualizado!M47</f>
        <v>0</v>
      </c>
      <c r="S86" s="87">
        <v>1715</v>
      </c>
      <c r="T86" s="87">
        <f>+Mensualizado!O47</f>
        <v>0</v>
      </c>
    </row>
    <row r="87" spans="1:20" s="79" customFormat="1">
      <c r="A87" s="219">
        <v>54111</v>
      </c>
      <c r="B87" s="220" t="s">
        <v>249</v>
      </c>
      <c r="C87" s="423"/>
      <c r="D87" s="386"/>
      <c r="E87" s="384">
        <f t="shared" si="15"/>
        <v>225</v>
      </c>
      <c r="F87" s="426"/>
      <c r="G87" s="426"/>
      <c r="H87" s="426"/>
      <c r="I87" s="87">
        <f>+Mensualizado!D48</f>
        <v>0</v>
      </c>
      <c r="J87" s="87">
        <f>+Mensualizado!E48</f>
        <v>0</v>
      </c>
      <c r="K87" s="87">
        <f>+Mensualizado!F48</f>
        <v>0</v>
      </c>
      <c r="L87" s="87">
        <f>+Mensualizado!G48</f>
        <v>0</v>
      </c>
      <c r="M87" s="87">
        <f>+Mensualizado!H48</f>
        <v>0</v>
      </c>
      <c r="N87" s="87">
        <f>+Mensualizado!I48</f>
        <v>0</v>
      </c>
      <c r="O87" s="87">
        <f>+Mensualizado!J48</f>
        <v>0</v>
      </c>
      <c r="P87" s="87">
        <f>+Mensualizado!K48</f>
        <v>0</v>
      </c>
      <c r="Q87" s="87">
        <v>200</v>
      </c>
      <c r="R87" s="87">
        <f>+Mensualizado!M48</f>
        <v>0</v>
      </c>
      <c r="S87" s="87">
        <f>+Mensualizado!N48</f>
        <v>0</v>
      </c>
      <c r="T87" s="87">
        <v>25</v>
      </c>
    </row>
    <row r="88" spans="1:20" s="79" customFormat="1">
      <c r="A88" s="219">
        <v>54112</v>
      </c>
      <c r="B88" s="220" t="s">
        <v>71</v>
      </c>
      <c r="C88" s="423">
        <f>100+46.82</f>
        <v>146.82</v>
      </c>
      <c r="D88" s="386"/>
      <c r="E88" s="384">
        <f t="shared" si="15"/>
        <v>130</v>
      </c>
      <c r="F88" s="426"/>
      <c r="G88" s="426"/>
      <c r="H88" s="426"/>
      <c r="I88" s="87">
        <f>+Mensualizado!D49</f>
        <v>0</v>
      </c>
      <c r="J88" s="87">
        <v>60</v>
      </c>
      <c r="K88" s="87">
        <v>10</v>
      </c>
      <c r="L88" s="87">
        <f>+Mensualizado!G49</f>
        <v>0</v>
      </c>
      <c r="M88" s="87">
        <f>+Mensualizado!H49</f>
        <v>0</v>
      </c>
      <c r="N88" s="87">
        <f>+Mensualizado!I49</f>
        <v>0</v>
      </c>
      <c r="O88" s="87">
        <v>55</v>
      </c>
      <c r="P88" s="87">
        <f>+Mensualizado!K49</f>
        <v>0</v>
      </c>
      <c r="Q88" s="87">
        <f>+Mensualizado!L49</f>
        <v>0</v>
      </c>
      <c r="R88" s="87"/>
      <c r="S88" s="87">
        <v>5</v>
      </c>
      <c r="T88" s="87">
        <f>+Mensualizado!O49</f>
        <v>0</v>
      </c>
    </row>
    <row r="89" spans="1:20" s="79" customFormat="1">
      <c r="A89" s="219">
        <v>54114</v>
      </c>
      <c r="B89" s="220" t="s">
        <v>201</v>
      </c>
      <c r="C89" s="423">
        <f>2500+151.36</f>
        <v>2651.36</v>
      </c>
      <c r="D89" s="386"/>
      <c r="E89" s="384">
        <f t="shared" si="15"/>
        <v>0</v>
      </c>
      <c r="F89" s="426"/>
      <c r="G89" s="426"/>
      <c r="H89" s="426"/>
    </row>
    <row r="90" spans="1:20">
      <c r="A90" s="211">
        <v>54115</v>
      </c>
      <c r="B90" s="212" t="s">
        <v>191</v>
      </c>
      <c r="C90" s="427">
        <f>3435-587.34</f>
        <v>2847.66</v>
      </c>
      <c r="D90" s="386"/>
      <c r="E90" s="384">
        <f t="shared" si="15"/>
        <v>3975</v>
      </c>
      <c r="F90" s="424"/>
      <c r="G90" s="424"/>
      <c r="H90" s="424"/>
      <c r="I90" s="87">
        <f>+Mensualizado!D50</f>
        <v>0</v>
      </c>
      <c r="J90" s="87">
        <v>445</v>
      </c>
      <c r="K90" s="87">
        <v>150</v>
      </c>
      <c r="L90" s="87">
        <f>+Mensualizado!G50</f>
        <v>0</v>
      </c>
      <c r="M90" s="87">
        <v>55</v>
      </c>
      <c r="N90" s="87">
        <v>310</v>
      </c>
      <c r="O90" s="87">
        <v>45</v>
      </c>
      <c r="P90" s="87">
        <v>240</v>
      </c>
      <c r="Q90" s="87">
        <v>50</v>
      </c>
      <c r="R90" s="87">
        <v>215</v>
      </c>
      <c r="S90" s="87">
        <v>1125</v>
      </c>
      <c r="T90" s="87">
        <v>1340</v>
      </c>
    </row>
    <row r="91" spans="1:20" s="79" customFormat="1">
      <c r="A91" s="219">
        <v>54118</v>
      </c>
      <c r="B91" s="220" t="s">
        <v>70</v>
      </c>
      <c r="C91" s="423">
        <f>200+322</f>
        <v>522</v>
      </c>
      <c r="D91" s="386"/>
      <c r="E91" s="384">
        <f t="shared" si="15"/>
        <v>720</v>
      </c>
      <c r="F91" s="426"/>
      <c r="G91" s="426"/>
      <c r="H91" s="426"/>
      <c r="I91" s="87">
        <f>+Mensualizado!D51</f>
        <v>0</v>
      </c>
      <c r="J91" s="87">
        <f>+Mensualizado!E51</f>
        <v>0</v>
      </c>
      <c r="K91" s="87">
        <v>520</v>
      </c>
      <c r="L91" s="87">
        <f>+Mensualizado!G51</f>
        <v>0</v>
      </c>
      <c r="M91" s="87">
        <f>+Mensualizado!H51</f>
        <v>0</v>
      </c>
      <c r="N91" s="87">
        <f>+Mensualizado!I51</f>
        <v>0</v>
      </c>
      <c r="O91" s="87">
        <v>30</v>
      </c>
      <c r="P91" s="87">
        <v>165</v>
      </c>
      <c r="Q91" s="87">
        <f>+Mensualizado!L51</f>
        <v>0</v>
      </c>
      <c r="R91" s="87">
        <f>+Mensualizado!M51</f>
        <v>0</v>
      </c>
      <c r="S91" s="87">
        <f>+Mensualizado!N51</f>
        <v>0</v>
      </c>
      <c r="T91" s="87">
        <v>5</v>
      </c>
    </row>
    <row r="92" spans="1:20">
      <c r="A92" s="211">
        <v>54119</v>
      </c>
      <c r="B92" s="212" t="s">
        <v>48</v>
      </c>
      <c r="C92" s="423">
        <f>235+126.26</f>
        <v>361.26</v>
      </c>
      <c r="D92" s="386"/>
      <c r="E92" s="384">
        <f t="shared" si="15"/>
        <v>1700</v>
      </c>
      <c r="F92" s="424"/>
      <c r="G92" s="424"/>
      <c r="H92" s="424"/>
      <c r="I92" s="464">
        <v>1400</v>
      </c>
      <c r="J92" s="87">
        <f>+Mensualizado!E52</f>
        <v>30</v>
      </c>
      <c r="K92" s="87">
        <v>10</v>
      </c>
      <c r="L92" s="87">
        <v>95</v>
      </c>
      <c r="M92" s="87">
        <v>25</v>
      </c>
      <c r="N92" s="87">
        <v>125</v>
      </c>
      <c r="O92" s="87">
        <v>10</v>
      </c>
      <c r="P92" s="87">
        <v>5</v>
      </c>
      <c r="Q92" s="87">
        <f>+Mensualizado!L52</f>
        <v>0</v>
      </c>
      <c r="R92" s="87">
        <f>+Mensualizado!M52</f>
        <v>0</v>
      </c>
      <c r="S92" s="87">
        <f>+Mensualizado!N52</f>
        <v>0</v>
      </c>
      <c r="T92" s="87">
        <f>+Mensualizado!O52</f>
        <v>0</v>
      </c>
    </row>
    <row r="93" spans="1:20" s="82" customFormat="1">
      <c r="A93" s="211">
        <v>54199</v>
      </c>
      <c r="B93" s="221" t="s">
        <v>188</v>
      </c>
      <c r="C93" s="428">
        <v>23848.87</v>
      </c>
      <c r="D93" s="429"/>
      <c r="E93" s="384">
        <f t="shared" si="15"/>
        <v>3450</v>
      </c>
      <c r="F93" s="430"/>
      <c r="G93" s="430"/>
      <c r="H93" s="430"/>
      <c r="I93" s="87">
        <f>+Mensualizado!D53</f>
        <v>0</v>
      </c>
      <c r="J93" s="87">
        <v>960</v>
      </c>
      <c r="K93" s="87">
        <v>110</v>
      </c>
      <c r="L93" s="87">
        <v>15</v>
      </c>
      <c r="M93" s="87">
        <v>115</v>
      </c>
      <c r="N93" s="87">
        <v>20</v>
      </c>
      <c r="O93" s="87">
        <v>40</v>
      </c>
      <c r="P93" s="87">
        <f>+Mensualizado!K53</f>
        <v>85</v>
      </c>
      <c r="Q93" s="87">
        <v>170</v>
      </c>
      <c r="R93" s="87">
        <v>515</v>
      </c>
      <c r="S93" s="87">
        <v>90</v>
      </c>
      <c r="T93" s="87">
        <v>1330</v>
      </c>
    </row>
    <row r="94" spans="1:20">
      <c r="A94" s="211">
        <v>54204</v>
      </c>
      <c r="B94" s="212" t="s">
        <v>189</v>
      </c>
      <c r="C94" s="423">
        <f>320+131.36</f>
        <v>451.36</v>
      </c>
      <c r="D94" s="386"/>
      <c r="E94" s="478">
        <f t="shared" si="15"/>
        <v>570</v>
      </c>
      <c r="F94" s="424"/>
      <c r="G94" s="424"/>
      <c r="H94" s="424"/>
      <c r="I94" s="87">
        <f>+Mensualizado!D55</f>
        <v>0</v>
      </c>
      <c r="J94" s="87">
        <v>220</v>
      </c>
      <c r="K94" s="87">
        <v>130</v>
      </c>
      <c r="L94" s="87">
        <f>+Mensualizado!G55</f>
        <v>0</v>
      </c>
      <c r="M94" s="87">
        <f>+Mensualizado!H55</f>
        <v>0</v>
      </c>
      <c r="N94" s="87">
        <f>+Mensualizado!I55</f>
        <v>0</v>
      </c>
      <c r="O94" s="87">
        <v>60</v>
      </c>
      <c r="P94" s="87">
        <f>+Mensualizado!K55</f>
        <v>155</v>
      </c>
      <c r="Q94" s="87">
        <f>+Mensualizado!L55</f>
        <v>0</v>
      </c>
      <c r="R94" s="87">
        <f>+Mensualizado!M55</f>
        <v>0</v>
      </c>
      <c r="S94" s="87">
        <f>+Mensualizado!N55</f>
        <v>5</v>
      </c>
      <c r="T94" s="87">
        <f>+Mensualizado!O55</f>
        <v>0</v>
      </c>
    </row>
    <row r="95" spans="1:20">
      <c r="A95" s="211">
        <v>54301</v>
      </c>
      <c r="B95" s="212" t="s">
        <v>50</v>
      </c>
      <c r="C95" s="423">
        <f>1920+255.92</f>
        <v>2175.92</v>
      </c>
      <c r="D95" s="386"/>
      <c r="E95" s="479">
        <f t="shared" si="15"/>
        <v>855</v>
      </c>
      <c r="F95" s="424"/>
      <c r="G95" s="424"/>
      <c r="H95" s="424"/>
      <c r="I95" s="87">
        <f>+Mensualizado!D57</f>
        <v>0</v>
      </c>
      <c r="J95" s="87">
        <f>+Mensualizado!E57</f>
        <v>0</v>
      </c>
      <c r="K95" s="87">
        <v>255</v>
      </c>
      <c r="L95" s="87">
        <f>+Mensualizado!G57</f>
        <v>500</v>
      </c>
      <c r="M95" s="87">
        <v>100</v>
      </c>
      <c r="N95" s="87">
        <f>+Mensualizado!I57</f>
        <v>0</v>
      </c>
      <c r="O95" s="87">
        <f>+Mensualizado!J57</f>
        <v>0</v>
      </c>
      <c r="P95" s="87">
        <f>+Mensualizado!K57</f>
        <v>0</v>
      </c>
      <c r="Q95" s="87">
        <f>+Mensualizado!L57</f>
        <v>0</v>
      </c>
      <c r="R95" s="87">
        <f>+Mensualizado!M57</f>
        <v>0</v>
      </c>
      <c r="S95" s="87">
        <f>+Mensualizado!N57</f>
        <v>0</v>
      </c>
      <c r="T95" s="87">
        <f>+Mensualizado!O57</f>
        <v>0</v>
      </c>
    </row>
    <row r="96" spans="1:20">
      <c r="A96" s="211">
        <v>54302</v>
      </c>
      <c r="B96" s="212" t="s">
        <v>51</v>
      </c>
      <c r="C96" s="423">
        <f>3800+596.04</f>
        <v>4396.04</v>
      </c>
      <c r="D96" s="386"/>
      <c r="E96" s="479">
        <f t="shared" si="15"/>
        <v>4000</v>
      </c>
      <c r="F96" s="424"/>
      <c r="G96" s="424"/>
      <c r="H96" s="424"/>
      <c r="I96" s="464">
        <v>690</v>
      </c>
      <c r="J96" s="87">
        <v>365</v>
      </c>
      <c r="K96" s="87">
        <v>1220</v>
      </c>
      <c r="L96" s="87">
        <v>480</v>
      </c>
      <c r="M96" s="87">
        <v>245</v>
      </c>
      <c r="N96" s="87">
        <v>650</v>
      </c>
      <c r="O96" s="87">
        <f>+Mensualizado!J58</f>
        <v>0</v>
      </c>
      <c r="P96" s="87">
        <f>+Mensualizado!K58</f>
        <v>80</v>
      </c>
      <c r="Q96" s="87">
        <f>+Mensualizado!L58</f>
        <v>0</v>
      </c>
      <c r="R96" s="87">
        <v>240</v>
      </c>
      <c r="S96" s="87">
        <f>+Mensualizado!N58</f>
        <v>0</v>
      </c>
      <c r="T96" s="87">
        <f>+Mensualizado!O58</f>
        <v>30</v>
      </c>
    </row>
    <row r="97" spans="1:20">
      <c r="A97" s="211">
        <v>54303</v>
      </c>
      <c r="B97" s="213" t="s">
        <v>192</v>
      </c>
      <c r="C97" s="423">
        <v>0</v>
      </c>
      <c r="D97" s="386"/>
      <c r="E97" s="479">
        <f t="shared" si="15"/>
        <v>0</v>
      </c>
      <c r="F97" s="424"/>
      <c r="G97" s="424"/>
      <c r="H97" s="424"/>
      <c r="I97" s="87">
        <f>+Mensualizado!D59</f>
        <v>0</v>
      </c>
      <c r="J97" s="87">
        <f>+Mensualizado!E59</f>
        <v>0</v>
      </c>
      <c r="K97" s="87">
        <f>+Mensualizado!F59</f>
        <v>0</v>
      </c>
      <c r="L97" s="87">
        <f>+Mensualizado!G59</f>
        <v>0</v>
      </c>
      <c r="M97" s="87">
        <f>+Mensualizado!H59</f>
        <v>0</v>
      </c>
      <c r="N97" s="87">
        <f>+Mensualizado!I59</f>
        <v>0</v>
      </c>
      <c r="O97" s="87">
        <f>+Mensualizado!J59</f>
        <v>0</v>
      </c>
      <c r="P97" s="87">
        <f>+Mensualizado!K59</f>
        <v>0</v>
      </c>
      <c r="Q97" s="87">
        <f>+Mensualizado!L59</f>
        <v>0</v>
      </c>
      <c r="R97" s="87">
        <f>+Mensualizado!M59</f>
        <v>0</v>
      </c>
      <c r="S97" s="87">
        <f>+Mensualizado!N59</f>
        <v>0</v>
      </c>
      <c r="T97" s="87">
        <f>+Mensualizado!O59</f>
        <v>0</v>
      </c>
    </row>
    <row r="98" spans="1:20">
      <c r="A98" s="211">
        <v>54304</v>
      </c>
      <c r="B98" s="212" t="s">
        <v>250</v>
      </c>
      <c r="C98" s="423">
        <v>90.4</v>
      </c>
      <c r="D98" s="386"/>
      <c r="E98" s="479">
        <f t="shared" si="15"/>
        <v>350</v>
      </c>
      <c r="F98" s="424"/>
      <c r="G98" s="424"/>
      <c r="H98" s="424"/>
      <c r="I98" s="464">
        <v>305</v>
      </c>
      <c r="J98" s="87">
        <f>+Mensualizado!E60</f>
        <v>0</v>
      </c>
      <c r="K98" s="87">
        <f>+Mensualizado!F60</f>
        <v>45</v>
      </c>
      <c r="L98" s="87">
        <f>+Mensualizado!G60</f>
        <v>0</v>
      </c>
      <c r="M98" s="87">
        <f>+Mensualizado!H60</f>
        <v>0</v>
      </c>
      <c r="N98" s="87">
        <f>+Mensualizado!I60</f>
        <v>0</v>
      </c>
      <c r="O98" s="87">
        <f>+Mensualizado!J60</f>
        <v>0</v>
      </c>
      <c r="P98" s="87">
        <f>+Mensualizado!K60</f>
        <v>0</v>
      </c>
      <c r="Q98" s="87">
        <f>+Mensualizado!L60</f>
        <v>0</v>
      </c>
      <c r="R98" s="87">
        <f>+Mensualizado!M60</f>
        <v>0</v>
      </c>
      <c r="S98" s="87">
        <f>+Mensualizado!N60</f>
        <v>0</v>
      </c>
      <c r="T98" s="87">
        <f>+Mensualizado!O60</f>
        <v>0</v>
      </c>
    </row>
    <row r="99" spans="1:20">
      <c r="A99" s="211">
        <v>54307</v>
      </c>
      <c r="B99" s="213" t="s">
        <v>202</v>
      </c>
      <c r="C99" s="423"/>
      <c r="D99" s="386"/>
      <c r="E99" s="479">
        <f t="shared" si="15"/>
        <v>0</v>
      </c>
      <c r="F99" s="424"/>
      <c r="G99" s="424"/>
      <c r="H99" s="424"/>
    </row>
    <row r="100" spans="1:20">
      <c r="A100" s="211">
        <v>54314</v>
      </c>
      <c r="B100" s="213" t="s">
        <v>89</v>
      </c>
      <c r="C100" s="423">
        <f>3600+1127.3</f>
        <v>4727.3</v>
      </c>
      <c r="D100" s="386"/>
      <c r="E100" s="479">
        <f t="shared" si="15"/>
        <v>6770</v>
      </c>
      <c r="F100" s="424"/>
      <c r="G100" s="424"/>
      <c r="H100" s="424"/>
      <c r="I100" s="35">
        <v>555</v>
      </c>
      <c r="J100" s="35">
        <v>565</v>
      </c>
      <c r="K100" s="35">
        <v>565</v>
      </c>
      <c r="L100" s="35">
        <v>565</v>
      </c>
      <c r="M100" s="35">
        <v>565</v>
      </c>
      <c r="N100" s="35">
        <v>565</v>
      </c>
      <c r="O100" s="35">
        <v>565</v>
      </c>
      <c r="P100" s="35">
        <v>565</v>
      </c>
      <c r="Q100" s="35">
        <v>565</v>
      </c>
      <c r="R100" s="35">
        <v>565</v>
      </c>
      <c r="S100" s="35">
        <v>565</v>
      </c>
      <c r="T100" s="35">
        <v>565</v>
      </c>
    </row>
    <row r="101" spans="1:20">
      <c r="A101" s="211">
        <v>54316</v>
      </c>
      <c r="B101" s="220" t="s">
        <v>179</v>
      </c>
      <c r="C101" s="423">
        <v>135.6</v>
      </c>
      <c r="D101" s="386"/>
      <c r="E101" s="479">
        <f t="shared" si="15"/>
        <v>4700</v>
      </c>
      <c r="F101" s="424"/>
      <c r="G101" s="424"/>
      <c r="H101" s="424"/>
      <c r="I101" s="87">
        <f>+Mensualizado!D61</f>
        <v>0</v>
      </c>
      <c r="J101" s="87">
        <v>135</v>
      </c>
      <c r="K101" s="87">
        <f>+Mensualizado!F61</f>
        <v>0</v>
      </c>
      <c r="L101" s="87">
        <f>+Mensualizado!G61</f>
        <v>0</v>
      </c>
      <c r="M101" s="87">
        <f>+Mensualizado!H61</f>
        <v>0</v>
      </c>
      <c r="N101" s="87">
        <f>+Mensualizado!I61</f>
        <v>0</v>
      </c>
      <c r="O101" s="87">
        <f>+Mensualizado!J61</f>
        <v>0</v>
      </c>
      <c r="P101" s="87">
        <v>4245</v>
      </c>
      <c r="Q101" s="87">
        <f>+Mensualizado!L61</f>
        <v>0</v>
      </c>
      <c r="R101" s="87">
        <f>+Mensualizado!M61</f>
        <v>0</v>
      </c>
      <c r="S101" s="87">
        <v>320</v>
      </c>
      <c r="T101" s="87">
        <f>+Mensualizado!O61</f>
        <v>0</v>
      </c>
    </row>
    <row r="102" spans="1:20" s="79" customFormat="1">
      <c r="A102" s="205">
        <v>54399</v>
      </c>
      <c r="B102" s="208" t="s">
        <v>172</v>
      </c>
      <c r="C102" s="423">
        <f>11380+12133.64+10976.56</f>
        <v>34490.199999999997</v>
      </c>
      <c r="D102" s="386"/>
      <c r="E102" s="479">
        <f t="shared" si="15"/>
        <v>48145</v>
      </c>
      <c r="F102" s="424"/>
      <c r="G102" s="424"/>
      <c r="H102" s="424"/>
      <c r="I102" s="464">
        <v>5400</v>
      </c>
      <c r="J102" s="87">
        <v>9735</v>
      </c>
      <c r="K102" s="87">
        <v>5115</v>
      </c>
      <c r="L102" s="87">
        <f>SUM(Mensualizado!G62:G64)</f>
        <v>250</v>
      </c>
      <c r="M102" s="87">
        <v>4000</v>
      </c>
      <c r="N102" s="87">
        <v>1900</v>
      </c>
      <c r="O102" s="87">
        <f>SUM(Mensualizado!J62:J64)</f>
        <v>150</v>
      </c>
      <c r="P102" s="87">
        <v>8195</v>
      </c>
      <c r="Q102" s="87">
        <v>5900</v>
      </c>
      <c r="R102" s="87">
        <v>95</v>
      </c>
      <c r="S102" s="87">
        <v>4050</v>
      </c>
      <c r="T102" s="87">
        <v>3355</v>
      </c>
    </row>
    <row r="103" spans="1:20" s="79" customFormat="1">
      <c r="A103" s="219"/>
      <c r="B103" s="220"/>
      <c r="C103" s="423"/>
      <c r="D103" s="386"/>
      <c r="E103" s="384">
        <f t="shared" si="15"/>
        <v>0</v>
      </c>
      <c r="F103" s="424"/>
      <c r="G103" s="424"/>
      <c r="H103" s="424"/>
      <c r="I103" s="87">
        <f>+Mensualizado!D65</f>
        <v>0</v>
      </c>
      <c r="J103" s="87">
        <f>+Mensualizado!E65</f>
        <v>0</v>
      </c>
      <c r="K103" s="87">
        <f>+Mensualizado!F65</f>
        <v>0</v>
      </c>
      <c r="L103" s="87">
        <f>+Mensualizado!G65</f>
        <v>0</v>
      </c>
      <c r="M103" s="87">
        <f>+Mensualizado!H65</f>
        <v>0</v>
      </c>
      <c r="N103" s="87">
        <f>+Mensualizado!I65</f>
        <v>0</v>
      </c>
      <c r="O103" s="87">
        <f>+Mensualizado!J65</f>
        <v>0</v>
      </c>
      <c r="P103" s="87">
        <f>+Mensualizado!K65</f>
        <v>0</v>
      </c>
      <c r="Q103" s="87">
        <f>+Mensualizado!L65</f>
        <v>0</v>
      </c>
      <c r="R103" s="87">
        <f>+Mensualizado!M65</f>
        <v>0</v>
      </c>
      <c r="S103" s="87">
        <f>+Mensualizado!N65</f>
        <v>0</v>
      </c>
      <c r="T103" s="87">
        <f>+Mensualizado!O65</f>
        <v>0</v>
      </c>
    </row>
    <row r="104" spans="1:20">
      <c r="A104" s="211">
        <v>54403</v>
      </c>
      <c r="B104" s="212" t="s">
        <v>90</v>
      </c>
      <c r="C104" s="423">
        <f>745-124.02</f>
        <v>620.98</v>
      </c>
      <c r="D104" s="386"/>
      <c r="E104" s="384">
        <f t="shared" si="15"/>
        <v>100</v>
      </c>
      <c r="F104" s="431"/>
      <c r="G104" s="431"/>
      <c r="H104" s="431"/>
      <c r="I104" s="87">
        <f>+Mensualizado!D66</f>
        <v>0</v>
      </c>
      <c r="J104" s="87">
        <f>+Mensualizado!E66</f>
        <v>55</v>
      </c>
      <c r="K104" s="87">
        <v>20</v>
      </c>
      <c r="L104" s="87">
        <f>+Mensualizado!G66</f>
        <v>0</v>
      </c>
      <c r="M104" s="87">
        <v>10</v>
      </c>
      <c r="N104" s="87">
        <f>+Mensualizado!I66</f>
        <v>5</v>
      </c>
      <c r="O104" s="87">
        <f>+Mensualizado!J66</f>
        <v>0</v>
      </c>
      <c r="P104" s="87">
        <f>+Mensualizado!K66</f>
        <v>0</v>
      </c>
      <c r="Q104" s="87">
        <f>+Mensualizado!L66</f>
        <v>0</v>
      </c>
      <c r="R104" s="87">
        <f>+Mensualizado!M66</f>
        <v>5</v>
      </c>
      <c r="S104" s="87">
        <v>5</v>
      </c>
      <c r="T104" s="87">
        <f>+Mensualizado!O66</f>
        <v>0</v>
      </c>
    </row>
    <row r="105" spans="1:20">
      <c r="A105" s="211">
        <v>54504</v>
      </c>
      <c r="B105" s="212" t="s">
        <v>57</v>
      </c>
      <c r="C105" s="423">
        <f>5000-1055</f>
        <v>3945</v>
      </c>
      <c r="D105" s="386"/>
      <c r="E105" s="480">
        <f t="shared" si="15"/>
        <v>2600</v>
      </c>
      <c r="I105" s="87">
        <f>+Mensualizado!D68</f>
        <v>0</v>
      </c>
      <c r="J105" s="87">
        <f>+Mensualizado!E68</f>
        <v>0</v>
      </c>
      <c r="K105" s="87">
        <f>+Mensualizado!F68</f>
        <v>0</v>
      </c>
      <c r="L105" s="87">
        <f>+Mensualizado!G68</f>
        <v>0</v>
      </c>
      <c r="M105" s="87">
        <f>+Mensualizado!H68</f>
        <v>0</v>
      </c>
      <c r="N105" s="87">
        <f>+Mensualizado!I68</f>
        <v>0</v>
      </c>
      <c r="O105" s="87">
        <f>+Mensualizado!J68</f>
        <v>0</v>
      </c>
      <c r="P105" s="87">
        <f>+Mensualizado!K68</f>
        <v>0</v>
      </c>
      <c r="Q105" s="87">
        <f>+Mensualizado!L68</f>
        <v>0</v>
      </c>
      <c r="R105" s="87">
        <f>+Mensualizado!M68</f>
        <v>0</v>
      </c>
      <c r="S105" s="87">
        <f>+Mensualizado!N68</f>
        <v>2600</v>
      </c>
      <c r="T105" s="87">
        <f>+Mensualizado!O68</f>
        <v>0</v>
      </c>
    </row>
    <row r="106" spans="1:20">
      <c r="A106" s="214">
        <v>54505</v>
      </c>
      <c r="B106" s="215" t="s">
        <v>190</v>
      </c>
      <c r="C106" s="423">
        <f>2300-600</f>
        <v>1700</v>
      </c>
      <c r="D106" s="386"/>
      <c r="E106" s="480">
        <f t="shared" si="15"/>
        <v>2815</v>
      </c>
      <c r="I106" s="87">
        <f>+Mensualizado!D69</f>
        <v>0</v>
      </c>
      <c r="J106" s="87">
        <v>470</v>
      </c>
      <c r="K106" s="87">
        <v>100</v>
      </c>
      <c r="L106" s="87">
        <f>+Mensualizado!G69</f>
        <v>0</v>
      </c>
      <c r="M106" s="87">
        <f>+Mensualizado!H69</f>
        <v>135</v>
      </c>
      <c r="N106" s="87">
        <f>+Mensualizado!I69</f>
        <v>0</v>
      </c>
      <c r="O106" s="87">
        <f>+Mensualizado!J69</f>
        <v>0</v>
      </c>
      <c r="P106" s="87">
        <f>+Mensualizado!K69</f>
        <v>0</v>
      </c>
      <c r="Q106" s="87">
        <f>+Mensualizado!L69</f>
        <v>0</v>
      </c>
      <c r="R106" s="87">
        <v>2110</v>
      </c>
      <c r="S106" s="87">
        <f>+Mensualizado!N69</f>
        <v>0</v>
      </c>
      <c r="T106" s="87">
        <f>+Mensualizado!O69</f>
        <v>0</v>
      </c>
    </row>
    <row r="107" spans="1:20" ht="13.5" thickBot="1">
      <c r="A107" s="214"/>
      <c r="B107" s="432"/>
      <c r="C107" s="433"/>
      <c r="D107" s="434"/>
      <c r="E107" s="423"/>
      <c r="I107" s="87">
        <f>+Mensualizado!D70</f>
        <v>0</v>
      </c>
      <c r="J107" s="87">
        <f>+Mensualizado!E70</f>
        <v>0</v>
      </c>
      <c r="K107" s="87">
        <f>+Mensualizado!F70</f>
        <v>0</v>
      </c>
      <c r="L107" s="87">
        <f>+Mensualizado!G70</f>
        <v>0</v>
      </c>
      <c r="M107" s="87">
        <f>+Mensualizado!H70</f>
        <v>0</v>
      </c>
      <c r="N107" s="87">
        <f>+Mensualizado!I70</f>
        <v>0</v>
      </c>
      <c r="O107" s="87">
        <f>+Mensualizado!J70</f>
        <v>0</v>
      </c>
      <c r="P107" s="87">
        <f>+Mensualizado!K70</f>
        <v>0</v>
      </c>
      <c r="Q107" s="87">
        <f>+Mensualizado!L70</f>
        <v>0</v>
      </c>
      <c r="R107" s="87">
        <f>+Mensualizado!M70</f>
        <v>0</v>
      </c>
      <c r="S107" s="87">
        <f>+Mensualizado!N70</f>
        <v>0</v>
      </c>
      <c r="T107" s="87">
        <f>+Mensualizado!O70</f>
        <v>0</v>
      </c>
    </row>
    <row r="108" spans="1:20" ht="13.5" thickBot="1">
      <c r="A108" s="214"/>
      <c r="B108" s="435" t="s">
        <v>204</v>
      </c>
      <c r="C108" s="401">
        <f>SUM(C78:C106)</f>
        <v>103576.67</v>
      </c>
      <c r="D108" s="436"/>
      <c r="E108" s="437">
        <f>SUM(E78:E107)</f>
        <v>94770</v>
      </c>
      <c r="F108" s="406">
        <f>SUM(I108:T108)</f>
        <v>94770</v>
      </c>
      <c r="G108" s="406"/>
      <c r="H108" s="406"/>
      <c r="I108" s="317">
        <f t="shared" ref="I108:T108" si="16">SUM(I78:I107)</f>
        <v>10230</v>
      </c>
      <c r="J108" s="317">
        <f t="shared" si="16"/>
        <v>14620</v>
      </c>
      <c r="K108" s="317">
        <f t="shared" si="16"/>
        <v>10105</v>
      </c>
      <c r="L108" s="317">
        <f t="shared" si="16"/>
        <v>2075</v>
      </c>
      <c r="M108" s="317">
        <f t="shared" si="16"/>
        <v>7160</v>
      </c>
      <c r="N108" s="317">
        <f t="shared" si="16"/>
        <v>4355</v>
      </c>
      <c r="O108" s="317">
        <f t="shared" si="16"/>
        <v>1095</v>
      </c>
      <c r="P108" s="317">
        <f t="shared" si="16"/>
        <v>15565</v>
      </c>
      <c r="Q108" s="317">
        <f t="shared" si="16"/>
        <v>7845</v>
      </c>
      <c r="R108" s="317">
        <f t="shared" si="16"/>
        <v>3805</v>
      </c>
      <c r="S108" s="317">
        <f t="shared" si="16"/>
        <v>10945</v>
      </c>
      <c r="T108" s="317">
        <f t="shared" si="16"/>
        <v>6970</v>
      </c>
    </row>
    <row r="109" spans="1:20">
      <c r="A109" s="200"/>
      <c r="B109" s="438" t="s">
        <v>88</v>
      </c>
      <c r="C109" s="439"/>
      <c r="D109" s="386"/>
      <c r="E109" s="440"/>
    </row>
    <row r="110" spans="1:20">
      <c r="A110" s="211">
        <v>54101</v>
      </c>
      <c r="B110" s="212" t="s">
        <v>253</v>
      </c>
      <c r="C110" s="244"/>
      <c r="D110" s="386"/>
      <c r="E110" s="477">
        <f t="shared" ref="E110:E115" si="17">SUM(I110:T110)</f>
        <v>1255</v>
      </c>
      <c r="I110" s="87">
        <v>140</v>
      </c>
      <c r="J110" s="87">
        <v>100</v>
      </c>
      <c r="K110" s="87">
        <v>75</v>
      </c>
      <c r="L110" s="87">
        <v>130</v>
      </c>
      <c r="M110" s="87">
        <f>+Mensualizado!H73</f>
        <v>75</v>
      </c>
      <c r="N110" s="87">
        <f>+Mensualizado!I73</f>
        <v>75</v>
      </c>
      <c r="O110" s="87">
        <v>115</v>
      </c>
      <c r="P110" s="87">
        <v>110</v>
      </c>
      <c r="Q110" s="87">
        <v>95</v>
      </c>
      <c r="R110" s="87">
        <v>85</v>
      </c>
      <c r="S110" s="87">
        <v>115</v>
      </c>
      <c r="T110" s="87">
        <v>140</v>
      </c>
    </row>
    <row r="111" spans="1:20" s="79" customFormat="1">
      <c r="A111" s="219">
        <v>54103</v>
      </c>
      <c r="B111" s="221" t="s">
        <v>74</v>
      </c>
      <c r="C111" s="166">
        <f>900-356.58</f>
        <v>543.42000000000007</v>
      </c>
      <c r="D111" s="386"/>
      <c r="E111" s="477">
        <f t="shared" si="17"/>
        <v>160</v>
      </c>
      <c r="F111" s="431"/>
      <c r="G111" s="431"/>
      <c r="H111" s="431"/>
      <c r="I111" s="87">
        <v>15</v>
      </c>
      <c r="J111" s="87">
        <v>15</v>
      </c>
      <c r="K111" s="87">
        <f>+Mensualizado!F74</f>
        <v>10</v>
      </c>
      <c r="L111" s="87">
        <v>20</v>
      </c>
      <c r="M111" s="87">
        <v>15</v>
      </c>
      <c r="N111" s="87">
        <v>10</v>
      </c>
      <c r="O111" s="87">
        <f>+Mensualizado!J74</f>
        <v>5</v>
      </c>
      <c r="P111" s="87">
        <v>15</v>
      </c>
      <c r="Q111" s="87">
        <v>10</v>
      </c>
      <c r="R111" s="87">
        <v>20</v>
      </c>
      <c r="S111" s="87">
        <v>15</v>
      </c>
      <c r="T111" s="87">
        <v>10</v>
      </c>
    </row>
    <row r="112" spans="1:20">
      <c r="A112" s="211">
        <v>54201</v>
      </c>
      <c r="B112" s="212" t="s">
        <v>96</v>
      </c>
      <c r="C112" s="441">
        <f>10800-1556.78</f>
        <v>9243.2199999999993</v>
      </c>
      <c r="D112" s="386"/>
      <c r="E112" s="478">
        <f t="shared" si="17"/>
        <v>9600</v>
      </c>
      <c r="I112" s="87">
        <v>800</v>
      </c>
      <c r="J112" s="87">
        <v>800</v>
      </c>
      <c r="K112" s="87">
        <v>800</v>
      </c>
      <c r="L112" s="87">
        <v>800</v>
      </c>
      <c r="M112" s="87">
        <v>800</v>
      </c>
      <c r="N112" s="87">
        <v>800</v>
      </c>
      <c r="O112" s="87">
        <v>800</v>
      </c>
      <c r="P112" s="87">
        <v>800</v>
      </c>
      <c r="Q112" s="87">
        <v>800</v>
      </c>
      <c r="R112" s="87">
        <v>800</v>
      </c>
      <c r="S112" s="87">
        <v>800</v>
      </c>
      <c r="T112" s="87">
        <v>800</v>
      </c>
    </row>
    <row r="113" spans="1:20">
      <c r="A113" s="211">
        <v>54202</v>
      </c>
      <c r="B113" s="212" t="s">
        <v>254</v>
      </c>
      <c r="C113" s="441">
        <f>360-14.8</f>
        <v>345.2</v>
      </c>
      <c r="D113" s="386"/>
      <c r="E113" s="478">
        <f t="shared" si="17"/>
        <v>385</v>
      </c>
      <c r="I113" s="87">
        <v>30</v>
      </c>
      <c r="J113" s="87">
        <v>40</v>
      </c>
      <c r="K113" s="87">
        <v>40</v>
      </c>
      <c r="L113" s="87">
        <v>30</v>
      </c>
      <c r="M113" s="87">
        <v>25</v>
      </c>
      <c r="N113" s="87">
        <v>30</v>
      </c>
      <c r="O113" s="87">
        <v>20</v>
      </c>
      <c r="P113" s="87">
        <v>50</v>
      </c>
      <c r="Q113" s="87">
        <v>25</v>
      </c>
      <c r="R113" s="87">
        <v>30</v>
      </c>
      <c r="S113" s="87">
        <v>35</v>
      </c>
      <c r="T113" s="87">
        <v>30</v>
      </c>
    </row>
    <row r="114" spans="1:20">
      <c r="A114" s="211">
        <v>54203</v>
      </c>
      <c r="B114" s="212" t="s">
        <v>197</v>
      </c>
      <c r="C114" s="441">
        <f>29000+2140.22</f>
        <v>31140.22</v>
      </c>
      <c r="D114" s="386"/>
      <c r="E114" s="478">
        <f t="shared" si="17"/>
        <v>30000</v>
      </c>
      <c r="I114" s="321">
        <v>2500</v>
      </c>
      <c r="J114" s="321">
        <v>2500</v>
      </c>
      <c r="K114" s="321">
        <v>2500</v>
      </c>
      <c r="L114" s="321">
        <v>2500</v>
      </c>
      <c r="M114" s="321">
        <v>2500</v>
      </c>
      <c r="N114" s="321">
        <v>2500</v>
      </c>
      <c r="O114" s="321">
        <v>2500</v>
      </c>
      <c r="P114" s="321">
        <v>2500</v>
      </c>
      <c r="Q114" s="321">
        <v>2500</v>
      </c>
      <c r="R114" s="321">
        <v>2500</v>
      </c>
      <c r="S114" s="321">
        <v>2500</v>
      </c>
      <c r="T114" s="321">
        <v>2500</v>
      </c>
    </row>
    <row r="115" spans="1:20">
      <c r="A115" s="211">
        <v>54301</v>
      </c>
      <c r="B115" s="212" t="s">
        <v>252</v>
      </c>
      <c r="C115" s="441"/>
      <c r="D115" s="386"/>
      <c r="E115" s="479">
        <f t="shared" si="17"/>
        <v>7200</v>
      </c>
      <c r="I115" s="321">
        <v>600</v>
      </c>
      <c r="J115" s="321">
        <v>600</v>
      </c>
      <c r="K115" s="321">
        <v>600</v>
      </c>
      <c r="L115" s="321">
        <v>600</v>
      </c>
      <c r="M115" s="321">
        <v>600</v>
      </c>
      <c r="N115" s="321">
        <v>600</v>
      </c>
      <c r="O115" s="321">
        <v>600</v>
      </c>
      <c r="P115" s="321">
        <v>600</v>
      </c>
      <c r="Q115" s="321">
        <v>600</v>
      </c>
      <c r="R115" s="321">
        <v>600</v>
      </c>
      <c r="S115" s="321">
        <v>600</v>
      </c>
      <c r="T115" s="321">
        <v>600</v>
      </c>
    </row>
    <row r="116" spans="1:20">
      <c r="A116" s="211">
        <v>54306</v>
      </c>
      <c r="B116" s="212" t="s">
        <v>255</v>
      </c>
      <c r="C116" s="441"/>
      <c r="D116" s="386"/>
      <c r="E116" s="479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</row>
    <row r="117" spans="1:20">
      <c r="A117" s="211">
        <v>54307</v>
      </c>
      <c r="B117" s="212" t="s">
        <v>214</v>
      </c>
      <c r="C117" s="441">
        <f>10240+325.94</f>
        <v>10565.94</v>
      </c>
      <c r="D117" s="386"/>
      <c r="E117" s="479">
        <f>SUM(I117:T117)</f>
        <v>10800</v>
      </c>
      <c r="I117" s="321">
        <v>900</v>
      </c>
      <c r="J117" s="321">
        <v>900</v>
      </c>
      <c r="K117" s="321">
        <v>900</v>
      </c>
      <c r="L117" s="321">
        <v>900</v>
      </c>
      <c r="M117" s="321">
        <v>900</v>
      </c>
      <c r="N117" s="321">
        <v>900</v>
      </c>
      <c r="O117" s="321">
        <v>900</v>
      </c>
      <c r="P117" s="321">
        <v>900</v>
      </c>
      <c r="Q117" s="321">
        <v>900</v>
      </c>
      <c r="R117" s="321">
        <v>900</v>
      </c>
      <c r="S117" s="321">
        <v>900</v>
      </c>
      <c r="T117" s="321">
        <v>900</v>
      </c>
    </row>
    <row r="118" spans="1:20">
      <c r="A118" s="211">
        <v>54317</v>
      </c>
      <c r="B118" s="212" t="s">
        <v>212</v>
      </c>
      <c r="C118" s="441">
        <f>99600-3101.16</f>
        <v>96498.84</v>
      </c>
      <c r="D118" s="386"/>
      <c r="E118" s="479">
        <f>SUM(I118:T118)</f>
        <v>88800</v>
      </c>
      <c r="I118" s="87">
        <v>7400</v>
      </c>
      <c r="J118" s="87">
        <v>7400</v>
      </c>
      <c r="K118" s="87">
        <v>7400</v>
      </c>
      <c r="L118" s="87">
        <v>7400</v>
      </c>
      <c r="M118" s="87">
        <v>7400</v>
      </c>
      <c r="N118" s="87">
        <v>7400</v>
      </c>
      <c r="O118" s="87">
        <v>7400</v>
      </c>
      <c r="P118" s="87">
        <v>7400</v>
      </c>
      <c r="Q118" s="87">
        <v>7400</v>
      </c>
      <c r="R118" s="87">
        <v>7400</v>
      </c>
      <c r="S118" s="87">
        <v>7400</v>
      </c>
      <c r="T118" s="87">
        <v>7400</v>
      </c>
    </row>
    <row r="119" spans="1:20" ht="13.5" thickBot="1">
      <c r="A119" s="211">
        <v>54399</v>
      </c>
      <c r="B119" s="432" t="s">
        <v>172</v>
      </c>
      <c r="C119" s="442"/>
      <c r="D119" s="386"/>
      <c r="E119" s="479">
        <f>SUM(I119:T119)</f>
        <v>1980</v>
      </c>
      <c r="I119" s="87">
        <v>165</v>
      </c>
      <c r="J119" s="87">
        <v>165</v>
      </c>
      <c r="K119" s="87">
        <v>165</v>
      </c>
      <c r="L119" s="87">
        <v>165</v>
      </c>
      <c r="M119" s="87">
        <v>165</v>
      </c>
      <c r="N119" s="87">
        <v>165</v>
      </c>
      <c r="O119" s="87">
        <v>165</v>
      </c>
      <c r="P119" s="87">
        <v>165</v>
      </c>
      <c r="Q119" s="87">
        <v>165</v>
      </c>
      <c r="R119" s="87">
        <v>165</v>
      </c>
      <c r="S119" s="87">
        <v>165</v>
      </c>
      <c r="T119" s="87">
        <v>165</v>
      </c>
    </row>
    <row r="120" spans="1:20" ht="13.5" thickBot="1">
      <c r="A120" s="211"/>
      <c r="B120" s="443" t="s">
        <v>204</v>
      </c>
      <c r="C120" s="401">
        <f>SUM(C111:C118)</f>
        <v>148336.84</v>
      </c>
      <c r="D120" s="444"/>
      <c r="E120" s="445">
        <f>SUM(E110:E119)</f>
        <v>150180</v>
      </c>
      <c r="F120" s="406">
        <f>SUM(I120:T120)</f>
        <v>150180</v>
      </c>
      <c r="G120" s="406"/>
      <c r="H120" s="406"/>
      <c r="I120" s="317">
        <f t="shared" ref="I120:T120" si="18">SUM(I110:I119)</f>
        <v>12550</v>
      </c>
      <c r="J120" s="317">
        <f t="shared" si="18"/>
        <v>12520</v>
      </c>
      <c r="K120" s="317">
        <f t="shared" si="18"/>
        <v>12490</v>
      </c>
      <c r="L120" s="317">
        <f t="shared" si="18"/>
        <v>12545</v>
      </c>
      <c r="M120" s="317">
        <f t="shared" si="18"/>
        <v>12480</v>
      </c>
      <c r="N120" s="317">
        <f t="shared" si="18"/>
        <v>12480</v>
      </c>
      <c r="O120" s="317">
        <f t="shared" si="18"/>
        <v>12505</v>
      </c>
      <c r="P120" s="317">
        <f t="shared" si="18"/>
        <v>12540</v>
      </c>
      <c r="Q120" s="317">
        <f t="shared" si="18"/>
        <v>12495</v>
      </c>
      <c r="R120" s="317">
        <f t="shared" si="18"/>
        <v>12500</v>
      </c>
      <c r="S120" s="317">
        <f t="shared" si="18"/>
        <v>12530</v>
      </c>
      <c r="T120" s="317">
        <f t="shared" si="18"/>
        <v>12545</v>
      </c>
    </row>
    <row r="121" spans="1:20">
      <c r="D121" s="197"/>
      <c r="E121" s="427"/>
      <c r="F121" s="406" t="e">
        <f>SUM(F28:F120)</f>
        <v>#REF!</v>
      </c>
      <c r="G121" s="406"/>
      <c r="H121" s="406"/>
    </row>
    <row r="122" spans="1:20">
      <c r="D122" s="197"/>
      <c r="E122" s="446"/>
      <c r="F122" s="406" t="e">
        <f>SUM(I122:T122)</f>
        <v>#REF!</v>
      </c>
      <c r="G122" s="406"/>
      <c r="H122" s="406"/>
      <c r="I122" s="87" t="e">
        <f t="shared" ref="I122:T122" si="19">+I28+I38+I46+I57+I64+I70+I74+I108+I120</f>
        <v>#REF!</v>
      </c>
      <c r="J122" s="87">
        <f t="shared" si="19"/>
        <v>135952</v>
      </c>
      <c r="K122" s="87">
        <f t="shared" si="19"/>
        <v>148502</v>
      </c>
      <c r="L122" s="87">
        <f t="shared" si="19"/>
        <v>141840</v>
      </c>
      <c r="M122" s="87">
        <f t="shared" si="19"/>
        <v>135327</v>
      </c>
      <c r="N122" s="87">
        <f t="shared" si="19"/>
        <v>259642</v>
      </c>
      <c r="O122" s="87">
        <f t="shared" si="19"/>
        <v>129652.58</v>
      </c>
      <c r="P122" s="87">
        <f t="shared" si="19"/>
        <v>145387</v>
      </c>
      <c r="Q122" s="87">
        <f t="shared" si="19"/>
        <v>121920.5</v>
      </c>
      <c r="R122" s="87">
        <f t="shared" si="19"/>
        <v>132063.4</v>
      </c>
      <c r="S122" s="87">
        <f t="shared" si="19"/>
        <v>124125.5</v>
      </c>
      <c r="T122" s="87">
        <f t="shared" si="19"/>
        <v>209732.42</v>
      </c>
    </row>
    <row r="123" spans="1:20">
      <c r="E123" s="446"/>
      <c r="F123" s="406" t="e">
        <f>+J6-F122</f>
        <v>#REF!</v>
      </c>
      <c r="G123" s="406"/>
      <c r="H123" s="406"/>
    </row>
    <row r="124" spans="1:20">
      <c r="E124" s="446"/>
    </row>
    <row r="125" spans="1:20">
      <c r="E125" s="446"/>
    </row>
    <row r="126" spans="1:20">
      <c r="E126" s="446"/>
    </row>
    <row r="127" spans="1:20">
      <c r="E127" s="446"/>
    </row>
    <row r="128" spans="1:20">
      <c r="E128" s="446"/>
    </row>
    <row r="129" spans="5:5">
      <c r="E129" s="427"/>
    </row>
    <row r="130" spans="5:5">
      <c r="E130" s="427"/>
    </row>
  </sheetData>
  <mergeCells count="5">
    <mergeCell ref="A16:B16"/>
    <mergeCell ref="A6:B6"/>
    <mergeCell ref="A2:E2"/>
    <mergeCell ref="A3:E3"/>
    <mergeCell ref="A4:E4"/>
  </mergeCells>
  <phoneticPr fontId="25" type="noConversion"/>
  <pageMargins left="0.78740157480314965" right="0.59055118110236227" top="0.59055118110236227" bottom="0.59055118110236227" header="0" footer="0"/>
  <pageSetup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29"/>
  <sheetViews>
    <sheetView view="pageBreakPreview" zoomScale="75" workbookViewId="0">
      <pane ySplit="6" topLeftCell="A16" activePane="bottomLeft" state="frozen"/>
      <selection pane="bottomLeft" activeCell="G113" sqref="G113"/>
    </sheetView>
  </sheetViews>
  <sheetFormatPr baseColWidth="10" defaultRowHeight="11.25"/>
  <cols>
    <col min="1" max="1" width="10.42578125" style="2" bestFit="1" customWidth="1"/>
    <col min="2" max="2" width="51.140625" style="2" bestFit="1" customWidth="1"/>
    <col min="3" max="3" width="14.85546875" style="2" bestFit="1" customWidth="1"/>
    <col min="4" max="4" width="14.42578125" style="318" bestFit="1" customWidth="1"/>
    <col min="5" max="6" width="13.42578125" style="318" bestFit="1" customWidth="1"/>
    <col min="7" max="7" width="13.140625" style="318" bestFit="1" customWidth="1"/>
    <col min="8" max="9" width="13.140625" style="2" bestFit="1" customWidth="1"/>
    <col min="10" max="10" width="14.140625" style="2" bestFit="1" customWidth="1"/>
    <col min="11" max="11" width="15.42578125" style="2" bestFit="1" customWidth="1"/>
    <col min="12" max="13" width="15.5703125" style="2" bestFit="1" customWidth="1"/>
    <col min="14" max="15" width="16.140625" style="2" bestFit="1" customWidth="1"/>
    <col min="16" max="16384" width="11.42578125" style="2"/>
  </cols>
  <sheetData>
    <row r="2" spans="1:15" ht="23.25">
      <c r="A2" s="509" t="s">
        <v>235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</row>
    <row r="5" spans="1:15" ht="12" thickBot="1">
      <c r="B5" s="2" t="s">
        <v>97</v>
      </c>
    </row>
    <row r="6" spans="1:15" s="265" customFormat="1" ht="14.25" thickTop="1" thickBot="1">
      <c r="A6" s="510"/>
      <c r="B6" s="511"/>
      <c r="C6" s="311" t="s">
        <v>18</v>
      </c>
      <c r="D6" s="259" t="s">
        <v>98</v>
      </c>
      <c r="E6" s="260" t="s">
        <v>99</v>
      </c>
      <c r="F6" s="261" t="s">
        <v>100</v>
      </c>
      <c r="G6" s="262" t="s">
        <v>101</v>
      </c>
      <c r="H6" s="260" t="s">
        <v>102</v>
      </c>
      <c r="I6" s="263" t="s">
        <v>103</v>
      </c>
      <c r="J6" s="259" t="s">
        <v>104</v>
      </c>
      <c r="K6" s="260" t="s">
        <v>105</v>
      </c>
      <c r="L6" s="263" t="s">
        <v>106</v>
      </c>
      <c r="M6" s="262" t="s">
        <v>107</v>
      </c>
      <c r="N6" s="260" t="s">
        <v>108</v>
      </c>
      <c r="O6" s="264" t="s">
        <v>109</v>
      </c>
    </row>
    <row r="9" spans="1:15" ht="12">
      <c r="A9" s="282" t="s">
        <v>110</v>
      </c>
    </row>
    <row r="10" spans="1:15" ht="12.75">
      <c r="A10" s="283">
        <v>51</v>
      </c>
      <c r="B10" s="245" t="s">
        <v>111</v>
      </c>
    </row>
    <row r="11" spans="1:15" s="272" customFormat="1" ht="14.25">
      <c r="A11" s="284">
        <v>51105</v>
      </c>
      <c r="B11" s="273" t="s">
        <v>230</v>
      </c>
      <c r="C11" s="305">
        <f>SUM(D11:O11)</f>
        <v>18000</v>
      </c>
      <c r="D11" s="274">
        <f>(75*5)*4</f>
        <v>1500</v>
      </c>
      <c r="E11" s="275">
        <f>+D11</f>
        <v>1500</v>
      </c>
      <c r="F11" s="276">
        <f>+D11</f>
        <v>1500</v>
      </c>
      <c r="G11" s="274">
        <f>+D11</f>
        <v>1500</v>
      </c>
      <c r="H11" s="278">
        <f>+D11</f>
        <v>1500</v>
      </c>
      <c r="I11" s="279">
        <f>+D11</f>
        <v>1500</v>
      </c>
      <c r="J11" s="277">
        <f>+D11</f>
        <v>1500</v>
      </c>
      <c r="K11" s="280">
        <f>+D11</f>
        <v>1500</v>
      </c>
      <c r="L11" s="279">
        <f>+D11</f>
        <v>1500</v>
      </c>
      <c r="M11" s="277">
        <f>+D11</f>
        <v>1500</v>
      </c>
      <c r="N11" s="280">
        <f>+D11</f>
        <v>1500</v>
      </c>
      <c r="O11" s="281">
        <f>+D11</f>
        <v>1500</v>
      </c>
    </row>
    <row r="12" spans="1:15" s="272" customFormat="1" ht="14.25">
      <c r="A12" s="284">
        <v>51201</v>
      </c>
      <c r="B12" s="273" t="s">
        <v>231</v>
      </c>
      <c r="C12" s="305">
        <f>SUM(D12:O12)</f>
        <v>964800</v>
      </c>
      <c r="D12" s="274">
        <v>80400</v>
      </c>
      <c r="E12" s="275">
        <f>+D12</f>
        <v>80400</v>
      </c>
      <c r="F12" s="276">
        <f>+D12</f>
        <v>80400</v>
      </c>
      <c r="G12" s="274">
        <f>+D12</f>
        <v>80400</v>
      </c>
      <c r="H12" s="278">
        <f>+D12</f>
        <v>80400</v>
      </c>
      <c r="I12" s="279">
        <f>+D12</f>
        <v>80400</v>
      </c>
      <c r="J12" s="277">
        <f>+D12</f>
        <v>80400</v>
      </c>
      <c r="K12" s="280">
        <f>+D12</f>
        <v>80400</v>
      </c>
      <c r="L12" s="279">
        <f>+D12</f>
        <v>80400</v>
      </c>
      <c r="M12" s="277">
        <f>+D12</f>
        <v>80400</v>
      </c>
      <c r="N12" s="280">
        <f>+D12</f>
        <v>80400</v>
      </c>
      <c r="O12" s="281">
        <f>+D12</f>
        <v>80400</v>
      </c>
    </row>
    <row r="13" spans="1:15" s="272" customFormat="1" ht="14.25">
      <c r="A13" s="284">
        <v>51203</v>
      </c>
      <c r="B13" s="273" t="s">
        <v>232</v>
      </c>
      <c r="C13" s="305">
        <f>SUM(D13:O13)</f>
        <v>80400</v>
      </c>
      <c r="D13" s="274">
        <v>0</v>
      </c>
      <c r="E13" s="275">
        <v>0</v>
      </c>
      <c r="F13" s="276">
        <f>+D13*2</f>
        <v>0</v>
      </c>
      <c r="G13" s="274">
        <v>0</v>
      </c>
      <c r="H13" s="275">
        <v>0</v>
      </c>
      <c r="I13" s="276">
        <f>+G13*2</f>
        <v>0</v>
      </c>
      <c r="J13" s="274">
        <v>0</v>
      </c>
      <c r="K13" s="275">
        <v>0</v>
      </c>
      <c r="L13" s="276">
        <f>+J13*2</f>
        <v>0</v>
      </c>
      <c r="M13" s="274">
        <v>0</v>
      </c>
      <c r="N13" s="275">
        <v>0</v>
      </c>
      <c r="O13" s="281">
        <f>+D12</f>
        <v>80400</v>
      </c>
    </row>
    <row r="14" spans="1:15" s="272" customFormat="1" ht="14.25">
      <c r="A14" s="284">
        <v>51207</v>
      </c>
      <c r="B14" s="273" t="s">
        <v>234</v>
      </c>
      <c r="C14" s="305" t="e">
        <f>SUM(D14:O15)</f>
        <v>#REF!</v>
      </c>
      <c r="D14" s="274"/>
      <c r="E14" s="275"/>
      <c r="F14" s="276"/>
      <c r="G14" s="274"/>
      <c r="H14" s="330"/>
      <c r="I14" s="279">
        <f>+D12</f>
        <v>80400</v>
      </c>
      <c r="J14" s="277"/>
      <c r="K14" s="275">
        <v>0</v>
      </c>
      <c r="L14" s="279"/>
      <c r="M14" s="274">
        <v>0</v>
      </c>
      <c r="N14" s="275">
        <v>0</v>
      </c>
      <c r="O14" s="276">
        <f>+M14*2</f>
        <v>0</v>
      </c>
    </row>
    <row r="15" spans="1:15" s="272" customFormat="1" ht="14.25">
      <c r="A15" s="284"/>
      <c r="B15" s="273"/>
      <c r="C15" s="305"/>
      <c r="D15" s="274" t="e">
        <f>+#REF!</f>
        <v>#REF!</v>
      </c>
      <c r="E15" s="275">
        <v>7285</v>
      </c>
      <c r="F15" s="276">
        <v>6380</v>
      </c>
      <c r="G15" s="274">
        <v>3710</v>
      </c>
      <c r="H15" s="330"/>
      <c r="I15" s="279">
        <v>7380</v>
      </c>
      <c r="J15" s="277">
        <v>3680</v>
      </c>
      <c r="K15" s="275">
        <v>330</v>
      </c>
      <c r="L15" s="279">
        <v>2350</v>
      </c>
      <c r="M15" s="274"/>
      <c r="N15" s="275"/>
      <c r="O15" s="470"/>
    </row>
    <row r="16" spans="1:15" s="272" customFormat="1" ht="14.25">
      <c r="A16" s="284">
        <v>51402</v>
      </c>
      <c r="B16" s="273" t="s">
        <v>233</v>
      </c>
      <c r="C16" s="305">
        <f>SUM(D16:O16)</f>
        <v>30300</v>
      </c>
      <c r="D16" s="274">
        <v>2525</v>
      </c>
      <c r="E16" s="275">
        <f>+D16</f>
        <v>2525</v>
      </c>
      <c r="F16" s="276">
        <f>+D16</f>
        <v>2525</v>
      </c>
      <c r="G16" s="274">
        <f>+D16</f>
        <v>2525</v>
      </c>
      <c r="H16" s="278">
        <f>+D16</f>
        <v>2525</v>
      </c>
      <c r="I16" s="279">
        <f>+D16</f>
        <v>2525</v>
      </c>
      <c r="J16" s="277">
        <f>+D16</f>
        <v>2525</v>
      </c>
      <c r="K16" s="280">
        <f>+D16</f>
        <v>2525</v>
      </c>
      <c r="L16" s="279">
        <f>+D16</f>
        <v>2525</v>
      </c>
      <c r="M16" s="277">
        <f>+D16</f>
        <v>2525</v>
      </c>
      <c r="N16" s="280">
        <f>+D16</f>
        <v>2525</v>
      </c>
      <c r="O16" s="323">
        <f>+D16</f>
        <v>2525</v>
      </c>
    </row>
    <row r="17" spans="1:15" s="272" customFormat="1" ht="14.25">
      <c r="A17" s="284">
        <v>51502</v>
      </c>
      <c r="B17" s="273" t="s">
        <v>112</v>
      </c>
      <c r="C17" s="305">
        <f>SUM(D17:O17)</f>
        <v>65125</v>
      </c>
      <c r="D17" s="274">
        <f>+D12*0.0675</f>
        <v>5427</v>
      </c>
      <c r="E17" s="275">
        <f>+D17</f>
        <v>5427</v>
      </c>
      <c r="F17" s="276">
        <f>+D17</f>
        <v>5427</v>
      </c>
      <c r="G17" s="274">
        <f>+D17</f>
        <v>5427</v>
      </c>
      <c r="H17" s="278">
        <f>+D17</f>
        <v>5427</v>
      </c>
      <c r="I17" s="279">
        <f>+D17</f>
        <v>5427</v>
      </c>
      <c r="J17" s="277">
        <f>+D17</f>
        <v>5427</v>
      </c>
      <c r="K17" s="280">
        <f>+D17</f>
        <v>5427</v>
      </c>
      <c r="L17" s="279">
        <f>+D17</f>
        <v>5427</v>
      </c>
      <c r="M17" s="277">
        <f>+D17</f>
        <v>5427</v>
      </c>
      <c r="N17" s="280">
        <f>+D17+1</f>
        <v>5428</v>
      </c>
      <c r="O17" s="281">
        <f>+D17</f>
        <v>5427</v>
      </c>
    </row>
    <row r="18" spans="1:15" s="272" customFormat="1" ht="14.25">
      <c r="A18" s="284">
        <v>51999</v>
      </c>
      <c r="B18" s="273" t="s">
        <v>113</v>
      </c>
      <c r="C18" s="305">
        <f>SUM(D18:O18)</f>
        <v>5835</v>
      </c>
      <c r="D18" s="274"/>
      <c r="E18" s="275"/>
      <c r="F18" s="276"/>
      <c r="G18" s="274">
        <v>835</v>
      </c>
      <c r="H18" s="331">
        <f>+G18</f>
        <v>835</v>
      </c>
      <c r="I18" s="279">
        <f>+G18</f>
        <v>835</v>
      </c>
      <c r="J18" s="277">
        <f>+G18</f>
        <v>835</v>
      </c>
      <c r="K18" s="280">
        <f>+G18</f>
        <v>835</v>
      </c>
      <c r="L18" s="279">
        <v>830</v>
      </c>
      <c r="M18" s="277">
        <v>830</v>
      </c>
      <c r="N18" s="280"/>
      <c r="O18" s="281"/>
    </row>
    <row r="19" spans="1:15" s="272" customFormat="1" ht="12.75">
      <c r="A19" s="266"/>
      <c r="B19" s="267" t="s">
        <v>114</v>
      </c>
      <c r="C19" s="268" t="e">
        <f t="shared" ref="C19:O19" si="0">SUM(C11:C18)</f>
        <v>#REF!</v>
      </c>
      <c r="D19" s="269" t="e">
        <f t="shared" si="0"/>
        <v>#REF!</v>
      </c>
      <c r="E19" s="270">
        <f t="shared" si="0"/>
        <v>97137</v>
      </c>
      <c r="F19" s="271">
        <f t="shared" si="0"/>
        <v>96232</v>
      </c>
      <c r="G19" s="269">
        <f t="shared" si="0"/>
        <v>94397</v>
      </c>
      <c r="H19" s="270">
        <f t="shared" si="0"/>
        <v>90687</v>
      </c>
      <c r="I19" s="271">
        <f t="shared" si="0"/>
        <v>178467</v>
      </c>
      <c r="J19" s="269">
        <f t="shared" si="0"/>
        <v>94367</v>
      </c>
      <c r="K19" s="270">
        <f t="shared" si="0"/>
        <v>91017</v>
      </c>
      <c r="L19" s="271">
        <f t="shared" si="0"/>
        <v>93032</v>
      </c>
      <c r="M19" s="269">
        <f t="shared" si="0"/>
        <v>90682</v>
      </c>
      <c r="N19" s="270">
        <f t="shared" si="0"/>
        <v>89853</v>
      </c>
      <c r="O19" s="271">
        <f t="shared" si="0"/>
        <v>170252</v>
      </c>
    </row>
    <row r="21" spans="1:15" ht="12.75">
      <c r="A21" s="283">
        <v>54</v>
      </c>
      <c r="B21" s="245" t="s">
        <v>115</v>
      </c>
    </row>
    <row r="22" spans="1:15" ht="14.25">
      <c r="B22" s="306" t="s">
        <v>79</v>
      </c>
    </row>
    <row r="23" spans="1:15" s="272" customFormat="1" ht="14.25">
      <c r="A23" s="284">
        <v>54105</v>
      </c>
      <c r="B23" s="273" t="s">
        <v>119</v>
      </c>
      <c r="C23" s="305">
        <f t="shared" ref="C23:C30" si="1">SUM(D23:O23)</f>
        <v>4500</v>
      </c>
      <c r="D23" s="274">
        <v>0</v>
      </c>
      <c r="E23" s="275">
        <v>559.33000000000004</v>
      </c>
      <c r="F23" s="276">
        <v>8.5</v>
      </c>
      <c r="G23" s="274">
        <v>2277.5700000000002</v>
      </c>
      <c r="H23" s="278">
        <v>0</v>
      </c>
      <c r="I23" s="279">
        <v>1042.68</v>
      </c>
      <c r="J23" s="277">
        <v>21.21</v>
      </c>
      <c r="K23" s="280">
        <v>61.15</v>
      </c>
      <c r="L23" s="279">
        <v>64.25</v>
      </c>
      <c r="M23" s="277">
        <v>357.96</v>
      </c>
      <c r="N23" s="280">
        <v>82.84</v>
      </c>
      <c r="O23" s="281">
        <v>24.51</v>
      </c>
    </row>
    <row r="24" spans="1:15" s="272" customFormat="1" ht="14.25">
      <c r="A24" s="284">
        <v>54114</v>
      </c>
      <c r="B24" s="273" t="s">
        <v>123</v>
      </c>
      <c r="C24" s="305">
        <f t="shared" si="1"/>
        <v>2828</v>
      </c>
      <c r="D24" s="274">
        <v>0</v>
      </c>
      <c r="E24" s="275">
        <v>0</v>
      </c>
      <c r="F24" s="276">
        <f>+D24*2</f>
        <v>0</v>
      </c>
      <c r="G24" s="274">
        <v>690.4</v>
      </c>
      <c r="H24" s="278">
        <f>+D24*2</f>
        <v>0</v>
      </c>
      <c r="I24" s="279">
        <v>765</v>
      </c>
      <c r="J24" s="277">
        <v>567.79999999999995</v>
      </c>
      <c r="K24" s="280"/>
      <c r="L24" s="279">
        <v>459.3</v>
      </c>
      <c r="M24" s="277">
        <v>81.45</v>
      </c>
      <c r="N24" s="280"/>
      <c r="O24" s="281">
        <v>264.05</v>
      </c>
    </row>
    <row r="25" spans="1:15" s="272" customFormat="1" ht="14.25">
      <c r="A25" s="284">
        <v>54199</v>
      </c>
      <c r="B25" s="273" t="s">
        <v>127</v>
      </c>
      <c r="C25" s="305">
        <f t="shared" si="1"/>
        <v>17672</v>
      </c>
      <c r="D25" s="274">
        <v>0</v>
      </c>
      <c r="E25" s="275">
        <v>0</v>
      </c>
      <c r="F25" s="276">
        <f>+D25*2</f>
        <v>0</v>
      </c>
      <c r="G25" s="274">
        <v>7660</v>
      </c>
      <c r="H25" s="278">
        <f>+D25*2</f>
        <v>0</v>
      </c>
      <c r="I25" s="279">
        <v>2515.4</v>
      </c>
      <c r="J25" s="277">
        <v>147.63999999999999</v>
      </c>
      <c r="K25" s="280">
        <v>33.08</v>
      </c>
      <c r="L25" s="279">
        <v>172.8</v>
      </c>
      <c r="M25" s="277">
        <v>172.4</v>
      </c>
      <c r="N25" s="280">
        <v>172.41</v>
      </c>
      <c r="O25" s="281">
        <v>6798.27</v>
      </c>
    </row>
    <row r="26" spans="1:15" s="272" customFormat="1" ht="14.25">
      <c r="A26" s="284">
        <v>54305</v>
      </c>
      <c r="B26" s="273" t="s">
        <v>137</v>
      </c>
      <c r="C26" s="305">
        <f t="shared" si="1"/>
        <v>25695.999999999996</v>
      </c>
      <c r="D26" s="274">
        <v>0</v>
      </c>
      <c r="E26" s="275">
        <f>169.5+259.5</f>
        <v>429</v>
      </c>
      <c r="F26" s="276">
        <f>600+90+598</f>
        <v>1288</v>
      </c>
      <c r="G26" s="274">
        <v>2398</v>
      </c>
      <c r="H26" s="278">
        <v>2398</v>
      </c>
      <c r="I26" s="279">
        <v>7560.3</v>
      </c>
      <c r="J26" s="277">
        <v>5272.7</v>
      </c>
      <c r="K26" s="280">
        <v>0</v>
      </c>
      <c r="L26" s="279">
        <v>1713.6</v>
      </c>
      <c r="M26" s="277">
        <v>2616.8000000000002</v>
      </c>
      <c r="N26" s="280">
        <v>285</v>
      </c>
      <c r="O26" s="281">
        <v>1734.6</v>
      </c>
    </row>
    <row r="27" spans="1:15" s="272" customFormat="1" ht="14.25">
      <c r="A27" s="284">
        <v>54313</v>
      </c>
      <c r="B27" s="273" t="s">
        <v>132</v>
      </c>
      <c r="C27" s="305">
        <f t="shared" si="1"/>
        <v>16768</v>
      </c>
      <c r="D27" s="274">
        <v>130.5</v>
      </c>
      <c r="E27" s="275">
        <v>4411</v>
      </c>
      <c r="F27" s="276">
        <v>303.25</v>
      </c>
      <c r="G27" s="274">
        <v>6276.2</v>
      </c>
      <c r="H27" s="278">
        <v>0</v>
      </c>
      <c r="I27" s="279">
        <v>0</v>
      </c>
      <c r="J27" s="277">
        <v>56.5</v>
      </c>
      <c r="K27" s="280">
        <v>0</v>
      </c>
      <c r="L27" s="279">
        <v>1504.65</v>
      </c>
      <c r="M27" s="277">
        <v>0</v>
      </c>
      <c r="N27" s="280">
        <v>1000</v>
      </c>
      <c r="O27" s="281">
        <v>3085.9</v>
      </c>
    </row>
    <row r="28" spans="1:15" s="272" customFormat="1" ht="14.25">
      <c r="A28" s="284">
        <v>54314</v>
      </c>
      <c r="B28" s="273" t="s">
        <v>133</v>
      </c>
      <c r="C28" s="305">
        <f t="shared" si="1"/>
        <v>24378</v>
      </c>
      <c r="D28" s="274">
        <v>332.5</v>
      </c>
      <c r="E28" s="275">
        <f>55.75+4055+{378.37}</f>
        <v>4489.12</v>
      </c>
      <c r="F28" s="276">
        <v>1466.43</v>
      </c>
      <c r="G28" s="274">
        <v>5800</v>
      </c>
      <c r="H28" s="278">
        <v>0</v>
      </c>
      <c r="I28" s="279">
        <v>5250</v>
      </c>
      <c r="J28" s="277">
        <v>4000</v>
      </c>
      <c r="K28" s="280">
        <v>49.95</v>
      </c>
      <c r="L28" s="279">
        <v>190</v>
      </c>
      <c r="M28" s="277">
        <v>870</v>
      </c>
      <c r="N28" s="280">
        <v>1060</v>
      </c>
      <c r="O28" s="281">
        <v>870</v>
      </c>
    </row>
    <row r="29" spans="1:15" s="272" customFormat="1" ht="14.25">
      <c r="A29" s="284">
        <v>54399</v>
      </c>
      <c r="B29" s="273" t="s">
        <v>135</v>
      </c>
      <c r="C29" s="305">
        <f t="shared" si="1"/>
        <v>0</v>
      </c>
      <c r="D29" s="274">
        <v>0</v>
      </c>
      <c r="E29" s="275">
        <v>0</v>
      </c>
      <c r="F29" s="276">
        <f>+D29*2</f>
        <v>0</v>
      </c>
      <c r="G29" s="274">
        <v>0</v>
      </c>
      <c r="H29" s="278">
        <f>+D29*2</f>
        <v>0</v>
      </c>
      <c r="I29" s="279">
        <v>0</v>
      </c>
      <c r="J29" s="277">
        <v>0</v>
      </c>
      <c r="K29" s="278">
        <f>+G29*2</f>
        <v>0</v>
      </c>
      <c r="L29" s="279">
        <v>0</v>
      </c>
      <c r="M29" s="277">
        <v>0</v>
      </c>
      <c r="N29" s="278">
        <f>+J29*2</f>
        <v>0</v>
      </c>
      <c r="O29" s="279">
        <v>0</v>
      </c>
    </row>
    <row r="30" spans="1:15" s="272" customFormat="1" ht="14.25">
      <c r="A30" s="284">
        <v>54599</v>
      </c>
      <c r="B30" s="273" t="s">
        <v>141</v>
      </c>
      <c r="C30" s="305">
        <f t="shared" si="1"/>
        <v>0</v>
      </c>
      <c r="D30" s="274">
        <v>0</v>
      </c>
      <c r="E30" s="275">
        <v>0</v>
      </c>
      <c r="F30" s="276">
        <f>+D30*2</f>
        <v>0</v>
      </c>
      <c r="G30" s="274">
        <v>0</v>
      </c>
      <c r="H30" s="278">
        <f>+D30*2</f>
        <v>0</v>
      </c>
      <c r="I30" s="279">
        <v>0</v>
      </c>
      <c r="J30" s="277">
        <v>0</v>
      </c>
      <c r="K30" s="278">
        <f>+G30*2</f>
        <v>0</v>
      </c>
      <c r="L30" s="279">
        <v>0</v>
      </c>
      <c r="M30" s="277">
        <v>0</v>
      </c>
      <c r="N30" s="278">
        <f>+J30*2</f>
        <v>0</v>
      </c>
      <c r="O30" s="279">
        <v>0</v>
      </c>
    </row>
    <row r="31" spans="1:15" ht="14.25">
      <c r="B31" s="306" t="s">
        <v>165</v>
      </c>
    </row>
    <row r="32" spans="1:15" s="272" customFormat="1" ht="14.25">
      <c r="A32" s="284">
        <v>54402</v>
      </c>
      <c r="B32" s="273" t="s">
        <v>138</v>
      </c>
      <c r="C32" s="305">
        <f>SUM(D32:O32)</f>
        <v>27475</v>
      </c>
      <c r="D32" s="274">
        <v>367.88</v>
      </c>
      <c r="E32" s="275">
        <v>4279.88</v>
      </c>
      <c r="F32" s="276">
        <v>8884.3700000000008</v>
      </c>
      <c r="G32" s="274"/>
      <c r="H32" s="278"/>
      <c r="I32" s="279">
        <v>8295.09</v>
      </c>
      <c r="J32" s="277"/>
      <c r="K32" s="280">
        <v>0</v>
      </c>
      <c r="L32" s="279">
        <v>1563.9</v>
      </c>
      <c r="M32" s="277">
        <f>436.89+126.5</f>
        <v>563.39</v>
      </c>
      <c r="N32" s="280">
        <v>3520.49</v>
      </c>
      <c r="O32" s="281"/>
    </row>
    <row r="33" spans="1:15" s="272" customFormat="1" ht="14.25">
      <c r="A33" s="284">
        <v>54404</v>
      </c>
      <c r="B33" s="273" t="s">
        <v>139</v>
      </c>
      <c r="C33" s="305">
        <f>SUM(D33:O33)</f>
        <v>33513</v>
      </c>
      <c r="D33" s="274">
        <v>525</v>
      </c>
      <c r="E33" s="275">
        <v>7368</v>
      </c>
      <c r="F33" s="276">
        <v>8575</v>
      </c>
      <c r="G33" s="274"/>
      <c r="H33" s="278">
        <v>8040</v>
      </c>
      <c r="I33" s="279">
        <v>1035</v>
      </c>
      <c r="J33" s="277">
        <v>945</v>
      </c>
      <c r="K33" s="280">
        <v>1095</v>
      </c>
      <c r="L33" s="279">
        <v>165</v>
      </c>
      <c r="M33" s="277">
        <v>1270</v>
      </c>
      <c r="N33" s="280">
        <v>4255</v>
      </c>
      <c r="O33" s="281">
        <v>240</v>
      </c>
    </row>
    <row r="34" spans="1:15" ht="14.25">
      <c r="B34" s="306" t="s">
        <v>81</v>
      </c>
    </row>
    <row r="35" spans="1:15" s="272" customFormat="1" ht="14.25">
      <c r="A35" s="284">
        <v>54116</v>
      </c>
      <c r="B35" s="273" t="s">
        <v>125</v>
      </c>
      <c r="C35" s="305">
        <f>SUM(D35:O35)</f>
        <v>1000</v>
      </c>
      <c r="D35" s="274">
        <v>0</v>
      </c>
      <c r="E35" s="275">
        <v>180</v>
      </c>
      <c r="F35" s="276">
        <v>40</v>
      </c>
      <c r="G35" s="274">
        <v>168</v>
      </c>
      <c r="H35" s="278">
        <f>+D35*2</f>
        <v>0</v>
      </c>
      <c r="I35" s="279">
        <v>0</v>
      </c>
      <c r="J35" s="277">
        <v>20.58</v>
      </c>
      <c r="K35" s="280">
        <v>60</v>
      </c>
      <c r="L35" s="279">
        <v>133.5</v>
      </c>
      <c r="M35" s="277">
        <v>0</v>
      </c>
      <c r="N35" s="280">
        <v>17.5</v>
      </c>
      <c r="O35" s="281">
        <v>380.42</v>
      </c>
    </row>
    <row r="36" spans="1:15" ht="14.25">
      <c r="B36" s="306" t="s">
        <v>82</v>
      </c>
    </row>
    <row r="37" spans="1:15" s="272" customFormat="1" ht="14.25">
      <c r="A37" s="284">
        <v>54599</v>
      </c>
      <c r="B37" s="273" t="s">
        <v>141</v>
      </c>
      <c r="C37" s="305">
        <f>SUM(D37:O37)</f>
        <v>342115</v>
      </c>
      <c r="D37" s="274">
        <v>6613</v>
      </c>
      <c r="E37" s="275">
        <v>5800</v>
      </c>
      <c r="F37" s="276">
        <f>12208+25000</f>
        <v>37208</v>
      </c>
      <c r="G37" s="274">
        <v>6613</v>
      </c>
      <c r="H37" s="278">
        <v>6613</v>
      </c>
      <c r="I37" s="279">
        <f>52427+25000</f>
        <v>77427</v>
      </c>
      <c r="J37" s="277">
        <v>6613</v>
      </c>
      <c r="K37" s="280">
        <v>1142</v>
      </c>
      <c r="L37" s="279">
        <v>129500</v>
      </c>
      <c r="M37" s="277">
        <f>300+9686+50000</f>
        <v>59986</v>
      </c>
      <c r="N37" s="280">
        <v>2600</v>
      </c>
      <c r="O37" s="281">
        <v>2000</v>
      </c>
    </row>
    <row r="38" spans="1:15" ht="14.25">
      <c r="B38" s="306" t="s">
        <v>83</v>
      </c>
    </row>
    <row r="39" spans="1:15" s="272" customFormat="1" ht="14.25">
      <c r="A39" s="284">
        <v>54101</v>
      </c>
      <c r="B39" s="273" t="s">
        <v>116</v>
      </c>
      <c r="C39" s="305">
        <f t="shared" ref="C39:C52" si="2">SUM(D39:O39)</f>
        <v>350</v>
      </c>
      <c r="D39" s="274">
        <v>0</v>
      </c>
      <c r="E39" s="275">
        <f>9.03+4.95+46.32</f>
        <v>60.3</v>
      </c>
      <c r="F39" s="276">
        <f>8+77.5</f>
        <v>85.5</v>
      </c>
      <c r="G39" s="274">
        <v>0</v>
      </c>
      <c r="H39" s="278">
        <v>4.25</v>
      </c>
      <c r="I39" s="279">
        <v>76.2</v>
      </c>
      <c r="J39" s="277">
        <v>43.2</v>
      </c>
      <c r="K39" s="280">
        <v>0</v>
      </c>
      <c r="L39" s="279">
        <v>0</v>
      </c>
      <c r="M39" s="277">
        <v>0</v>
      </c>
      <c r="N39" s="280">
        <v>80.55</v>
      </c>
      <c r="O39" s="279">
        <v>0</v>
      </c>
    </row>
    <row r="40" spans="1:15" s="272" customFormat="1" ht="14.25">
      <c r="A40" s="284">
        <v>54103</v>
      </c>
      <c r="B40" s="273" t="s">
        <v>117</v>
      </c>
      <c r="C40" s="305">
        <f t="shared" si="2"/>
        <v>279</v>
      </c>
      <c r="D40" s="274">
        <v>0</v>
      </c>
      <c r="E40" s="275">
        <v>0</v>
      </c>
      <c r="F40" s="276">
        <f>+D40*2</f>
        <v>0</v>
      </c>
      <c r="G40" s="274">
        <v>0</v>
      </c>
      <c r="H40" s="278">
        <v>9</v>
      </c>
      <c r="I40" s="279">
        <v>0</v>
      </c>
      <c r="J40" s="277">
        <v>0</v>
      </c>
      <c r="K40" s="280">
        <v>120</v>
      </c>
      <c r="L40" s="279">
        <v>0</v>
      </c>
      <c r="M40" s="277">
        <v>0</v>
      </c>
      <c r="N40" s="280">
        <v>150</v>
      </c>
      <c r="O40" s="279">
        <v>0</v>
      </c>
    </row>
    <row r="41" spans="1:15" s="272" customFormat="1" ht="14.25">
      <c r="A41" s="284">
        <v>54104</v>
      </c>
      <c r="B41" s="273" t="s">
        <v>118</v>
      </c>
      <c r="C41" s="305">
        <f t="shared" si="2"/>
        <v>1056</v>
      </c>
      <c r="D41" s="274">
        <v>0</v>
      </c>
      <c r="E41" s="275">
        <f>135.6+7.4</f>
        <v>143</v>
      </c>
      <c r="F41" s="276">
        <f>+D41*2</f>
        <v>0</v>
      </c>
      <c r="G41" s="274">
        <v>170.3</v>
      </c>
      <c r="H41" s="278">
        <f>+D41*2</f>
        <v>0</v>
      </c>
      <c r="I41" s="279">
        <v>406.95</v>
      </c>
      <c r="J41" s="277">
        <v>59.45</v>
      </c>
      <c r="K41" s="280">
        <v>0</v>
      </c>
      <c r="L41" s="279">
        <v>10</v>
      </c>
      <c r="M41" s="277">
        <v>24.13</v>
      </c>
      <c r="N41" s="280">
        <v>26.62</v>
      </c>
      <c r="O41" s="281">
        <v>215.55</v>
      </c>
    </row>
    <row r="42" spans="1:15" s="272" customFormat="1" ht="14.25">
      <c r="A42" s="284">
        <v>54106</v>
      </c>
      <c r="B42" s="273" t="s">
        <v>166</v>
      </c>
      <c r="C42" s="305">
        <f t="shared" si="2"/>
        <v>1464</v>
      </c>
      <c r="D42" s="274">
        <v>0</v>
      </c>
      <c r="E42" s="275">
        <v>500</v>
      </c>
      <c r="F42" s="276">
        <f>+D42*2</f>
        <v>0</v>
      </c>
      <c r="G42" s="274">
        <v>0</v>
      </c>
      <c r="H42" s="278">
        <v>150</v>
      </c>
      <c r="I42" s="279">
        <v>0</v>
      </c>
      <c r="J42" s="277">
        <v>0</v>
      </c>
      <c r="K42" s="280">
        <v>0</v>
      </c>
      <c r="L42" s="279">
        <v>793.3</v>
      </c>
      <c r="M42" s="277"/>
      <c r="N42" s="280">
        <v>20.7</v>
      </c>
      <c r="O42" s="281"/>
    </row>
    <row r="43" spans="1:15" s="272" customFormat="1" ht="14.25">
      <c r="A43" s="284">
        <v>54107</v>
      </c>
      <c r="B43" s="273" t="s">
        <v>167</v>
      </c>
      <c r="C43" s="305">
        <f t="shared" si="2"/>
        <v>706</v>
      </c>
      <c r="D43" s="274">
        <v>37.950000000000003</v>
      </c>
      <c r="E43" s="275">
        <v>64.400000000000006</v>
      </c>
      <c r="F43" s="276">
        <v>28</v>
      </c>
      <c r="G43" s="274">
        <v>0</v>
      </c>
      <c r="H43" s="278">
        <v>52</v>
      </c>
      <c r="I43" s="279">
        <v>0</v>
      </c>
      <c r="J43" s="277">
        <v>34</v>
      </c>
      <c r="K43" s="280">
        <v>0</v>
      </c>
      <c r="L43" s="279">
        <v>153.63</v>
      </c>
      <c r="M43" s="277">
        <v>37.020000000000003</v>
      </c>
      <c r="N43" s="280">
        <v>191.03</v>
      </c>
      <c r="O43" s="281">
        <v>107.97</v>
      </c>
    </row>
    <row r="44" spans="1:15" s="272" customFormat="1" ht="14.25">
      <c r="A44" s="284">
        <v>54108</v>
      </c>
      <c r="B44" s="273" t="s">
        <v>120</v>
      </c>
      <c r="C44" s="305">
        <f t="shared" si="2"/>
        <v>52</v>
      </c>
      <c r="D44" s="274">
        <v>0</v>
      </c>
      <c r="E44" s="275">
        <v>12</v>
      </c>
      <c r="F44" s="276">
        <v>24</v>
      </c>
      <c r="G44" s="274">
        <v>0</v>
      </c>
      <c r="H44" s="278">
        <f>+D44*2</f>
        <v>0</v>
      </c>
      <c r="I44" s="279">
        <v>0</v>
      </c>
      <c r="J44" s="277">
        <v>0</v>
      </c>
      <c r="K44" s="280">
        <v>16</v>
      </c>
      <c r="L44" s="279">
        <v>0</v>
      </c>
      <c r="M44" s="277">
        <v>0</v>
      </c>
      <c r="N44" s="280">
        <v>0</v>
      </c>
      <c r="O44" s="279">
        <v>0</v>
      </c>
    </row>
    <row r="45" spans="1:15" s="272" customFormat="1" ht="14.25">
      <c r="A45" s="284">
        <v>54109</v>
      </c>
      <c r="B45" s="273" t="s">
        <v>121</v>
      </c>
      <c r="C45" s="305">
        <f t="shared" si="2"/>
        <v>1094</v>
      </c>
      <c r="D45" s="274">
        <v>0</v>
      </c>
      <c r="E45" s="275">
        <v>797</v>
      </c>
      <c r="F45" s="276">
        <f>+D45*2</f>
        <v>0</v>
      </c>
      <c r="G45" s="274">
        <v>0</v>
      </c>
      <c r="H45" s="278">
        <v>0</v>
      </c>
      <c r="I45" s="279">
        <v>297</v>
      </c>
      <c r="J45" s="277">
        <v>0</v>
      </c>
      <c r="K45" s="280">
        <v>0</v>
      </c>
      <c r="L45" s="279">
        <v>0</v>
      </c>
      <c r="M45" s="277">
        <v>0</v>
      </c>
      <c r="N45" s="280">
        <v>0</v>
      </c>
      <c r="O45" s="281">
        <v>0</v>
      </c>
    </row>
    <row r="46" spans="1:15" s="272" customFormat="1" ht="14.25">
      <c r="A46" s="284">
        <v>54110</v>
      </c>
      <c r="B46" s="273" t="s">
        <v>122</v>
      </c>
      <c r="C46" s="305">
        <f t="shared" si="2"/>
        <v>6821</v>
      </c>
      <c r="D46" s="274">
        <v>0</v>
      </c>
      <c r="E46" s="275"/>
      <c r="F46" s="276">
        <v>1714</v>
      </c>
      <c r="G46" s="274">
        <v>0</v>
      </c>
      <c r="H46" s="278">
        <v>1695</v>
      </c>
      <c r="I46" s="279">
        <v>0</v>
      </c>
      <c r="J46" s="277">
        <v>0</v>
      </c>
      <c r="K46" s="280">
        <v>1695</v>
      </c>
      <c r="L46" s="279">
        <v>2.9</v>
      </c>
      <c r="M46" s="277">
        <v>0</v>
      </c>
      <c r="N46" s="280">
        <v>1714.1</v>
      </c>
      <c r="O46" s="279">
        <v>0</v>
      </c>
    </row>
    <row r="47" spans="1:15" s="272" customFormat="1" ht="14.25">
      <c r="A47" s="284">
        <v>54111</v>
      </c>
      <c r="B47" s="273" t="s">
        <v>180</v>
      </c>
      <c r="C47" s="305">
        <f t="shared" si="2"/>
        <v>215</v>
      </c>
      <c r="D47" s="274">
        <v>0</v>
      </c>
      <c r="E47" s="275">
        <v>0</v>
      </c>
      <c r="F47" s="276">
        <f>+D47*2</f>
        <v>0</v>
      </c>
      <c r="G47" s="274">
        <v>0</v>
      </c>
      <c r="H47" s="280">
        <v>0</v>
      </c>
      <c r="I47" s="279">
        <v>0</v>
      </c>
      <c r="J47" s="277">
        <v>0</v>
      </c>
      <c r="K47" s="280">
        <v>0</v>
      </c>
      <c r="L47" s="279">
        <v>199</v>
      </c>
      <c r="M47" s="277">
        <v>0</v>
      </c>
      <c r="N47" s="280">
        <v>0</v>
      </c>
      <c r="O47" s="281">
        <v>16</v>
      </c>
    </row>
    <row r="48" spans="1:15" s="272" customFormat="1" ht="14.25">
      <c r="A48" s="284">
        <v>54112</v>
      </c>
      <c r="B48" s="273" t="s">
        <v>168</v>
      </c>
      <c r="C48" s="305">
        <f t="shared" si="2"/>
        <v>128</v>
      </c>
      <c r="D48" s="274">
        <v>0</v>
      </c>
      <c r="E48" s="275">
        <v>59</v>
      </c>
      <c r="F48" s="276">
        <v>7.8</v>
      </c>
      <c r="G48" s="274">
        <v>0</v>
      </c>
      <c r="H48" s="280">
        <v>0</v>
      </c>
      <c r="I48" s="279">
        <v>0</v>
      </c>
      <c r="J48" s="277">
        <v>54</v>
      </c>
      <c r="K48" s="280">
        <v>0</v>
      </c>
      <c r="L48" s="279">
        <v>0</v>
      </c>
      <c r="M48" s="277">
        <v>3</v>
      </c>
      <c r="N48" s="280">
        <v>4.2</v>
      </c>
      <c r="O48" s="279">
        <v>0</v>
      </c>
    </row>
    <row r="49" spans="1:15" s="272" customFormat="1" ht="14.25">
      <c r="A49" s="284">
        <v>54115</v>
      </c>
      <c r="B49" s="273" t="s">
        <v>124</v>
      </c>
      <c r="C49" s="305">
        <f t="shared" si="2"/>
        <v>3978</v>
      </c>
      <c r="D49" s="274">
        <v>0</v>
      </c>
      <c r="E49" s="275">
        <v>446.5</v>
      </c>
      <c r="F49" s="276">
        <v>147.5</v>
      </c>
      <c r="G49" s="274">
        <v>0</v>
      </c>
      <c r="H49" s="278">
        <v>54.5</v>
      </c>
      <c r="I49" s="279">
        <v>309.39</v>
      </c>
      <c r="J49" s="277">
        <v>44.74</v>
      </c>
      <c r="K49" s="280">
        <v>240.06</v>
      </c>
      <c r="L49" s="279">
        <v>53.4</v>
      </c>
      <c r="M49" s="277">
        <v>217.7</v>
      </c>
      <c r="N49" s="280">
        <v>1124.47</v>
      </c>
      <c r="O49" s="281">
        <v>1339.74</v>
      </c>
    </row>
    <row r="50" spans="1:15" s="272" customFormat="1" ht="14.25">
      <c r="A50" s="284">
        <v>54118</v>
      </c>
      <c r="B50" s="273" t="s">
        <v>70</v>
      </c>
      <c r="C50" s="305">
        <f t="shared" si="2"/>
        <v>727</v>
      </c>
      <c r="D50" s="274">
        <v>0</v>
      </c>
      <c r="E50" s="275">
        <v>0</v>
      </c>
      <c r="F50" s="276">
        <v>522</v>
      </c>
      <c r="G50" s="274">
        <v>0</v>
      </c>
      <c r="H50" s="280">
        <v>0</v>
      </c>
      <c r="I50" s="279">
        <v>0</v>
      </c>
      <c r="J50" s="277">
        <v>31</v>
      </c>
      <c r="K50" s="280">
        <v>166</v>
      </c>
      <c r="L50" s="279">
        <v>0</v>
      </c>
      <c r="M50" s="277"/>
      <c r="N50" s="280"/>
      <c r="O50" s="281">
        <v>8</v>
      </c>
    </row>
    <row r="51" spans="1:15" s="272" customFormat="1" ht="14.25">
      <c r="A51" s="284">
        <v>54119</v>
      </c>
      <c r="B51" s="273" t="s">
        <v>126</v>
      </c>
      <c r="C51" s="305">
        <f t="shared" si="2"/>
        <v>300</v>
      </c>
      <c r="D51" s="274">
        <v>93</v>
      </c>
      <c r="E51" s="275">
        <v>30</v>
      </c>
      <c r="F51" s="276">
        <v>9.6</v>
      </c>
      <c r="G51" s="274"/>
      <c r="H51" s="278">
        <v>26</v>
      </c>
      <c r="I51" s="279">
        <v>126</v>
      </c>
      <c r="J51" s="277">
        <v>11</v>
      </c>
      <c r="K51" s="280">
        <v>4.4000000000000004</v>
      </c>
      <c r="L51" s="279">
        <v>0</v>
      </c>
      <c r="M51" s="277"/>
      <c r="N51" s="280"/>
      <c r="O51" s="281"/>
    </row>
    <row r="52" spans="1:15" s="272" customFormat="1" ht="14.25">
      <c r="A52" s="284">
        <v>54199</v>
      </c>
      <c r="B52" s="273" t="s">
        <v>127</v>
      </c>
      <c r="C52" s="305">
        <f t="shared" si="2"/>
        <v>3459</v>
      </c>
      <c r="D52" s="274">
        <v>0</v>
      </c>
      <c r="E52" s="275">
        <v>963.5</v>
      </c>
      <c r="F52" s="276">
        <v>113</v>
      </c>
      <c r="G52" s="274">
        <v>16</v>
      </c>
      <c r="H52" s="278">
        <v>113.5</v>
      </c>
      <c r="I52" s="279">
        <v>18.5</v>
      </c>
      <c r="J52" s="277">
        <v>42.5</v>
      </c>
      <c r="K52" s="280">
        <v>85</v>
      </c>
      <c r="L52" s="279">
        <v>169</v>
      </c>
      <c r="M52" s="277">
        <v>516</v>
      </c>
      <c r="N52" s="280">
        <v>91</v>
      </c>
      <c r="O52" s="281">
        <v>1331</v>
      </c>
    </row>
    <row r="53" spans="1:15" s="272" customFormat="1" ht="14.25">
      <c r="A53" s="284"/>
      <c r="B53" s="273"/>
      <c r="C53" s="305"/>
      <c r="D53" s="274"/>
      <c r="E53" s="275"/>
      <c r="F53" s="276"/>
      <c r="G53" s="274"/>
      <c r="H53" s="278"/>
      <c r="I53" s="279"/>
      <c r="J53" s="277"/>
      <c r="K53" s="280"/>
      <c r="L53" s="279"/>
      <c r="M53" s="277"/>
      <c r="N53" s="280"/>
      <c r="O53" s="281"/>
    </row>
    <row r="54" spans="1:15" s="272" customFormat="1" ht="14.25">
      <c r="A54" s="284">
        <v>54204</v>
      </c>
      <c r="B54" s="273" t="s">
        <v>129</v>
      </c>
      <c r="C54" s="305">
        <f>SUM(D54:O54)</f>
        <v>571</v>
      </c>
      <c r="D54" s="274">
        <v>0</v>
      </c>
      <c r="E54" s="275">
        <v>219</v>
      </c>
      <c r="F54" s="276">
        <v>129</v>
      </c>
      <c r="G54" s="274">
        <v>0</v>
      </c>
      <c r="H54" s="280">
        <v>0</v>
      </c>
      <c r="I54" s="279">
        <v>0</v>
      </c>
      <c r="J54" s="277">
        <v>63</v>
      </c>
      <c r="K54" s="280">
        <v>155</v>
      </c>
      <c r="L54" s="279">
        <v>0</v>
      </c>
      <c r="M54" s="277"/>
      <c r="N54" s="280">
        <v>5</v>
      </c>
      <c r="O54" s="281"/>
    </row>
    <row r="55" spans="1:15" s="272" customFormat="1" ht="14.25">
      <c r="A55" s="284"/>
      <c r="B55" s="273"/>
      <c r="C55" s="305"/>
      <c r="D55" s="274"/>
      <c r="E55" s="275"/>
      <c r="F55" s="276"/>
      <c r="G55" s="274"/>
      <c r="H55" s="278"/>
      <c r="I55" s="279"/>
      <c r="J55" s="277"/>
      <c r="K55" s="280"/>
      <c r="L55" s="279"/>
      <c r="M55" s="277"/>
      <c r="N55" s="280"/>
      <c r="O55" s="281"/>
    </row>
    <row r="56" spans="1:15" s="272" customFormat="1" ht="14.25">
      <c r="A56" s="284">
        <v>54301</v>
      </c>
      <c r="B56" s="273" t="s">
        <v>247</v>
      </c>
      <c r="C56" s="305">
        <f>SUM(D56:O56)</f>
        <v>859</v>
      </c>
      <c r="D56" s="274">
        <v>0</v>
      </c>
      <c r="E56" s="275">
        <v>0</v>
      </c>
      <c r="F56" s="276">
        <v>256</v>
      </c>
      <c r="G56" s="274">
        <v>500</v>
      </c>
      <c r="H56" s="278">
        <v>103</v>
      </c>
      <c r="I56" s="279">
        <v>0</v>
      </c>
      <c r="J56" s="277">
        <v>0</v>
      </c>
      <c r="K56" s="280">
        <v>0</v>
      </c>
      <c r="L56" s="279">
        <v>0</v>
      </c>
      <c r="M56" s="277"/>
      <c r="N56" s="280"/>
      <c r="O56" s="281"/>
    </row>
    <row r="57" spans="1:15" s="272" customFormat="1" ht="14.25">
      <c r="A57" s="284">
        <v>54302</v>
      </c>
      <c r="B57" s="273" t="s">
        <v>170</v>
      </c>
      <c r="C57" s="305">
        <f>SUM(D57:O57)</f>
        <v>4004</v>
      </c>
      <c r="D57" s="274">
        <v>687.25</v>
      </c>
      <c r="E57" s="275">
        <v>367.8</v>
      </c>
      <c r="F57" s="276">
        <v>1218.23</v>
      </c>
      <c r="G57" s="274">
        <v>481.38</v>
      </c>
      <c r="H57" s="278">
        <v>246.34</v>
      </c>
      <c r="I57" s="279">
        <v>652</v>
      </c>
      <c r="J57" s="277"/>
      <c r="K57" s="280">
        <v>80</v>
      </c>
      <c r="L57" s="279">
        <v>0</v>
      </c>
      <c r="M57" s="277">
        <v>241</v>
      </c>
      <c r="N57" s="280"/>
      <c r="O57" s="281">
        <v>30</v>
      </c>
    </row>
    <row r="58" spans="1:15" s="272" customFormat="1" ht="14.25">
      <c r="A58" s="284">
        <v>54303</v>
      </c>
      <c r="B58" s="273" t="s">
        <v>171</v>
      </c>
      <c r="C58" s="305">
        <f>SUM(D58:O58)</f>
        <v>0</v>
      </c>
      <c r="D58" s="274">
        <v>0</v>
      </c>
      <c r="E58" s="275">
        <v>0</v>
      </c>
      <c r="F58" s="276">
        <v>0</v>
      </c>
      <c r="G58" s="274">
        <v>0</v>
      </c>
      <c r="H58" s="280">
        <v>0</v>
      </c>
      <c r="I58" s="279">
        <v>0</v>
      </c>
      <c r="J58" s="277">
        <v>0</v>
      </c>
      <c r="K58" s="280">
        <v>0</v>
      </c>
      <c r="L58" s="279">
        <v>0</v>
      </c>
      <c r="M58" s="277"/>
      <c r="N58" s="280"/>
      <c r="O58" s="281"/>
    </row>
    <row r="59" spans="1:15" s="272" customFormat="1" ht="14.25">
      <c r="A59" s="284">
        <v>54304</v>
      </c>
      <c r="B59" s="273" t="s">
        <v>130</v>
      </c>
      <c r="C59" s="305">
        <f>SUM(D59:O59)</f>
        <v>45</v>
      </c>
      <c r="D59" s="274">
        <v>0</v>
      </c>
      <c r="E59" s="275">
        <v>0</v>
      </c>
      <c r="F59" s="276">
        <v>45</v>
      </c>
      <c r="G59" s="274">
        <v>0</v>
      </c>
      <c r="H59" s="280">
        <v>0</v>
      </c>
      <c r="I59" s="279">
        <v>0</v>
      </c>
      <c r="J59" s="277"/>
      <c r="K59" s="280"/>
      <c r="L59" s="279"/>
      <c r="M59" s="277"/>
      <c r="N59" s="280"/>
      <c r="O59" s="281"/>
    </row>
    <row r="60" spans="1:15" s="272" customFormat="1" ht="14.25">
      <c r="A60" s="284">
        <v>54316</v>
      </c>
      <c r="B60" s="273" t="s">
        <v>179</v>
      </c>
      <c r="C60" s="305">
        <f>SUM(D60:O60)</f>
        <v>4702</v>
      </c>
      <c r="D60" s="274">
        <v>0</v>
      </c>
      <c r="E60" s="275">
        <v>135.6</v>
      </c>
      <c r="F60" s="276">
        <v>0</v>
      </c>
      <c r="G60" s="274">
        <v>0</v>
      </c>
      <c r="H60" s="280">
        <v>0</v>
      </c>
      <c r="I60" s="279">
        <v>0</v>
      </c>
      <c r="J60" s="277">
        <v>0</v>
      </c>
      <c r="K60" s="280">
        <v>4248</v>
      </c>
      <c r="L60" s="279">
        <v>0</v>
      </c>
      <c r="M60" s="277"/>
      <c r="N60" s="280">
        <v>318.39999999999998</v>
      </c>
      <c r="O60" s="281"/>
    </row>
    <row r="61" spans="1:15" s="272" customFormat="1" ht="14.25">
      <c r="A61" s="284">
        <v>54399</v>
      </c>
      <c r="B61" s="273" t="s">
        <v>172</v>
      </c>
      <c r="C61" s="305">
        <f>SUM(D61:O63)</f>
        <v>42490.999999999993</v>
      </c>
      <c r="D61" s="274">
        <v>1305.08</v>
      </c>
      <c r="E61" s="275">
        <v>9338.2999999999993</v>
      </c>
      <c r="F61" s="276">
        <v>5118</v>
      </c>
      <c r="G61" s="274">
        <v>250</v>
      </c>
      <c r="H61" s="278">
        <v>301.49</v>
      </c>
      <c r="I61" s="279">
        <v>1901</v>
      </c>
      <c r="J61" s="277">
        <v>150</v>
      </c>
      <c r="K61" s="280">
        <v>8194.5499999999993</v>
      </c>
      <c r="L61" s="279">
        <v>5901</v>
      </c>
      <c r="M61" s="277">
        <v>96.05</v>
      </c>
      <c r="N61" s="280">
        <v>4048.22</v>
      </c>
      <c r="O61" s="281">
        <v>3355.91</v>
      </c>
    </row>
    <row r="62" spans="1:15">
      <c r="B62" s="307" t="s">
        <v>169</v>
      </c>
      <c r="D62" s="318">
        <v>1331.4</v>
      </c>
    </row>
    <row r="63" spans="1:15">
      <c r="B63" s="307" t="s">
        <v>173</v>
      </c>
      <c r="D63" s="318">
        <f>200*4</f>
        <v>800</v>
      </c>
      <c r="E63" s="318">
        <v>400</v>
      </c>
    </row>
    <row r="64" spans="1:15" s="272" customFormat="1" ht="14.25">
      <c r="A64" s="284">
        <v>54401</v>
      </c>
      <c r="B64" s="273" t="s">
        <v>174</v>
      </c>
      <c r="C64" s="305">
        <f>SUM(D64:O64)</f>
        <v>0</v>
      </c>
      <c r="D64" s="274">
        <v>0</v>
      </c>
      <c r="E64" s="275">
        <v>0</v>
      </c>
      <c r="F64" s="276">
        <v>0</v>
      </c>
      <c r="G64" s="274">
        <v>0</v>
      </c>
      <c r="H64" s="280">
        <v>0</v>
      </c>
      <c r="I64" s="279">
        <v>0</v>
      </c>
      <c r="J64" s="277">
        <v>0</v>
      </c>
      <c r="K64" s="280">
        <v>0</v>
      </c>
      <c r="L64" s="279">
        <v>0</v>
      </c>
      <c r="M64" s="277"/>
      <c r="N64" s="280"/>
      <c r="O64" s="281"/>
    </row>
    <row r="65" spans="1:17" s="272" customFormat="1" ht="14.25">
      <c r="A65" s="284">
        <v>54403</v>
      </c>
      <c r="B65" s="273" t="s">
        <v>175</v>
      </c>
      <c r="C65" s="305">
        <f>SUM(D65:O65)</f>
        <v>96</v>
      </c>
      <c r="D65" s="274">
        <v>0</v>
      </c>
      <c r="E65" s="275">
        <v>55</v>
      </c>
      <c r="F65" s="276">
        <v>21</v>
      </c>
      <c r="G65" s="274"/>
      <c r="H65" s="278">
        <v>7</v>
      </c>
      <c r="I65" s="279">
        <v>5</v>
      </c>
      <c r="J65" s="277">
        <v>0</v>
      </c>
      <c r="K65" s="280">
        <v>0</v>
      </c>
      <c r="L65" s="279">
        <v>0</v>
      </c>
      <c r="M65" s="277">
        <v>5</v>
      </c>
      <c r="N65" s="280">
        <v>3</v>
      </c>
      <c r="O65" s="281"/>
    </row>
    <row r="67" spans="1:17" s="272" customFormat="1" ht="14.25">
      <c r="A67" s="284">
        <v>54504</v>
      </c>
      <c r="B67" s="273" t="s">
        <v>136</v>
      </c>
      <c r="C67" s="305">
        <f>SUM(D67:O67)</f>
        <v>2600</v>
      </c>
      <c r="D67" s="274">
        <v>0</v>
      </c>
      <c r="E67" s="275">
        <v>0</v>
      </c>
      <c r="F67" s="276">
        <v>0</v>
      </c>
      <c r="G67" s="274">
        <v>0</v>
      </c>
      <c r="H67" s="280">
        <v>0</v>
      </c>
      <c r="I67" s="279">
        <v>0</v>
      </c>
      <c r="J67" s="277">
        <v>0</v>
      </c>
      <c r="K67" s="280">
        <v>0</v>
      </c>
      <c r="L67" s="279">
        <v>0</v>
      </c>
      <c r="M67" s="277"/>
      <c r="N67" s="280">
        <v>2600</v>
      </c>
      <c r="O67" s="281"/>
    </row>
    <row r="68" spans="1:17" s="272" customFormat="1" ht="14.25">
      <c r="A68" s="284">
        <v>54505</v>
      </c>
      <c r="B68" s="273" t="s">
        <v>140</v>
      </c>
      <c r="C68" s="305">
        <f>SUM(D68:O68)</f>
        <v>2821</v>
      </c>
      <c r="D68" s="274">
        <v>0</v>
      </c>
      <c r="E68" s="275">
        <v>472</v>
      </c>
      <c r="F68" s="276">
        <v>102</v>
      </c>
      <c r="G68" s="274"/>
      <c r="H68" s="278">
        <v>135</v>
      </c>
      <c r="I68" s="279"/>
      <c r="J68" s="277">
        <v>0</v>
      </c>
      <c r="K68" s="280">
        <v>0</v>
      </c>
      <c r="L68" s="279">
        <v>0</v>
      </c>
      <c r="M68" s="277">
        <v>2112</v>
      </c>
      <c r="N68" s="280"/>
      <c r="O68" s="281"/>
    </row>
    <row r="69" spans="1:17" s="272" customFormat="1" ht="14.25">
      <c r="A69" s="284">
        <v>54599</v>
      </c>
      <c r="B69" s="273" t="s">
        <v>141</v>
      </c>
      <c r="C69" s="305">
        <f>SUM(D69:O69)</f>
        <v>0</v>
      </c>
      <c r="D69" s="274">
        <v>0</v>
      </c>
      <c r="E69" s="275">
        <v>0</v>
      </c>
      <c r="F69" s="276">
        <v>0</v>
      </c>
      <c r="G69" s="274">
        <v>0</v>
      </c>
      <c r="H69" s="280">
        <v>0</v>
      </c>
      <c r="I69" s="279">
        <v>0</v>
      </c>
      <c r="J69" s="277">
        <v>0</v>
      </c>
      <c r="K69" s="280">
        <v>0</v>
      </c>
      <c r="L69" s="279">
        <v>0</v>
      </c>
      <c r="M69" s="277"/>
      <c r="N69" s="280"/>
      <c r="O69" s="281"/>
    </row>
    <row r="71" spans="1:17" ht="14.25">
      <c r="B71" s="306" t="s">
        <v>176</v>
      </c>
      <c r="M71" s="272"/>
      <c r="N71" s="265"/>
      <c r="O71" s="272"/>
    </row>
    <row r="72" spans="1:17" s="272" customFormat="1" ht="14.25">
      <c r="A72" s="284">
        <v>54101</v>
      </c>
      <c r="B72" s="273" t="s">
        <v>244</v>
      </c>
      <c r="C72" s="308">
        <f>SUM(D72:O72)</f>
        <v>1256</v>
      </c>
      <c r="D72" s="274">
        <f>39.9+100.7</f>
        <v>140.6</v>
      </c>
      <c r="E72" s="275">
        <v>102.6</v>
      </c>
      <c r="F72" s="276">
        <v>72</v>
      </c>
      <c r="G72" s="274">
        <v>130.4</v>
      </c>
      <c r="H72" s="278">
        <v>75</v>
      </c>
      <c r="I72" s="279">
        <v>75</v>
      </c>
      <c r="J72" s="277">
        <v>113</v>
      </c>
      <c r="K72" s="280">
        <v>108</v>
      </c>
      <c r="L72" s="279">
        <v>95.5</v>
      </c>
      <c r="M72" s="313">
        <v>87.4</v>
      </c>
      <c r="N72" s="313">
        <v>114</v>
      </c>
      <c r="O72" s="313">
        <v>142.5</v>
      </c>
    </row>
    <row r="73" spans="1:17" s="272" customFormat="1" ht="14.25">
      <c r="A73" s="284">
        <v>54103</v>
      </c>
      <c r="B73" s="273" t="s">
        <v>243</v>
      </c>
      <c r="C73" s="308">
        <f>SUM(D73:O73)</f>
        <v>151</v>
      </c>
      <c r="D73" s="274">
        <f>9.5+3</f>
        <v>12.5</v>
      </c>
      <c r="E73" s="275">
        <f>9+8.5</f>
        <v>17.5</v>
      </c>
      <c r="F73" s="276">
        <v>10</v>
      </c>
      <c r="G73" s="274">
        <f>10.5+5+3</f>
        <v>18.5</v>
      </c>
      <c r="H73" s="312">
        <v>12</v>
      </c>
      <c r="I73" s="279">
        <v>8.5</v>
      </c>
      <c r="J73" s="277">
        <v>5</v>
      </c>
      <c r="K73" s="280">
        <f>4.5+9</f>
        <v>13.5</v>
      </c>
      <c r="L73" s="279">
        <v>9.5</v>
      </c>
      <c r="M73" s="277">
        <f>12+7.5</f>
        <v>19.5</v>
      </c>
      <c r="N73" s="280">
        <v>15.5</v>
      </c>
      <c r="O73" s="281">
        <v>9</v>
      </c>
    </row>
    <row r="74" spans="1:17" s="272" customFormat="1" ht="14.25">
      <c r="A74" s="284">
        <v>54201</v>
      </c>
      <c r="B74" s="273" t="s">
        <v>241</v>
      </c>
      <c r="C74" s="308">
        <f>SUM(D74:O74)</f>
        <v>9212</v>
      </c>
      <c r="D74" s="274">
        <v>747.5</v>
      </c>
      <c r="E74" s="275">
        <v>750</v>
      </c>
      <c r="F74" s="276">
        <v>766</v>
      </c>
      <c r="G74" s="274">
        <v>728</v>
      </c>
      <c r="H74" s="280">
        <v>708</v>
      </c>
      <c r="I74" s="279">
        <v>802.5</v>
      </c>
      <c r="J74" s="277">
        <v>792</v>
      </c>
      <c r="K74" s="280">
        <v>776</v>
      </c>
      <c r="L74" s="279">
        <v>690</v>
      </c>
      <c r="M74" s="277">
        <v>743</v>
      </c>
      <c r="N74" s="280">
        <v>863</v>
      </c>
      <c r="O74" s="281">
        <v>846</v>
      </c>
    </row>
    <row r="75" spans="1:17" s="272" customFormat="1" ht="14.25">
      <c r="A75" s="284">
        <v>54202</v>
      </c>
      <c r="B75" s="273" t="s">
        <v>245</v>
      </c>
      <c r="C75" s="308">
        <f>SUM(D75:O75)</f>
        <v>389.00000000000006</v>
      </c>
      <c r="D75" s="274">
        <v>28.6</v>
      </c>
      <c r="E75" s="275">
        <v>41</v>
      </c>
      <c r="F75" s="276">
        <v>37.200000000000003</v>
      </c>
      <c r="G75" s="274">
        <v>28.5</v>
      </c>
      <c r="H75" s="278">
        <v>25.3</v>
      </c>
      <c r="I75" s="279">
        <v>30.8</v>
      </c>
      <c r="J75" s="277">
        <v>22</v>
      </c>
      <c r="K75" s="280">
        <f>44.2+6.2</f>
        <v>50.400000000000006</v>
      </c>
      <c r="L75" s="279">
        <v>25.3</v>
      </c>
      <c r="M75" s="277">
        <v>33</v>
      </c>
      <c r="N75" s="280">
        <v>37.200000000000003</v>
      </c>
      <c r="O75" s="281">
        <v>29.7</v>
      </c>
    </row>
    <row r="76" spans="1:17" s="272" customFormat="1" ht="14.25">
      <c r="A76" s="284">
        <v>54203</v>
      </c>
      <c r="B76" s="273" t="s">
        <v>128</v>
      </c>
      <c r="C76" s="308">
        <f>SUM(D77:O80)</f>
        <v>34398.998999999996</v>
      </c>
      <c r="D76" s="274"/>
      <c r="E76" s="275">
        <f>+D76</f>
        <v>0</v>
      </c>
      <c r="F76" s="276">
        <f>+D76</f>
        <v>0</v>
      </c>
      <c r="G76" s="274">
        <f>+D76</f>
        <v>0</v>
      </c>
      <c r="H76" s="278"/>
      <c r="I76" s="279"/>
      <c r="J76" s="277"/>
      <c r="K76" s="280"/>
      <c r="L76" s="279"/>
      <c r="M76" s="277"/>
      <c r="N76" s="280"/>
      <c r="O76" s="281"/>
    </row>
    <row r="77" spans="1:17" s="309" customFormat="1" ht="12">
      <c r="B77" s="310" t="s">
        <v>238</v>
      </c>
      <c r="D77" s="314">
        <v>1017</v>
      </c>
      <c r="E77" s="275">
        <f>+D77</f>
        <v>1017</v>
      </c>
      <c r="F77" s="276">
        <f>+D77</f>
        <v>1017</v>
      </c>
      <c r="G77" s="274">
        <f>+D77</f>
        <v>1017</v>
      </c>
      <c r="H77" s="312">
        <f>+D77</f>
        <v>1017</v>
      </c>
      <c r="I77" s="276">
        <f>+D77</f>
        <v>1017</v>
      </c>
      <c r="J77" s="274">
        <f>+D77</f>
        <v>1017</v>
      </c>
      <c r="K77" s="275">
        <f>+D77</f>
        <v>1017</v>
      </c>
      <c r="L77" s="276">
        <f>+D77</f>
        <v>1017</v>
      </c>
      <c r="M77" s="274">
        <f>+D77</f>
        <v>1017</v>
      </c>
      <c r="N77" s="275">
        <f>+D77</f>
        <v>1017</v>
      </c>
      <c r="O77" s="315">
        <f>+D77</f>
        <v>1017</v>
      </c>
    </row>
    <row r="78" spans="1:17" s="309" customFormat="1" ht="12">
      <c r="B78" s="310" t="s">
        <v>251</v>
      </c>
      <c r="D78" s="314">
        <v>221.5</v>
      </c>
      <c r="E78" s="275">
        <f>+D78</f>
        <v>221.5</v>
      </c>
      <c r="F78" s="276">
        <f>+D78</f>
        <v>221.5</v>
      </c>
      <c r="G78" s="274">
        <f>+D78</f>
        <v>221.5</v>
      </c>
      <c r="H78" s="312">
        <f>+D78</f>
        <v>221.5</v>
      </c>
      <c r="I78" s="276">
        <f>+D78</f>
        <v>221.5</v>
      </c>
      <c r="J78" s="274">
        <f>+D78</f>
        <v>221.5</v>
      </c>
      <c r="K78" s="275">
        <f>+D78</f>
        <v>221.5</v>
      </c>
      <c r="L78" s="276">
        <f>+D78</f>
        <v>221.5</v>
      </c>
      <c r="M78" s="274">
        <f>+D78</f>
        <v>221.5</v>
      </c>
      <c r="N78" s="275">
        <f>+D78</f>
        <v>221.5</v>
      </c>
      <c r="O78" s="315">
        <f>+D78</f>
        <v>221.5</v>
      </c>
    </row>
    <row r="79" spans="1:17" ht="12">
      <c r="B79" s="310" t="s">
        <v>242</v>
      </c>
      <c r="C79" s="309"/>
      <c r="D79" s="314">
        <v>1899</v>
      </c>
      <c r="E79" s="314">
        <v>2133</v>
      </c>
      <c r="F79" s="314">
        <v>2018</v>
      </c>
      <c r="G79" s="314">
        <v>2029</v>
      </c>
      <c r="H79" s="314">
        <v>1849.499</v>
      </c>
      <c r="I79" s="314">
        <v>1252</v>
      </c>
      <c r="J79" s="314">
        <v>802</v>
      </c>
      <c r="K79" s="314">
        <v>1275</v>
      </c>
      <c r="L79" s="314">
        <v>888.4</v>
      </c>
      <c r="M79" s="314">
        <v>881</v>
      </c>
      <c r="N79" s="314">
        <f>340.5+902</f>
        <v>1242.5</v>
      </c>
      <c r="O79" s="314">
        <v>1143.5999999999999</v>
      </c>
      <c r="P79" s="309"/>
      <c r="Q79" s="309"/>
    </row>
    <row r="80" spans="1:17" s="309" customFormat="1" ht="12">
      <c r="B80" s="310" t="s">
        <v>239</v>
      </c>
      <c r="D80" s="314">
        <v>177</v>
      </c>
      <c r="E80" s="275">
        <f t="shared" ref="E80:E86" si="3">+D80</f>
        <v>177</v>
      </c>
      <c r="F80" s="276">
        <f t="shared" ref="F80:F86" si="4">+D80</f>
        <v>177</v>
      </c>
      <c r="G80" s="274">
        <f>+D80</f>
        <v>177</v>
      </c>
      <c r="H80" s="312">
        <f t="shared" ref="H80:H86" si="5">+D80</f>
        <v>177</v>
      </c>
      <c r="I80" s="276">
        <f t="shared" ref="I80:I86" si="6">+D80</f>
        <v>177</v>
      </c>
      <c r="J80" s="274">
        <f t="shared" ref="J80:J86" si="7">+D80</f>
        <v>177</v>
      </c>
      <c r="K80" s="275">
        <f t="shared" ref="K80:K86" si="8">+D80</f>
        <v>177</v>
      </c>
      <c r="L80" s="276">
        <f t="shared" ref="L80:L86" si="9">+D80</f>
        <v>177</v>
      </c>
      <c r="M80" s="274">
        <f>+D80</f>
        <v>177</v>
      </c>
      <c r="N80" s="275">
        <f>+D80</f>
        <v>177</v>
      </c>
      <c r="O80" s="315">
        <f>+D80</f>
        <v>177</v>
      </c>
    </row>
    <row r="81" spans="1:15" s="272" customFormat="1" ht="14.25">
      <c r="A81" s="284">
        <v>54301</v>
      </c>
      <c r="B81" s="273" t="s">
        <v>236</v>
      </c>
      <c r="C81" s="308">
        <f>SUM(D81:O81)</f>
        <v>8812</v>
      </c>
      <c r="D81" s="274">
        <f>201+450</f>
        <v>651</v>
      </c>
      <c r="E81" s="275">
        <f t="shared" si="3"/>
        <v>651</v>
      </c>
      <c r="F81" s="276">
        <f t="shared" si="4"/>
        <v>651</v>
      </c>
      <c r="G81" s="329">
        <f>+D81+500</f>
        <v>1151</v>
      </c>
      <c r="H81" s="312">
        <f t="shared" si="5"/>
        <v>651</v>
      </c>
      <c r="I81" s="276">
        <f t="shared" si="6"/>
        <v>651</v>
      </c>
      <c r="J81" s="274">
        <f t="shared" si="7"/>
        <v>651</v>
      </c>
      <c r="K81" s="275">
        <f t="shared" si="8"/>
        <v>651</v>
      </c>
      <c r="L81" s="276">
        <f t="shared" si="9"/>
        <v>651</v>
      </c>
      <c r="M81" s="329">
        <f>+D81+500</f>
        <v>1151</v>
      </c>
      <c r="N81" s="275">
        <f>+D81</f>
        <v>651</v>
      </c>
      <c r="O81" s="315">
        <f>+D81</f>
        <v>651</v>
      </c>
    </row>
    <row r="82" spans="1:15" s="272" customFormat="1" ht="14.25">
      <c r="A82" s="284">
        <v>54307</v>
      </c>
      <c r="B82" s="273" t="s">
        <v>131</v>
      </c>
      <c r="C82" s="308">
        <f>SUM(D82:O82)</f>
        <v>10548</v>
      </c>
      <c r="D82" s="274">
        <v>879</v>
      </c>
      <c r="E82" s="275">
        <f t="shared" si="3"/>
        <v>879</v>
      </c>
      <c r="F82" s="276">
        <f t="shared" si="4"/>
        <v>879</v>
      </c>
      <c r="G82" s="274">
        <f>+D82</f>
        <v>879</v>
      </c>
      <c r="H82" s="312">
        <f t="shared" si="5"/>
        <v>879</v>
      </c>
      <c r="I82" s="276">
        <f t="shared" si="6"/>
        <v>879</v>
      </c>
      <c r="J82" s="274">
        <f t="shared" si="7"/>
        <v>879</v>
      </c>
      <c r="K82" s="275">
        <f t="shared" si="8"/>
        <v>879</v>
      </c>
      <c r="L82" s="276">
        <f t="shared" si="9"/>
        <v>879</v>
      </c>
      <c r="M82" s="274">
        <f>+D82</f>
        <v>879</v>
      </c>
      <c r="N82" s="275">
        <v>879</v>
      </c>
      <c r="O82" s="315">
        <v>879</v>
      </c>
    </row>
    <row r="83" spans="1:15" s="272" customFormat="1" ht="14.25">
      <c r="A83" s="284">
        <v>54317</v>
      </c>
      <c r="B83" s="273" t="s">
        <v>134</v>
      </c>
      <c r="C83" s="308">
        <f>SUM(D83:O84)</f>
        <v>88792.999999999971</v>
      </c>
      <c r="D83" s="274">
        <v>7000</v>
      </c>
      <c r="E83" s="275">
        <f t="shared" si="3"/>
        <v>7000</v>
      </c>
      <c r="F83" s="276">
        <f t="shared" si="4"/>
        <v>7000</v>
      </c>
      <c r="G83" s="274">
        <f>+D83</f>
        <v>7000</v>
      </c>
      <c r="H83" s="312">
        <f t="shared" si="5"/>
        <v>7000</v>
      </c>
      <c r="I83" s="276">
        <f t="shared" si="6"/>
        <v>7000</v>
      </c>
      <c r="J83" s="274">
        <f t="shared" si="7"/>
        <v>7000</v>
      </c>
      <c r="K83" s="275">
        <f t="shared" si="8"/>
        <v>7000</v>
      </c>
      <c r="L83" s="276">
        <f t="shared" si="9"/>
        <v>7000</v>
      </c>
      <c r="M83" s="274">
        <f>+D83</f>
        <v>7000</v>
      </c>
      <c r="N83" s="275">
        <f>+D83</f>
        <v>7000</v>
      </c>
      <c r="O83" s="315">
        <f>+D83</f>
        <v>7000</v>
      </c>
    </row>
    <row r="84" spans="1:15" s="309" customFormat="1" ht="12">
      <c r="B84" s="310" t="s">
        <v>237</v>
      </c>
      <c r="D84" s="316">
        <v>399.42</v>
      </c>
      <c r="E84" s="316">
        <f t="shared" si="3"/>
        <v>399.42</v>
      </c>
      <c r="F84" s="316">
        <f t="shared" si="4"/>
        <v>399.42</v>
      </c>
      <c r="G84" s="316">
        <f>+D84</f>
        <v>399.42</v>
      </c>
      <c r="H84" s="316">
        <f t="shared" si="5"/>
        <v>399.42</v>
      </c>
      <c r="I84" s="316">
        <f t="shared" si="6"/>
        <v>399.42</v>
      </c>
      <c r="J84" s="316">
        <f t="shared" si="7"/>
        <v>399.42</v>
      </c>
      <c r="K84" s="316">
        <f t="shared" si="8"/>
        <v>399.42</v>
      </c>
      <c r="L84" s="316">
        <f t="shared" si="9"/>
        <v>399.42</v>
      </c>
      <c r="M84" s="316">
        <f>+D84</f>
        <v>399.42</v>
      </c>
      <c r="N84" s="316">
        <v>399.4</v>
      </c>
      <c r="O84" s="316">
        <v>399.4</v>
      </c>
    </row>
    <row r="85" spans="1:15" s="272" customFormat="1" ht="14.25">
      <c r="A85" s="284">
        <v>54399</v>
      </c>
      <c r="B85" s="273" t="s">
        <v>172</v>
      </c>
      <c r="C85" s="308">
        <f>SUM(D85:O86)</f>
        <v>1986</v>
      </c>
      <c r="D85" s="274">
        <v>30.5</v>
      </c>
      <c r="E85" s="275">
        <f t="shared" si="3"/>
        <v>30.5</v>
      </c>
      <c r="F85" s="276">
        <f t="shared" si="4"/>
        <v>30.5</v>
      </c>
      <c r="G85" s="274">
        <f>+D85</f>
        <v>30.5</v>
      </c>
      <c r="H85" s="312">
        <f t="shared" si="5"/>
        <v>30.5</v>
      </c>
      <c r="I85" s="276">
        <f t="shared" si="6"/>
        <v>30.5</v>
      </c>
      <c r="J85" s="274">
        <f t="shared" si="7"/>
        <v>30.5</v>
      </c>
      <c r="K85" s="275">
        <f t="shared" si="8"/>
        <v>30.5</v>
      </c>
      <c r="L85" s="276">
        <f t="shared" si="9"/>
        <v>30.5</v>
      </c>
      <c r="M85" s="274">
        <f>+D85</f>
        <v>30.5</v>
      </c>
      <c r="N85" s="275">
        <f>+D85</f>
        <v>30.5</v>
      </c>
      <c r="O85" s="315">
        <f>+D85</f>
        <v>30.5</v>
      </c>
    </row>
    <row r="86" spans="1:15" s="309" customFormat="1" ht="12">
      <c r="B86" s="310" t="s">
        <v>240</v>
      </c>
      <c r="D86" s="314">
        <v>135</v>
      </c>
      <c r="E86" s="314">
        <f t="shared" si="3"/>
        <v>135</v>
      </c>
      <c r="F86" s="314">
        <f t="shared" si="4"/>
        <v>135</v>
      </c>
      <c r="G86" s="314">
        <f>+D86</f>
        <v>135</v>
      </c>
      <c r="H86" s="314">
        <f t="shared" si="5"/>
        <v>135</v>
      </c>
      <c r="I86" s="314">
        <f t="shared" si="6"/>
        <v>135</v>
      </c>
      <c r="J86" s="314">
        <f t="shared" si="7"/>
        <v>135</v>
      </c>
      <c r="K86" s="314">
        <f t="shared" si="8"/>
        <v>135</v>
      </c>
      <c r="L86" s="314">
        <f t="shared" si="9"/>
        <v>135</v>
      </c>
      <c r="M86" s="314">
        <f>+D86</f>
        <v>135</v>
      </c>
      <c r="N86" s="314">
        <f>+D86</f>
        <v>135</v>
      </c>
      <c r="O86" s="314">
        <f>+D86</f>
        <v>135</v>
      </c>
    </row>
    <row r="88" spans="1:15" s="272" customFormat="1" ht="12.75">
      <c r="A88" s="266"/>
      <c r="B88" s="267" t="s">
        <v>142</v>
      </c>
      <c r="C88" s="268">
        <f>SUM(C23:C85)</f>
        <v>730308.99899999995</v>
      </c>
      <c r="D88" s="269">
        <f>SUM(D26:D83)</f>
        <v>24997.260000000002</v>
      </c>
      <c r="E88" s="270">
        <f>SUM(E23:E83)</f>
        <v>54569.329999999994</v>
      </c>
      <c r="F88" s="271">
        <f t="shared" ref="F88:O88" si="10">SUM(F26:F83)</f>
        <v>80154.38</v>
      </c>
      <c r="G88" s="269">
        <f t="shared" si="10"/>
        <v>36052.78</v>
      </c>
      <c r="H88" s="270">
        <f t="shared" si="10"/>
        <v>32563.379000000001</v>
      </c>
      <c r="I88" s="271">
        <f t="shared" si="10"/>
        <v>115473.73</v>
      </c>
      <c r="J88" s="269">
        <f t="shared" si="10"/>
        <v>29120.170000000002</v>
      </c>
      <c r="K88" s="270">
        <f t="shared" si="10"/>
        <v>29519.360000000001</v>
      </c>
      <c r="L88" s="271">
        <f t="shared" si="10"/>
        <v>153707.07999999996</v>
      </c>
      <c r="M88" s="269">
        <f t="shared" si="10"/>
        <v>80767.489999999991</v>
      </c>
      <c r="N88" s="270">
        <f t="shared" si="10"/>
        <v>35332.980000000003</v>
      </c>
      <c r="O88" s="271">
        <f t="shared" si="10"/>
        <v>26831.39</v>
      </c>
    </row>
    <row r="90" spans="1:15" ht="12.75">
      <c r="A90" s="283">
        <v>55</v>
      </c>
      <c r="B90" s="245" t="s">
        <v>143</v>
      </c>
    </row>
    <row r="91" spans="1:15">
      <c r="A91" s="2">
        <v>55507</v>
      </c>
      <c r="B91" s="2" t="s">
        <v>144</v>
      </c>
      <c r="C91" s="2">
        <f t="shared" ref="C91:C97" si="11">SUM(D91:O91)</f>
        <v>0</v>
      </c>
    </row>
    <row r="92" spans="1:15">
      <c r="A92" s="2">
        <v>55508</v>
      </c>
      <c r="B92" s="2" t="s">
        <v>145</v>
      </c>
      <c r="C92" s="2">
        <f t="shared" si="11"/>
        <v>0</v>
      </c>
    </row>
    <row r="93" spans="1:15" s="272" customFormat="1" ht="14.25">
      <c r="A93" s="284">
        <v>55599</v>
      </c>
      <c r="B93" s="273" t="s">
        <v>146</v>
      </c>
      <c r="C93" s="305">
        <f t="shared" si="11"/>
        <v>500</v>
      </c>
      <c r="D93" s="274">
        <v>0</v>
      </c>
      <c r="E93" s="275">
        <v>0</v>
      </c>
      <c r="F93" s="276">
        <v>0</v>
      </c>
      <c r="G93" s="274">
        <v>0</v>
      </c>
      <c r="H93" s="280">
        <v>0</v>
      </c>
      <c r="I93" s="279">
        <v>0</v>
      </c>
      <c r="J93" s="277">
        <v>0</v>
      </c>
      <c r="K93" s="280">
        <v>0</v>
      </c>
      <c r="L93" s="279">
        <v>0</v>
      </c>
      <c r="M93" s="277"/>
      <c r="N93" s="280">
        <v>500</v>
      </c>
      <c r="O93" s="281"/>
    </row>
    <row r="94" spans="1:15" s="272" customFormat="1" ht="14.25">
      <c r="A94" s="284">
        <v>55601</v>
      </c>
      <c r="B94" s="273" t="s">
        <v>147</v>
      </c>
      <c r="C94" s="305">
        <f t="shared" si="11"/>
        <v>52630</v>
      </c>
      <c r="D94" s="274">
        <v>0</v>
      </c>
      <c r="E94" s="275">
        <v>0</v>
      </c>
      <c r="F94" s="276">
        <v>0</v>
      </c>
      <c r="G94" s="274">
        <v>730</v>
      </c>
      <c r="H94" s="280">
        <v>0</v>
      </c>
      <c r="I94" s="279">
        <v>50000</v>
      </c>
      <c r="J94" s="277">
        <v>0</v>
      </c>
      <c r="K94" s="280">
        <v>0</v>
      </c>
      <c r="L94" s="279">
        <v>400</v>
      </c>
      <c r="M94" s="277"/>
      <c r="N94" s="280">
        <v>0</v>
      </c>
      <c r="O94" s="281">
        <v>1500</v>
      </c>
    </row>
    <row r="95" spans="1:15" s="272" customFormat="1" ht="14.25">
      <c r="A95" s="284">
        <v>55602</v>
      </c>
      <c r="B95" s="273" t="s">
        <v>148</v>
      </c>
      <c r="C95" s="305">
        <f t="shared" si="11"/>
        <v>4200</v>
      </c>
      <c r="D95" s="274">
        <v>0</v>
      </c>
      <c r="E95" s="275">
        <v>0</v>
      </c>
      <c r="F95" s="276">
        <v>0</v>
      </c>
      <c r="G95" s="274"/>
      <c r="H95" s="280">
        <v>0</v>
      </c>
      <c r="I95" s="279">
        <v>892.15</v>
      </c>
      <c r="J95" s="277">
        <v>0</v>
      </c>
      <c r="K95" s="280">
        <v>0</v>
      </c>
      <c r="L95" s="279">
        <v>2469.35</v>
      </c>
      <c r="M95" s="277"/>
      <c r="N95" s="280">
        <v>828</v>
      </c>
      <c r="O95" s="281">
        <v>10.5</v>
      </c>
    </row>
    <row r="96" spans="1:15" s="272" customFormat="1" ht="14.25">
      <c r="A96" s="284">
        <v>55603</v>
      </c>
      <c r="B96" s="273" t="s">
        <v>149</v>
      </c>
      <c r="C96" s="305">
        <f t="shared" si="11"/>
        <v>200</v>
      </c>
      <c r="D96" s="274">
        <v>0</v>
      </c>
      <c r="E96" s="275">
        <v>0</v>
      </c>
      <c r="F96" s="276">
        <v>0</v>
      </c>
      <c r="G96" s="274">
        <v>25</v>
      </c>
      <c r="H96" s="280">
        <v>0</v>
      </c>
      <c r="I96" s="279">
        <v>50</v>
      </c>
      <c r="J96" s="277">
        <v>0</v>
      </c>
      <c r="K96" s="280">
        <v>0</v>
      </c>
      <c r="L96" s="279">
        <v>50</v>
      </c>
      <c r="M96" s="277"/>
      <c r="N96" s="280">
        <v>25</v>
      </c>
      <c r="O96" s="281">
        <v>50</v>
      </c>
    </row>
    <row r="97" spans="1:15">
      <c r="A97" s="2">
        <v>55799</v>
      </c>
      <c r="B97" s="2" t="s">
        <v>150</v>
      </c>
      <c r="C97" s="2">
        <f t="shared" si="11"/>
        <v>0</v>
      </c>
    </row>
    <row r="98" spans="1:15" s="272" customFormat="1" ht="12.75">
      <c r="A98" s="266"/>
      <c r="B98" s="267" t="s">
        <v>151</v>
      </c>
      <c r="C98" s="268">
        <f>SUM(C91:C97)</f>
        <v>57530</v>
      </c>
      <c r="D98" s="269"/>
      <c r="E98" s="270">
        <f>SUM(E94:E97)</f>
        <v>0</v>
      </c>
      <c r="F98" s="271">
        <f>SUM(F91:F97)</f>
        <v>0</v>
      </c>
      <c r="G98" s="269">
        <f>SUM(G94:G97)</f>
        <v>755</v>
      </c>
      <c r="H98" s="270"/>
      <c r="I98" s="271"/>
      <c r="J98" s="269"/>
      <c r="K98" s="270"/>
      <c r="L98" s="271"/>
      <c r="M98" s="269"/>
      <c r="N98" s="270"/>
      <c r="O98" s="271"/>
    </row>
    <row r="100" spans="1:15" ht="12.75">
      <c r="A100" s="283">
        <v>56</v>
      </c>
      <c r="B100" s="245" t="s">
        <v>152</v>
      </c>
    </row>
    <row r="101" spans="1:15">
      <c r="A101" s="2">
        <v>56301</v>
      </c>
      <c r="B101" s="2" t="s">
        <v>153</v>
      </c>
    </row>
    <row r="102" spans="1:15">
      <c r="A102" s="2">
        <v>56404</v>
      </c>
      <c r="B102" s="2" t="s">
        <v>154</v>
      </c>
    </row>
    <row r="103" spans="1:15" s="272" customFormat="1" ht="12.75">
      <c r="A103" s="266"/>
      <c r="B103" s="267" t="s">
        <v>155</v>
      </c>
      <c r="C103" s="268">
        <f>SUM(C101:C102)</f>
        <v>0</v>
      </c>
      <c r="D103" s="269"/>
      <c r="E103" s="270"/>
      <c r="F103" s="271"/>
      <c r="G103" s="269"/>
      <c r="H103" s="270"/>
      <c r="I103" s="271"/>
      <c r="J103" s="269"/>
      <c r="K103" s="270"/>
      <c r="L103" s="271"/>
      <c r="M103" s="269"/>
      <c r="N103" s="270"/>
      <c r="O103" s="271"/>
    </row>
    <row r="105" spans="1:15" ht="12.75">
      <c r="A105" s="283">
        <v>61</v>
      </c>
      <c r="B105" s="245" t="s">
        <v>156</v>
      </c>
    </row>
    <row r="106" spans="1:15" s="272" customFormat="1" ht="14.25">
      <c r="A106" s="284">
        <v>61101</v>
      </c>
      <c r="B106" s="273" t="s">
        <v>157</v>
      </c>
      <c r="C106" s="305">
        <f t="shared" ref="C106:C113" si="12">SUM(D106:O106)</f>
        <v>7000</v>
      </c>
      <c r="D106" s="274">
        <v>0</v>
      </c>
      <c r="E106" s="275"/>
      <c r="F106" s="276"/>
      <c r="G106" s="274">
        <v>7000</v>
      </c>
      <c r="H106" s="278"/>
      <c r="I106" s="279"/>
      <c r="J106" s="277"/>
      <c r="K106" s="280"/>
      <c r="L106" s="279"/>
      <c r="M106" s="277"/>
      <c r="N106" s="280"/>
      <c r="O106" s="281"/>
    </row>
    <row r="107" spans="1:15" s="272" customFormat="1" ht="14.25">
      <c r="A107" s="284">
        <v>61102</v>
      </c>
      <c r="B107" s="273" t="s">
        <v>158</v>
      </c>
      <c r="C107" s="305">
        <f t="shared" si="12"/>
        <v>0</v>
      </c>
      <c r="D107" s="274">
        <v>0</v>
      </c>
      <c r="E107" s="275">
        <v>0</v>
      </c>
      <c r="F107" s="276">
        <v>0</v>
      </c>
      <c r="G107" s="274"/>
      <c r="H107" s="278"/>
      <c r="I107" s="279"/>
      <c r="J107" s="277"/>
      <c r="K107" s="280"/>
      <c r="L107" s="279"/>
      <c r="M107" s="277"/>
      <c r="N107" s="280"/>
      <c r="O107" s="281"/>
    </row>
    <row r="108" spans="1:15" s="272" customFormat="1" ht="14.25">
      <c r="A108" s="284">
        <v>61104</v>
      </c>
      <c r="B108" s="273" t="s">
        <v>159</v>
      </c>
      <c r="C108" s="305">
        <f t="shared" si="12"/>
        <v>5000</v>
      </c>
      <c r="D108" s="274">
        <v>0</v>
      </c>
      <c r="E108" s="275">
        <v>0</v>
      </c>
      <c r="F108" s="276">
        <v>0</v>
      </c>
      <c r="G108" s="274">
        <v>5000</v>
      </c>
      <c r="H108" s="278"/>
      <c r="I108" s="279"/>
      <c r="J108" s="277"/>
      <c r="K108" s="280"/>
      <c r="L108" s="279"/>
      <c r="M108" s="277"/>
      <c r="N108" s="280"/>
      <c r="O108" s="281"/>
    </row>
    <row r="109" spans="1:15" s="272" customFormat="1" ht="14.25">
      <c r="A109" s="284">
        <v>61105</v>
      </c>
      <c r="B109" s="273" t="s">
        <v>160</v>
      </c>
      <c r="C109" s="305">
        <f t="shared" si="12"/>
        <v>0</v>
      </c>
      <c r="D109" s="274">
        <v>0</v>
      </c>
      <c r="E109" s="275">
        <v>0</v>
      </c>
      <c r="F109" s="276"/>
      <c r="G109" s="274"/>
      <c r="H109" s="278">
        <v>0</v>
      </c>
      <c r="I109" s="279"/>
      <c r="J109" s="277">
        <v>0</v>
      </c>
      <c r="K109" s="280">
        <v>0</v>
      </c>
      <c r="L109" s="279">
        <v>0</v>
      </c>
      <c r="M109" s="277">
        <v>0</v>
      </c>
      <c r="N109" s="280">
        <v>0</v>
      </c>
      <c r="O109" s="281"/>
    </row>
    <row r="110" spans="1:15" s="272" customFormat="1" ht="14.25">
      <c r="A110" s="284">
        <v>61107</v>
      </c>
      <c r="B110" s="273" t="s">
        <v>161</v>
      </c>
      <c r="C110" s="305">
        <f t="shared" si="12"/>
        <v>0</v>
      </c>
      <c r="D110" s="274">
        <v>0</v>
      </c>
      <c r="E110" s="275"/>
      <c r="F110" s="276"/>
      <c r="G110" s="274"/>
      <c r="H110" s="278"/>
      <c r="I110" s="279"/>
      <c r="J110" s="277"/>
      <c r="K110" s="280"/>
      <c r="L110" s="279"/>
      <c r="M110" s="277"/>
      <c r="N110" s="280"/>
      <c r="O110" s="281"/>
    </row>
    <row r="111" spans="1:15" s="272" customFormat="1" ht="14.25">
      <c r="A111" s="284">
        <v>61199</v>
      </c>
      <c r="B111" s="273" t="s">
        <v>162</v>
      </c>
      <c r="C111" s="305">
        <f t="shared" si="12"/>
        <v>0</v>
      </c>
      <c r="D111" s="274">
        <v>0</v>
      </c>
      <c r="E111" s="275">
        <v>0</v>
      </c>
      <c r="F111" s="276">
        <v>0</v>
      </c>
      <c r="G111" s="274"/>
      <c r="H111" s="278"/>
      <c r="I111" s="279"/>
      <c r="J111" s="277"/>
      <c r="K111" s="280"/>
      <c r="L111" s="279"/>
      <c r="M111" s="277"/>
      <c r="N111" s="280"/>
      <c r="O111" s="281"/>
    </row>
    <row r="112" spans="1:15" s="272" customFormat="1" ht="14.25">
      <c r="A112" s="284">
        <v>61403</v>
      </c>
      <c r="B112" s="273" t="s">
        <v>177</v>
      </c>
      <c r="C112" s="305">
        <f t="shared" si="12"/>
        <v>2000</v>
      </c>
      <c r="D112" s="274">
        <v>0</v>
      </c>
      <c r="E112" s="275">
        <v>0</v>
      </c>
      <c r="F112" s="276"/>
      <c r="G112" s="274">
        <v>2000</v>
      </c>
      <c r="H112" s="278">
        <v>0</v>
      </c>
      <c r="I112" s="279"/>
      <c r="J112" s="277">
        <v>0</v>
      </c>
      <c r="K112" s="280">
        <v>0</v>
      </c>
      <c r="L112" s="279">
        <v>0</v>
      </c>
      <c r="M112" s="277">
        <v>0</v>
      </c>
      <c r="N112" s="280">
        <v>0</v>
      </c>
      <c r="O112" s="281">
        <v>0</v>
      </c>
    </row>
    <row r="113" spans="1:15" s="272" customFormat="1" ht="14.25">
      <c r="A113" s="284">
        <v>61499</v>
      </c>
      <c r="B113" s="273" t="s">
        <v>246</v>
      </c>
      <c r="C113" s="305">
        <f t="shared" si="12"/>
        <v>0</v>
      </c>
      <c r="D113" s="274">
        <v>0</v>
      </c>
      <c r="E113" s="275">
        <v>0</v>
      </c>
      <c r="F113" s="276"/>
      <c r="G113" s="274"/>
      <c r="H113" s="278"/>
      <c r="I113" s="279"/>
      <c r="J113" s="277"/>
      <c r="K113" s="280"/>
      <c r="L113" s="279"/>
      <c r="M113" s="277"/>
      <c r="N113" s="280"/>
      <c r="O113" s="281"/>
    </row>
    <row r="114" spans="1:15" s="272" customFormat="1" ht="12.75">
      <c r="A114" s="285"/>
      <c r="B114" s="267" t="s">
        <v>163</v>
      </c>
      <c r="C114" s="268">
        <f>SUM(C106:C113)</f>
        <v>14000</v>
      </c>
      <c r="D114" s="269">
        <f>SUM(D109:D112)</f>
        <v>0</v>
      </c>
      <c r="E114" s="270">
        <f>SUM(E106:E112)</f>
        <v>0</v>
      </c>
      <c r="F114" s="271">
        <f>SUM(F106:F112)</f>
        <v>0</v>
      </c>
      <c r="G114" s="269">
        <f>SUM(G106:G112)</f>
        <v>14000</v>
      </c>
      <c r="H114" s="270">
        <f t="shared" ref="H114:O114" si="13">SUM(H109:H112)</f>
        <v>0</v>
      </c>
      <c r="I114" s="271">
        <f t="shared" si="13"/>
        <v>0</v>
      </c>
      <c r="J114" s="269">
        <f t="shared" si="13"/>
        <v>0</v>
      </c>
      <c r="K114" s="270">
        <f t="shared" si="13"/>
        <v>0</v>
      </c>
      <c r="L114" s="271">
        <f t="shared" si="13"/>
        <v>0</v>
      </c>
      <c r="M114" s="269">
        <f t="shared" si="13"/>
        <v>0</v>
      </c>
      <c r="N114" s="270">
        <f t="shared" si="13"/>
        <v>0</v>
      </c>
      <c r="O114" s="271">
        <f t="shared" si="13"/>
        <v>0</v>
      </c>
    </row>
    <row r="115" spans="1:15" s="272" customFormat="1" ht="13.5" thickBot="1">
      <c r="A115" s="286"/>
      <c r="B115" s="287"/>
      <c r="C115" s="288"/>
      <c r="D115" s="289"/>
      <c r="E115" s="290"/>
      <c r="F115" s="289"/>
      <c r="G115" s="291"/>
      <c r="H115" s="290"/>
      <c r="I115" s="292"/>
      <c r="J115" s="293"/>
      <c r="K115" s="290"/>
      <c r="L115" s="292"/>
      <c r="M115" s="293"/>
      <c r="N115" s="290"/>
      <c r="O115" s="294"/>
    </row>
    <row r="116" spans="1:15" s="272" customFormat="1" ht="15.75" thickTop="1" thickBot="1">
      <c r="A116" s="507" t="s">
        <v>178</v>
      </c>
      <c r="B116" s="508"/>
      <c r="C116" s="295" t="e">
        <f>C19+C88+C98+C114</f>
        <v>#REF!</v>
      </c>
      <c r="D116" s="296" t="e">
        <f t="shared" ref="D116:O116" si="14">+D19+D88+D98+D103+D114</f>
        <v>#REF!</v>
      </c>
      <c r="E116" s="297">
        <f t="shared" si="14"/>
        <v>151706.32999999999</v>
      </c>
      <c r="F116" s="296">
        <f t="shared" si="14"/>
        <v>176386.38</v>
      </c>
      <c r="G116" s="298">
        <f t="shared" si="14"/>
        <v>145204.78</v>
      </c>
      <c r="H116" s="297">
        <f t="shared" si="14"/>
        <v>123250.379</v>
      </c>
      <c r="I116" s="299">
        <f t="shared" si="14"/>
        <v>293940.73</v>
      </c>
      <c r="J116" s="300">
        <f t="shared" si="14"/>
        <v>123487.17</v>
      </c>
      <c r="K116" s="297">
        <f t="shared" si="14"/>
        <v>120536.36</v>
      </c>
      <c r="L116" s="299">
        <f t="shared" si="14"/>
        <v>246739.07999999996</v>
      </c>
      <c r="M116" s="300">
        <f t="shared" si="14"/>
        <v>171449.49</v>
      </c>
      <c r="N116" s="297">
        <f t="shared" si="14"/>
        <v>125185.98000000001</v>
      </c>
      <c r="O116" s="301">
        <f t="shared" si="14"/>
        <v>197083.39</v>
      </c>
    </row>
    <row r="117" spans="1:15" s="272" customFormat="1" ht="13.5" thickTop="1">
      <c r="A117" s="302"/>
      <c r="B117" s="302"/>
      <c r="C117" s="302" t="e">
        <f>1824625-C116</f>
        <v>#REF!</v>
      </c>
      <c r="D117" s="302"/>
      <c r="E117" s="302"/>
      <c r="F117" s="302" t="e">
        <f>SUM(D116:F116)</f>
        <v>#REF!</v>
      </c>
      <c r="G117" s="302"/>
      <c r="H117" s="302"/>
      <c r="I117" s="302">
        <f>SUM(G116:I116)</f>
        <v>562395.88899999997</v>
      </c>
      <c r="J117" s="302"/>
      <c r="K117" s="302"/>
      <c r="L117" s="302">
        <f>SUM(J116:L116)</f>
        <v>490762.61</v>
      </c>
      <c r="M117" s="302"/>
      <c r="N117" s="303"/>
      <c r="O117" s="302">
        <f>SUM(M116:O116)</f>
        <v>493718.86</v>
      </c>
    </row>
    <row r="123" spans="1:15">
      <c r="B123" s="2" t="s">
        <v>164</v>
      </c>
    </row>
    <row r="124" spans="1:15">
      <c r="A124" s="2">
        <v>54101</v>
      </c>
      <c r="B124" s="2" t="s">
        <v>116</v>
      </c>
      <c r="C124" s="2">
        <f>SUM(D124:O124)</f>
        <v>1000</v>
      </c>
      <c r="O124" s="2">
        <v>1000</v>
      </c>
    </row>
    <row r="125" spans="1:15">
      <c r="A125" s="2">
        <v>54105</v>
      </c>
      <c r="B125" s="2" t="s">
        <v>119</v>
      </c>
      <c r="C125" s="2">
        <f>SUM(D125:O125)</f>
        <v>250</v>
      </c>
      <c r="O125" s="2">
        <v>250</v>
      </c>
    </row>
    <row r="126" spans="1:15">
      <c r="A126" s="2">
        <v>54110</v>
      </c>
      <c r="B126" s="2" t="s">
        <v>122</v>
      </c>
      <c r="C126" s="2">
        <f>SUM(D126:O126)</f>
        <v>250</v>
      </c>
      <c r="O126" s="2">
        <v>250</v>
      </c>
    </row>
    <row r="127" spans="1:15">
      <c r="A127" s="2">
        <v>54116</v>
      </c>
      <c r="B127" s="2" t="s">
        <v>125</v>
      </c>
      <c r="C127" s="2">
        <f>SUM(D127:O127)</f>
        <v>900</v>
      </c>
      <c r="O127" s="2">
        <v>900</v>
      </c>
    </row>
    <row r="128" spans="1:15">
      <c r="A128" s="2">
        <v>54199</v>
      </c>
      <c r="B128" s="2" t="s">
        <v>127</v>
      </c>
      <c r="C128" s="2">
        <f>SUM(D128:O128)</f>
        <v>100</v>
      </c>
      <c r="O128" s="2">
        <v>100</v>
      </c>
    </row>
    <row r="129" spans="3:15">
      <c r="C129" s="2">
        <f>SUM(C124:C128)</f>
        <v>2500</v>
      </c>
      <c r="O129" s="2">
        <f>SUM(O124:O128)</f>
        <v>2500</v>
      </c>
    </row>
  </sheetData>
  <mergeCells count="3">
    <mergeCell ref="A116:B116"/>
    <mergeCell ref="A2:O2"/>
    <mergeCell ref="A6:B6"/>
  </mergeCells>
  <phoneticPr fontId="25" type="noConversion"/>
  <pageMargins left="0.39370078740157483" right="0.19685039370078741" top="0.78740157480314965" bottom="0.59055118110236227" header="0" footer="0"/>
  <pageSetup paperSize="137" scale="63" orientation="landscape" r:id="rId1"/>
  <headerFooter alignWithMargins="0"/>
  <rowBreaks count="1" manualBreakCount="1">
    <brk id="5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O84"/>
  <sheetViews>
    <sheetView topLeftCell="C55" zoomScale="89" zoomScaleNormal="89" zoomScaleSheetLayoutView="75" workbookViewId="0">
      <selection activeCell="G71" sqref="G71"/>
    </sheetView>
  </sheetViews>
  <sheetFormatPr baseColWidth="10" defaultRowHeight="12.75"/>
  <cols>
    <col min="1" max="1" width="2.28515625" customWidth="1"/>
    <col min="2" max="2" width="11.28515625" customWidth="1"/>
    <col min="3" max="3" width="47.5703125" customWidth="1"/>
    <col min="4" max="4" width="12.140625" bestFit="1" customWidth="1"/>
    <col min="5" max="5" width="15.85546875" customWidth="1"/>
    <col min="6" max="6" width="16.140625" customWidth="1"/>
    <col min="7" max="7" width="10.140625" bestFit="1" customWidth="1"/>
    <col min="8" max="8" width="11.28515625" bestFit="1" customWidth="1"/>
    <col min="9" max="9" width="10.42578125" customWidth="1"/>
    <col min="10" max="10" width="15.5703125" customWidth="1"/>
    <col min="11" max="11" width="17.140625" customWidth="1"/>
    <col min="12" max="12" width="15.28515625" customWidth="1"/>
    <col min="13" max="13" width="10.7109375" style="227" customWidth="1"/>
    <col min="14" max="14" width="11.28515625" bestFit="1" customWidth="1"/>
    <col min="15" max="15" width="12.28515625" bestFit="1" customWidth="1"/>
    <col min="16" max="16" width="11.28515625" bestFit="1" customWidth="1"/>
    <col min="17" max="17" width="10.7109375" customWidth="1"/>
    <col min="18" max="18" width="12.28515625" bestFit="1" customWidth="1"/>
    <col min="21" max="22" width="15.85546875" customWidth="1"/>
    <col min="23" max="23" width="15.28515625" customWidth="1"/>
    <col min="24" max="24" width="19.140625" customWidth="1"/>
    <col min="25" max="32" width="10.7109375" customWidth="1"/>
  </cols>
  <sheetData>
    <row r="1" spans="2:4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4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41">
      <c r="B3" s="2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41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41" ht="18">
      <c r="B5" s="516" t="s">
        <v>21</v>
      </c>
      <c r="C5" s="516"/>
      <c r="D5" s="516"/>
      <c r="E5" s="516"/>
      <c r="F5" s="516"/>
      <c r="G5" s="516"/>
      <c r="H5" s="516"/>
      <c r="I5" s="516"/>
      <c r="J5" s="516"/>
      <c r="K5" s="516"/>
      <c r="L5" s="516"/>
    </row>
    <row r="6" spans="2:41" ht="7.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41" ht="20.25">
      <c r="B7" s="18" t="s">
        <v>3</v>
      </c>
      <c r="C7" s="4"/>
      <c r="D7" s="3"/>
      <c r="E7" s="3"/>
      <c r="F7" s="18" t="s">
        <v>23</v>
      </c>
      <c r="G7" s="3"/>
      <c r="H7" s="3"/>
      <c r="I7" s="3"/>
      <c r="J7" s="3"/>
      <c r="K7" s="3"/>
      <c r="L7" s="3"/>
    </row>
    <row r="8" spans="2:41" ht="10.5" customHeight="1" thickBot="1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41" ht="12.75" customHeight="1" thickBot="1">
      <c r="B9" s="9" t="s">
        <v>24</v>
      </c>
      <c r="C9" s="10"/>
      <c r="D9" s="10"/>
      <c r="E9" s="11"/>
      <c r="F9" s="9" t="s">
        <v>36</v>
      </c>
      <c r="G9" s="10"/>
      <c r="H9" s="10"/>
      <c r="I9" s="10"/>
      <c r="J9" s="10"/>
      <c r="K9" s="10"/>
      <c r="L9" s="11"/>
    </row>
    <row r="10" spans="2:41" ht="12.75" customHeight="1" thickBot="1">
      <c r="B10" s="9" t="s">
        <v>228</v>
      </c>
      <c r="C10" s="10"/>
      <c r="D10" s="10"/>
      <c r="E10" s="11"/>
      <c r="F10" s="9" t="s">
        <v>37</v>
      </c>
      <c r="G10" s="10"/>
      <c r="H10" s="10"/>
      <c r="I10" s="10"/>
      <c r="J10" s="10"/>
      <c r="K10" s="10"/>
      <c r="L10" s="11"/>
    </row>
    <row r="11" spans="2:41" ht="12.75" customHeight="1" thickBot="1">
      <c r="B11" s="9" t="s">
        <v>26</v>
      </c>
      <c r="C11" s="10"/>
      <c r="D11" s="10"/>
      <c r="E11" s="11"/>
      <c r="F11" s="9" t="s">
        <v>229</v>
      </c>
      <c r="G11" s="10"/>
      <c r="H11" s="10"/>
      <c r="I11" s="10"/>
      <c r="J11" s="10"/>
      <c r="K11" s="10"/>
      <c r="L11" s="11"/>
    </row>
    <row r="12" spans="2:41" ht="12.75" customHeight="1" thickBo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41" ht="18.75" customHeight="1" thickBot="1">
      <c r="B13" s="13" t="s">
        <v>6</v>
      </c>
      <c r="C13" s="17">
        <v>-8</v>
      </c>
      <c r="D13" s="517" t="s">
        <v>8</v>
      </c>
      <c r="E13" s="518"/>
      <c r="F13" s="519"/>
      <c r="G13" s="517" t="s">
        <v>2</v>
      </c>
      <c r="H13" s="518"/>
      <c r="I13" s="518"/>
      <c r="J13" s="518"/>
      <c r="K13" s="518"/>
      <c r="L13" s="519"/>
    </row>
    <row r="14" spans="2:41" ht="18.75" customHeight="1" thickBot="1">
      <c r="B14" s="7" t="s">
        <v>4</v>
      </c>
      <c r="C14" s="12"/>
      <c r="D14" s="6" t="s">
        <v>9</v>
      </c>
      <c r="E14" s="7" t="s">
        <v>11</v>
      </c>
      <c r="F14" s="7" t="s">
        <v>13</v>
      </c>
      <c r="G14" s="520" t="s">
        <v>15</v>
      </c>
      <c r="H14" s="521"/>
      <c r="I14" s="522"/>
      <c r="J14" s="16" t="s">
        <v>11</v>
      </c>
      <c r="K14" s="7" t="s">
        <v>13</v>
      </c>
      <c r="L14" s="7"/>
      <c r="AH14" s="1"/>
      <c r="AI14" s="1"/>
      <c r="AJ14" s="1"/>
      <c r="AK14" s="1"/>
      <c r="AL14" s="1"/>
      <c r="AM14" s="1"/>
      <c r="AN14" s="1"/>
      <c r="AO14" s="1"/>
    </row>
    <row r="15" spans="2:41" ht="19.5" customHeight="1" thickBot="1">
      <c r="B15" s="8" t="s">
        <v>5</v>
      </c>
      <c r="C15" s="14" t="s">
        <v>7</v>
      </c>
      <c r="D15" s="15" t="s">
        <v>10</v>
      </c>
      <c r="E15" s="8" t="s">
        <v>12</v>
      </c>
      <c r="F15" s="8" t="s">
        <v>14</v>
      </c>
      <c r="G15" s="15" t="s">
        <v>16</v>
      </c>
      <c r="H15" s="8" t="s">
        <v>17</v>
      </c>
      <c r="I15" s="8" t="s">
        <v>18</v>
      </c>
      <c r="J15" s="8" t="s">
        <v>12</v>
      </c>
      <c r="K15" s="8" t="s">
        <v>14</v>
      </c>
      <c r="L15" s="8" t="s">
        <v>19</v>
      </c>
      <c r="M15" s="227" t="s">
        <v>224</v>
      </c>
      <c r="N15" s="6" t="s">
        <v>31</v>
      </c>
      <c r="O15" s="6" t="s">
        <v>194</v>
      </c>
      <c r="P15" s="6" t="s">
        <v>225</v>
      </c>
      <c r="Q15" s="231"/>
      <c r="R15" t="s">
        <v>217</v>
      </c>
      <c r="S15" t="s">
        <v>65</v>
      </c>
      <c r="T15" s="196" t="s">
        <v>65</v>
      </c>
    </row>
    <row r="16" spans="2:41" ht="14.25">
      <c r="B16" s="19"/>
      <c r="C16" s="19"/>
      <c r="D16" s="19"/>
      <c r="E16" s="25"/>
      <c r="F16" s="25"/>
      <c r="G16" s="247"/>
      <c r="H16" s="247"/>
      <c r="I16" s="247"/>
      <c r="J16" s="253"/>
      <c r="K16" s="253"/>
      <c r="L16" s="253"/>
    </row>
    <row r="17" spans="2:20" ht="14.25">
      <c r="B17" s="20"/>
      <c r="C17" s="19"/>
      <c r="D17" s="19"/>
      <c r="E17" s="25"/>
      <c r="F17" s="25"/>
      <c r="G17" s="248"/>
      <c r="H17" s="254"/>
      <c r="I17" s="254"/>
      <c r="J17" s="254"/>
      <c r="K17" s="254"/>
      <c r="L17" s="254"/>
      <c r="N17" s="33"/>
      <c r="O17" s="33"/>
    </row>
    <row r="18" spans="2:20" ht="28.5">
      <c r="B18" s="463" t="s">
        <v>280</v>
      </c>
      <c r="C18" s="461" t="s">
        <v>281</v>
      </c>
      <c r="D18" s="20">
        <v>1</v>
      </c>
      <c r="E18" s="25"/>
      <c r="F18" s="25"/>
      <c r="G18" s="249"/>
      <c r="H18" s="255">
        <v>1</v>
      </c>
      <c r="I18" s="255">
        <f t="shared" ref="I18:I31" si="0">SUM(G18:H18)</f>
        <v>1</v>
      </c>
      <c r="J18" s="351">
        <v>5000</v>
      </c>
      <c r="K18" s="351">
        <f t="shared" ref="K18:K38" si="1">J18*I18*12</f>
        <v>60000</v>
      </c>
      <c r="L18" s="351">
        <f t="shared" ref="L18:L31" si="2">+I18*J18</f>
        <v>5000</v>
      </c>
      <c r="M18" s="228">
        <f>+L18</f>
        <v>5000</v>
      </c>
      <c r="N18" s="73">
        <v>685.71</v>
      </c>
      <c r="O18" s="73">
        <f t="shared" ref="O18:O29" si="3">+I18*N18*12</f>
        <v>8228.52</v>
      </c>
      <c r="P18" s="74">
        <f t="shared" ref="P18:P38" si="4">+((J18/30)*21)*I18</f>
        <v>3500</v>
      </c>
      <c r="R18">
        <f t="shared" ref="R18:R38" si="5">IF(J18&gt;4501.95,4501.95,J18)*I18*12</f>
        <v>54023.399999999994</v>
      </c>
      <c r="S18" s="74">
        <f t="shared" ref="S18:S38" si="6">J18/30*21</f>
        <v>3500</v>
      </c>
      <c r="T18" s="240">
        <f t="shared" ref="T18:T38" si="7">IF(S18&gt;4501.95,4501.95,S18)*I18</f>
        <v>3500</v>
      </c>
    </row>
    <row r="19" spans="2:20" ht="14.25">
      <c r="B19" s="20"/>
      <c r="C19" s="19" t="s">
        <v>25</v>
      </c>
      <c r="D19" s="20">
        <v>1</v>
      </c>
      <c r="E19" s="25"/>
      <c r="F19" s="25"/>
      <c r="G19" s="249"/>
      <c r="H19" s="255">
        <v>1</v>
      </c>
      <c r="I19" s="255">
        <f t="shared" si="0"/>
        <v>1</v>
      </c>
      <c r="J19" s="351">
        <v>4000</v>
      </c>
      <c r="K19" s="351">
        <f t="shared" si="1"/>
        <v>48000</v>
      </c>
      <c r="L19" s="351">
        <f t="shared" si="2"/>
        <v>4000</v>
      </c>
      <c r="M19" s="228">
        <f>+L19</f>
        <v>4000</v>
      </c>
      <c r="N19" s="73">
        <v>685.71</v>
      </c>
      <c r="O19" s="73">
        <f t="shared" si="3"/>
        <v>8228.52</v>
      </c>
      <c r="P19" s="74">
        <f t="shared" si="4"/>
        <v>2800</v>
      </c>
      <c r="R19">
        <f t="shared" si="5"/>
        <v>48000</v>
      </c>
      <c r="S19" s="74">
        <f t="shared" si="6"/>
        <v>2800</v>
      </c>
      <c r="T19" s="240">
        <f t="shared" si="7"/>
        <v>2800</v>
      </c>
    </row>
    <row r="20" spans="2:20" ht="28.5">
      <c r="B20" s="463" t="s">
        <v>280</v>
      </c>
      <c r="C20" s="461" t="s">
        <v>288</v>
      </c>
      <c r="D20" s="20">
        <v>1</v>
      </c>
      <c r="E20" s="25"/>
      <c r="F20" s="25"/>
      <c r="G20" s="249"/>
      <c r="H20" s="255">
        <v>1</v>
      </c>
      <c r="I20" s="255">
        <f t="shared" si="0"/>
        <v>1</v>
      </c>
      <c r="J20" s="485">
        <v>4000</v>
      </c>
      <c r="K20" s="351">
        <f t="shared" si="1"/>
        <v>48000</v>
      </c>
      <c r="L20" s="351">
        <f t="shared" si="2"/>
        <v>4000</v>
      </c>
      <c r="M20" s="228">
        <f>+L20</f>
        <v>4000</v>
      </c>
      <c r="N20" s="73">
        <v>685.71</v>
      </c>
      <c r="O20" s="73">
        <f t="shared" si="3"/>
        <v>8228.52</v>
      </c>
      <c r="P20" s="74">
        <f t="shared" si="4"/>
        <v>2800</v>
      </c>
      <c r="R20">
        <f t="shared" si="5"/>
        <v>48000</v>
      </c>
      <c r="S20" s="74">
        <f t="shared" si="6"/>
        <v>2800</v>
      </c>
      <c r="T20" s="240">
        <f t="shared" si="7"/>
        <v>2800</v>
      </c>
    </row>
    <row r="21" spans="2:20" ht="28.5">
      <c r="B21" s="463" t="s">
        <v>280</v>
      </c>
      <c r="C21" s="461" t="s">
        <v>289</v>
      </c>
      <c r="D21" s="20">
        <v>1</v>
      </c>
      <c r="E21" s="25"/>
      <c r="F21" s="25"/>
      <c r="G21" s="249"/>
      <c r="H21" s="255">
        <v>1</v>
      </c>
      <c r="I21" s="255">
        <f t="shared" si="0"/>
        <v>1</v>
      </c>
      <c r="J21" s="485">
        <v>4000</v>
      </c>
      <c r="K21" s="351">
        <f t="shared" si="1"/>
        <v>48000</v>
      </c>
      <c r="L21" s="351">
        <f t="shared" si="2"/>
        <v>4000</v>
      </c>
      <c r="M21" s="228">
        <f>+L21</f>
        <v>4000</v>
      </c>
      <c r="N21" s="73">
        <v>685.71</v>
      </c>
      <c r="O21" s="73">
        <f t="shared" si="3"/>
        <v>8228.52</v>
      </c>
      <c r="P21" s="74">
        <f t="shared" si="4"/>
        <v>2800</v>
      </c>
      <c r="R21">
        <f t="shared" si="5"/>
        <v>48000</v>
      </c>
      <c r="S21" s="74">
        <f t="shared" si="6"/>
        <v>2800</v>
      </c>
      <c r="T21" s="240">
        <f t="shared" si="7"/>
        <v>2800</v>
      </c>
    </row>
    <row r="22" spans="2:20" ht="28.5">
      <c r="B22" s="463" t="s">
        <v>280</v>
      </c>
      <c r="C22" s="461" t="s">
        <v>283</v>
      </c>
      <c r="D22" s="20">
        <v>1</v>
      </c>
      <c r="E22" s="25"/>
      <c r="F22" s="25"/>
      <c r="G22" s="249"/>
      <c r="H22" s="255">
        <v>1</v>
      </c>
      <c r="I22" s="255">
        <f t="shared" si="0"/>
        <v>1</v>
      </c>
      <c r="J22" s="486">
        <v>3600</v>
      </c>
      <c r="K22" s="351">
        <f t="shared" si="1"/>
        <v>43200</v>
      </c>
      <c r="L22" s="351">
        <f t="shared" si="2"/>
        <v>3600</v>
      </c>
      <c r="M22" s="457">
        <f>+J22*0.9</f>
        <v>3240</v>
      </c>
      <c r="N22" s="73">
        <v>685.71</v>
      </c>
      <c r="O22" s="73">
        <f t="shared" si="3"/>
        <v>8228.52</v>
      </c>
      <c r="P22" s="74">
        <f t="shared" si="4"/>
        <v>2520</v>
      </c>
      <c r="R22">
        <f t="shared" si="5"/>
        <v>43200</v>
      </c>
      <c r="S22" s="226">
        <f t="shared" si="6"/>
        <v>2520</v>
      </c>
      <c r="T22" s="240">
        <f t="shared" si="7"/>
        <v>2520</v>
      </c>
    </row>
    <row r="23" spans="2:20" ht="28.5">
      <c r="B23" s="463" t="s">
        <v>280</v>
      </c>
      <c r="C23" s="461" t="s">
        <v>284</v>
      </c>
      <c r="D23" s="20">
        <v>1</v>
      </c>
      <c r="E23" s="25"/>
      <c r="F23" s="25"/>
      <c r="G23" s="249"/>
      <c r="H23" s="255">
        <v>1</v>
      </c>
      <c r="I23" s="255">
        <f t="shared" si="0"/>
        <v>1</v>
      </c>
      <c r="J23" s="485">
        <v>2900</v>
      </c>
      <c r="K23" s="351">
        <f t="shared" si="1"/>
        <v>34800</v>
      </c>
      <c r="L23" s="351">
        <f t="shared" si="2"/>
        <v>2900</v>
      </c>
      <c r="M23" s="228">
        <f>+J23*0.95</f>
        <v>2755</v>
      </c>
      <c r="N23" s="73">
        <v>685.71</v>
      </c>
      <c r="O23" s="73">
        <f t="shared" si="3"/>
        <v>8228.52</v>
      </c>
      <c r="P23" s="74">
        <f t="shared" si="4"/>
        <v>2030</v>
      </c>
      <c r="R23">
        <f t="shared" si="5"/>
        <v>34800</v>
      </c>
      <c r="S23" s="226">
        <f t="shared" si="6"/>
        <v>2030</v>
      </c>
      <c r="T23" s="240">
        <f t="shared" si="7"/>
        <v>2030</v>
      </c>
    </row>
    <row r="24" spans="2:20" ht="14.25">
      <c r="B24" s="20"/>
      <c r="C24" s="19" t="s">
        <v>27</v>
      </c>
      <c r="D24" s="20">
        <v>2</v>
      </c>
      <c r="E24" s="25"/>
      <c r="F24" s="25"/>
      <c r="G24" s="249"/>
      <c r="H24" s="255">
        <v>2</v>
      </c>
      <c r="I24" s="255">
        <f t="shared" si="0"/>
        <v>2</v>
      </c>
      <c r="J24" s="351">
        <v>2900</v>
      </c>
      <c r="K24" s="351">
        <f t="shared" si="1"/>
        <v>69600</v>
      </c>
      <c r="L24" s="351">
        <f t="shared" si="2"/>
        <v>5800</v>
      </c>
      <c r="M24" s="228">
        <f>+J24*0.95+J24*0.9</f>
        <v>5365</v>
      </c>
      <c r="N24" s="73">
        <v>685.71</v>
      </c>
      <c r="O24" s="73">
        <f t="shared" si="3"/>
        <v>16457.04</v>
      </c>
      <c r="P24" s="74">
        <f t="shared" si="4"/>
        <v>4060</v>
      </c>
      <c r="R24">
        <f t="shared" si="5"/>
        <v>69600</v>
      </c>
      <c r="S24" s="226">
        <f t="shared" si="6"/>
        <v>2030</v>
      </c>
      <c r="T24" s="240">
        <f t="shared" si="7"/>
        <v>4060</v>
      </c>
    </row>
    <row r="25" spans="2:20" ht="28.5">
      <c r="B25" s="463" t="s">
        <v>280</v>
      </c>
      <c r="C25" s="461" t="s">
        <v>285</v>
      </c>
      <c r="D25" s="20">
        <v>3</v>
      </c>
      <c r="E25" s="25"/>
      <c r="F25" s="25"/>
      <c r="G25" s="249"/>
      <c r="H25" s="255">
        <v>3</v>
      </c>
      <c r="I25" s="255">
        <f t="shared" si="0"/>
        <v>3</v>
      </c>
      <c r="J25" s="351">
        <v>2500</v>
      </c>
      <c r="K25" s="351">
        <f t="shared" si="1"/>
        <v>90000</v>
      </c>
      <c r="L25" s="351">
        <f t="shared" si="2"/>
        <v>7500</v>
      </c>
      <c r="M25" s="228">
        <f t="shared" ref="M25:M38" si="8">+L25</f>
        <v>7500</v>
      </c>
      <c r="N25" s="73">
        <v>685.71</v>
      </c>
      <c r="O25" s="73">
        <f t="shared" si="3"/>
        <v>24685.56</v>
      </c>
      <c r="P25" s="74">
        <f t="shared" si="4"/>
        <v>5250</v>
      </c>
      <c r="R25">
        <f t="shared" si="5"/>
        <v>90000</v>
      </c>
      <c r="S25" s="74">
        <f t="shared" si="6"/>
        <v>1750</v>
      </c>
      <c r="T25" s="240">
        <f t="shared" si="7"/>
        <v>5250</v>
      </c>
    </row>
    <row r="26" spans="2:20" ht="14.25">
      <c r="B26" s="20"/>
      <c r="C26" s="19" t="s">
        <v>29</v>
      </c>
      <c r="D26" s="20">
        <v>2</v>
      </c>
      <c r="E26" s="25"/>
      <c r="F26" s="25"/>
      <c r="G26" s="249"/>
      <c r="H26" s="255">
        <v>2</v>
      </c>
      <c r="I26" s="255">
        <f t="shared" si="0"/>
        <v>2</v>
      </c>
      <c r="J26" s="351">
        <v>2500</v>
      </c>
      <c r="K26" s="351">
        <f t="shared" si="1"/>
        <v>60000</v>
      </c>
      <c r="L26" s="351">
        <f t="shared" si="2"/>
        <v>5000</v>
      </c>
      <c r="M26" s="228">
        <f t="shared" si="8"/>
        <v>5000</v>
      </c>
      <c r="N26" s="73">
        <v>685.71</v>
      </c>
      <c r="O26" s="73">
        <f t="shared" si="3"/>
        <v>16457.04</v>
      </c>
      <c r="P26" s="74">
        <f t="shared" si="4"/>
        <v>3500</v>
      </c>
      <c r="R26">
        <f t="shared" si="5"/>
        <v>60000</v>
      </c>
      <c r="S26" s="74">
        <f t="shared" si="6"/>
        <v>1750</v>
      </c>
      <c r="T26">
        <f t="shared" si="7"/>
        <v>3500</v>
      </c>
    </row>
    <row r="27" spans="2:20" ht="14.25">
      <c r="B27" s="20"/>
      <c r="C27" s="19" t="s">
        <v>58</v>
      </c>
      <c r="D27" s="20">
        <v>1</v>
      </c>
      <c r="E27" s="25">
        <v>2000</v>
      </c>
      <c r="F27" s="25">
        <f>+(E27*D27)*12</f>
        <v>24000</v>
      </c>
      <c r="G27" s="249"/>
      <c r="H27" s="255">
        <v>1</v>
      </c>
      <c r="I27" s="255">
        <f t="shared" si="0"/>
        <v>1</v>
      </c>
      <c r="J27" s="351">
        <v>2050</v>
      </c>
      <c r="K27" s="351">
        <f t="shared" si="1"/>
        <v>24600</v>
      </c>
      <c r="L27" s="351">
        <f t="shared" si="2"/>
        <v>2050</v>
      </c>
      <c r="M27" s="228">
        <f t="shared" si="8"/>
        <v>2050</v>
      </c>
      <c r="N27" s="73">
        <v>685.71</v>
      </c>
      <c r="O27" s="73">
        <f t="shared" si="3"/>
        <v>8228.52</v>
      </c>
      <c r="P27" s="74">
        <f t="shared" si="4"/>
        <v>1435</v>
      </c>
      <c r="R27">
        <f t="shared" si="5"/>
        <v>24600</v>
      </c>
      <c r="S27" s="74">
        <f t="shared" si="6"/>
        <v>1435</v>
      </c>
      <c r="T27">
        <f t="shared" si="7"/>
        <v>1435</v>
      </c>
    </row>
    <row r="28" spans="2:20" ht="14.25">
      <c r="B28" s="20"/>
      <c r="C28" s="19" t="s">
        <v>259</v>
      </c>
      <c r="D28" s="20">
        <v>1</v>
      </c>
      <c r="E28" s="25">
        <v>2000</v>
      </c>
      <c r="F28" s="25">
        <f>+(E28*D28)*12</f>
        <v>24000</v>
      </c>
      <c r="G28" s="249"/>
      <c r="H28" s="255">
        <v>1</v>
      </c>
      <c r="I28" s="255">
        <f t="shared" si="0"/>
        <v>1</v>
      </c>
      <c r="J28" s="351">
        <v>2050</v>
      </c>
      <c r="K28" s="351">
        <f t="shared" si="1"/>
        <v>24600</v>
      </c>
      <c r="L28" s="351">
        <f t="shared" si="2"/>
        <v>2050</v>
      </c>
      <c r="M28" s="228">
        <f t="shared" si="8"/>
        <v>2050</v>
      </c>
      <c r="N28" s="73">
        <v>685.71</v>
      </c>
      <c r="O28" s="73">
        <f t="shared" si="3"/>
        <v>8228.52</v>
      </c>
      <c r="P28" s="74">
        <f t="shared" si="4"/>
        <v>1435</v>
      </c>
      <c r="R28">
        <f t="shared" si="5"/>
        <v>24600</v>
      </c>
      <c r="S28" s="74">
        <f t="shared" si="6"/>
        <v>1435</v>
      </c>
      <c r="T28">
        <f t="shared" si="7"/>
        <v>1435</v>
      </c>
    </row>
    <row r="29" spans="2:20" ht="14.25">
      <c r="B29" s="20"/>
      <c r="C29" s="19" t="s">
        <v>40</v>
      </c>
      <c r="D29" s="20">
        <v>1</v>
      </c>
      <c r="E29" s="25">
        <v>2000</v>
      </c>
      <c r="F29" s="25">
        <f>+(E29*D29)*12</f>
        <v>24000</v>
      </c>
      <c r="G29" s="249"/>
      <c r="H29" s="255">
        <v>1</v>
      </c>
      <c r="I29" s="255">
        <f t="shared" si="0"/>
        <v>1</v>
      </c>
      <c r="J29" s="351">
        <v>2050</v>
      </c>
      <c r="K29" s="351">
        <f t="shared" si="1"/>
        <v>24600</v>
      </c>
      <c r="L29" s="351">
        <f t="shared" si="2"/>
        <v>2050</v>
      </c>
      <c r="M29" s="228">
        <f t="shared" si="8"/>
        <v>2050</v>
      </c>
      <c r="N29" s="73">
        <v>685.71</v>
      </c>
      <c r="O29" s="73">
        <f t="shared" si="3"/>
        <v>8228.52</v>
      </c>
      <c r="P29" s="74">
        <f t="shared" si="4"/>
        <v>1435</v>
      </c>
      <c r="R29">
        <f t="shared" si="5"/>
        <v>24600</v>
      </c>
      <c r="S29" s="74">
        <f t="shared" si="6"/>
        <v>1435</v>
      </c>
      <c r="T29">
        <f t="shared" si="7"/>
        <v>1435</v>
      </c>
    </row>
    <row r="30" spans="2:20" ht="14.25">
      <c r="B30" s="20"/>
      <c r="C30" s="19" t="s">
        <v>220</v>
      </c>
      <c r="D30" s="20">
        <v>1</v>
      </c>
      <c r="E30" s="25">
        <v>1700</v>
      </c>
      <c r="F30" s="25">
        <f>+(E30*D30)*12</f>
        <v>20400</v>
      </c>
      <c r="G30" s="249"/>
      <c r="H30" s="255">
        <v>1</v>
      </c>
      <c r="I30" s="255">
        <f t="shared" si="0"/>
        <v>1</v>
      </c>
      <c r="J30" s="351">
        <v>1750</v>
      </c>
      <c r="K30" s="351">
        <f t="shared" si="1"/>
        <v>21000</v>
      </c>
      <c r="L30" s="351">
        <f t="shared" si="2"/>
        <v>1750</v>
      </c>
      <c r="M30" s="228">
        <f t="shared" si="8"/>
        <v>1750</v>
      </c>
      <c r="N30" s="73">
        <v>685.71</v>
      </c>
      <c r="O30" s="73">
        <f>+N30*I30*12</f>
        <v>8228.52</v>
      </c>
      <c r="P30" s="74">
        <f t="shared" si="4"/>
        <v>1225</v>
      </c>
      <c r="R30">
        <f t="shared" si="5"/>
        <v>21000</v>
      </c>
      <c r="S30" s="74">
        <f t="shared" si="6"/>
        <v>1225</v>
      </c>
      <c r="T30">
        <f t="shared" si="7"/>
        <v>1225</v>
      </c>
    </row>
    <row r="31" spans="2:20" ht="14.25">
      <c r="B31" s="456" t="s">
        <v>198</v>
      </c>
      <c r="C31" s="19" t="s">
        <v>276</v>
      </c>
      <c r="D31" s="20">
        <v>1</v>
      </c>
      <c r="E31" s="25"/>
      <c r="F31" s="25"/>
      <c r="G31" s="249"/>
      <c r="H31" s="255">
        <v>1</v>
      </c>
      <c r="I31" s="255">
        <f t="shared" si="0"/>
        <v>1</v>
      </c>
      <c r="J31" s="351">
        <v>2500</v>
      </c>
      <c r="K31" s="351">
        <f t="shared" si="1"/>
        <v>30000</v>
      </c>
      <c r="L31" s="351">
        <f t="shared" si="2"/>
        <v>2500</v>
      </c>
      <c r="M31" s="228">
        <f t="shared" si="8"/>
        <v>2500</v>
      </c>
      <c r="N31" s="73">
        <v>685.71</v>
      </c>
      <c r="O31" s="73">
        <f t="shared" ref="O31:O37" si="9">+I31*N31*12</f>
        <v>8228.52</v>
      </c>
      <c r="P31" s="74">
        <f t="shared" si="4"/>
        <v>1750</v>
      </c>
      <c r="R31">
        <f t="shared" si="5"/>
        <v>30000</v>
      </c>
      <c r="S31" s="74">
        <f t="shared" si="6"/>
        <v>1750</v>
      </c>
      <c r="T31">
        <f t="shared" si="7"/>
        <v>1750</v>
      </c>
    </row>
    <row r="32" spans="2:20" ht="14.25">
      <c r="B32" s="456" t="s">
        <v>277</v>
      </c>
      <c r="C32" s="19" t="s">
        <v>39</v>
      </c>
      <c r="D32" s="20">
        <v>1</v>
      </c>
      <c r="E32" s="25">
        <v>1400</v>
      </c>
      <c r="F32" s="25">
        <f>+(E32*D32)*12</f>
        <v>16800</v>
      </c>
      <c r="G32" s="249"/>
      <c r="H32" s="255">
        <v>1</v>
      </c>
      <c r="I32" s="255">
        <v>1</v>
      </c>
      <c r="J32" s="351">
        <v>1450</v>
      </c>
      <c r="K32" s="351">
        <f t="shared" si="1"/>
        <v>17400</v>
      </c>
      <c r="L32" s="351">
        <f>I32*J32</f>
        <v>1450</v>
      </c>
      <c r="M32" s="228">
        <f t="shared" si="8"/>
        <v>1450</v>
      </c>
      <c r="N32" s="73">
        <v>685.71</v>
      </c>
      <c r="O32" s="73">
        <f t="shared" si="9"/>
        <v>8228.52</v>
      </c>
      <c r="P32" s="74">
        <f t="shared" si="4"/>
        <v>1015</v>
      </c>
      <c r="R32">
        <f t="shared" si="5"/>
        <v>17400</v>
      </c>
      <c r="S32" s="74">
        <f t="shared" si="6"/>
        <v>1015</v>
      </c>
      <c r="T32">
        <f t="shared" si="7"/>
        <v>1015</v>
      </c>
    </row>
    <row r="33" spans="2:21" ht="14.25">
      <c r="B33" s="456" t="s">
        <v>278</v>
      </c>
      <c r="C33" s="19" t="s">
        <v>260</v>
      </c>
      <c r="D33" s="20">
        <v>1</v>
      </c>
      <c r="E33" s="25"/>
      <c r="F33" s="25"/>
      <c r="G33" s="249"/>
      <c r="H33" s="255"/>
      <c r="I33" s="255">
        <f>SUM(G33:H33)</f>
        <v>0</v>
      </c>
      <c r="J33" s="351"/>
      <c r="K33" s="351">
        <f t="shared" si="1"/>
        <v>0</v>
      </c>
      <c r="L33" s="351">
        <f t="shared" ref="L33:L38" si="10">+I33*J33</f>
        <v>0</v>
      </c>
      <c r="M33" s="228">
        <f t="shared" si="8"/>
        <v>0</v>
      </c>
      <c r="N33" s="73"/>
      <c r="O33" s="73">
        <f t="shared" si="9"/>
        <v>0</v>
      </c>
      <c r="P33" s="74">
        <f t="shared" si="4"/>
        <v>0</v>
      </c>
      <c r="R33">
        <f t="shared" si="5"/>
        <v>0</v>
      </c>
      <c r="S33" s="74">
        <f t="shared" si="6"/>
        <v>0</v>
      </c>
      <c r="T33">
        <f t="shared" si="7"/>
        <v>0</v>
      </c>
    </row>
    <row r="34" spans="2:21" ht="14.25">
      <c r="B34" s="20"/>
      <c r="C34" s="19" t="s">
        <v>38</v>
      </c>
      <c r="D34" s="20">
        <v>1</v>
      </c>
      <c r="E34" s="25">
        <v>1400</v>
      </c>
      <c r="F34" s="25">
        <f>+(E34*D34)*12</f>
        <v>16800</v>
      </c>
      <c r="G34" s="249"/>
      <c r="H34" s="255">
        <v>1</v>
      </c>
      <c r="I34" s="255">
        <v>1</v>
      </c>
      <c r="J34" s="351">
        <v>1450</v>
      </c>
      <c r="K34" s="351">
        <f t="shared" si="1"/>
        <v>17400</v>
      </c>
      <c r="L34" s="351">
        <f t="shared" si="10"/>
        <v>1450</v>
      </c>
      <c r="M34" s="228">
        <f t="shared" si="8"/>
        <v>1450</v>
      </c>
      <c r="N34" s="73">
        <v>685.71</v>
      </c>
      <c r="O34" s="73">
        <f t="shared" si="9"/>
        <v>8228.52</v>
      </c>
      <c r="P34" s="74">
        <f t="shared" si="4"/>
        <v>1015</v>
      </c>
      <c r="R34">
        <f t="shared" si="5"/>
        <v>17400</v>
      </c>
      <c r="S34" s="74">
        <f t="shared" si="6"/>
        <v>1015</v>
      </c>
      <c r="T34">
        <f t="shared" si="7"/>
        <v>1015</v>
      </c>
    </row>
    <row r="35" spans="2:21" ht="14.25">
      <c r="B35" s="20"/>
      <c r="C35" s="19" t="s">
        <v>261</v>
      </c>
      <c r="D35" s="20">
        <v>1</v>
      </c>
      <c r="E35" s="25">
        <v>1200</v>
      </c>
      <c r="F35" s="25">
        <f>+(E35*D35)*12</f>
        <v>14400</v>
      </c>
      <c r="G35" s="249"/>
      <c r="H35" s="255">
        <v>1</v>
      </c>
      <c r="I35" s="255">
        <v>1</v>
      </c>
      <c r="J35" s="351">
        <v>1250</v>
      </c>
      <c r="K35" s="351">
        <f t="shared" si="1"/>
        <v>15000</v>
      </c>
      <c r="L35" s="351">
        <f t="shared" si="10"/>
        <v>1250</v>
      </c>
      <c r="M35" s="228">
        <f t="shared" si="8"/>
        <v>1250</v>
      </c>
      <c r="N35" s="73">
        <v>685.71</v>
      </c>
      <c r="O35" s="73">
        <f t="shared" si="9"/>
        <v>8228.52</v>
      </c>
      <c r="P35" s="74">
        <f t="shared" si="4"/>
        <v>875</v>
      </c>
      <c r="R35">
        <f t="shared" si="5"/>
        <v>15000</v>
      </c>
      <c r="S35" s="74">
        <f t="shared" si="6"/>
        <v>875</v>
      </c>
      <c r="T35">
        <f t="shared" si="7"/>
        <v>875</v>
      </c>
    </row>
    <row r="36" spans="2:21" ht="14.25">
      <c r="B36" s="20"/>
      <c r="C36" s="19" t="s">
        <v>195</v>
      </c>
      <c r="D36" s="20">
        <v>1</v>
      </c>
      <c r="E36" s="25">
        <v>800</v>
      </c>
      <c r="F36" s="25">
        <f>+(E36*D36)*12</f>
        <v>9600</v>
      </c>
      <c r="G36" s="249"/>
      <c r="H36" s="255">
        <v>1</v>
      </c>
      <c r="I36" s="255">
        <v>1</v>
      </c>
      <c r="J36" s="351">
        <v>850</v>
      </c>
      <c r="K36" s="351">
        <f t="shared" si="1"/>
        <v>10200</v>
      </c>
      <c r="L36" s="351">
        <f t="shared" si="10"/>
        <v>850</v>
      </c>
      <c r="M36" s="228">
        <f t="shared" si="8"/>
        <v>850</v>
      </c>
      <c r="N36" s="73">
        <v>685.71</v>
      </c>
      <c r="O36" s="73">
        <f t="shared" si="9"/>
        <v>8228.52</v>
      </c>
      <c r="P36" s="74">
        <f t="shared" si="4"/>
        <v>595</v>
      </c>
      <c r="R36">
        <f t="shared" si="5"/>
        <v>10200</v>
      </c>
      <c r="S36" s="74">
        <f t="shared" si="6"/>
        <v>595</v>
      </c>
      <c r="T36">
        <f t="shared" si="7"/>
        <v>595</v>
      </c>
    </row>
    <row r="37" spans="2:21" ht="14.25">
      <c r="B37" s="20"/>
      <c r="C37" s="19" t="s">
        <v>196</v>
      </c>
      <c r="D37" s="20">
        <v>1</v>
      </c>
      <c r="E37" s="25">
        <v>800</v>
      </c>
      <c r="F37" s="25">
        <f>+(E37*D37)*12</f>
        <v>9600</v>
      </c>
      <c r="G37" s="249"/>
      <c r="H37" s="255">
        <v>1</v>
      </c>
      <c r="I37" s="255">
        <f>SUM(G37:H37)</f>
        <v>1</v>
      </c>
      <c r="J37" s="351">
        <v>850</v>
      </c>
      <c r="K37" s="351">
        <f t="shared" si="1"/>
        <v>10200</v>
      </c>
      <c r="L37" s="351">
        <f t="shared" si="10"/>
        <v>850</v>
      </c>
      <c r="M37" s="228">
        <f t="shared" si="8"/>
        <v>850</v>
      </c>
      <c r="N37" s="73">
        <v>685.71</v>
      </c>
      <c r="O37" s="73">
        <f t="shared" si="9"/>
        <v>8228.52</v>
      </c>
      <c r="P37" s="74">
        <f t="shared" si="4"/>
        <v>595</v>
      </c>
      <c r="R37">
        <f t="shared" si="5"/>
        <v>10200</v>
      </c>
      <c r="S37" s="74">
        <f t="shared" si="6"/>
        <v>595</v>
      </c>
      <c r="T37">
        <f t="shared" si="7"/>
        <v>595</v>
      </c>
    </row>
    <row r="38" spans="2:21" ht="14.25">
      <c r="B38" s="20"/>
      <c r="C38" s="19" t="s">
        <v>262</v>
      </c>
      <c r="D38" s="20">
        <v>1</v>
      </c>
      <c r="E38" s="25">
        <v>500</v>
      </c>
      <c r="F38" s="25">
        <f>+(E38*D38)*12</f>
        <v>6000</v>
      </c>
      <c r="G38" s="249"/>
      <c r="H38" s="255">
        <v>1</v>
      </c>
      <c r="I38" s="255">
        <f>SUM(G38:H38)</f>
        <v>1</v>
      </c>
      <c r="J38" s="351">
        <v>550</v>
      </c>
      <c r="K38" s="351">
        <f t="shared" si="1"/>
        <v>6600</v>
      </c>
      <c r="L38" s="351">
        <f t="shared" si="10"/>
        <v>550</v>
      </c>
      <c r="M38" s="228">
        <f t="shared" si="8"/>
        <v>550</v>
      </c>
      <c r="N38" s="73">
        <v>550</v>
      </c>
      <c r="O38" s="73">
        <f>+N38*I38*12</f>
        <v>6600</v>
      </c>
      <c r="P38" s="74">
        <f t="shared" si="4"/>
        <v>385</v>
      </c>
      <c r="R38">
        <f t="shared" si="5"/>
        <v>6600</v>
      </c>
      <c r="S38" s="74">
        <f t="shared" si="6"/>
        <v>385</v>
      </c>
      <c r="T38">
        <f t="shared" si="7"/>
        <v>385</v>
      </c>
    </row>
    <row r="39" spans="2:21" s="225" customFormat="1" ht="11.25" customHeight="1">
      <c r="B39" s="20"/>
      <c r="C39" s="223"/>
      <c r="D39" s="222"/>
      <c r="E39" s="224"/>
      <c r="F39" s="224"/>
      <c r="G39" s="250"/>
      <c r="H39" s="255"/>
      <c r="I39" s="255"/>
      <c r="J39" s="351"/>
      <c r="K39" s="351"/>
      <c r="L39" s="351"/>
      <c r="M39" s="229"/>
      <c r="N39" s="226"/>
      <c r="O39" s="226"/>
      <c r="P39" s="226"/>
      <c r="S39" s="226"/>
      <c r="T39"/>
    </row>
    <row r="40" spans="2:21" s="225" customFormat="1" ht="15.75">
      <c r="B40" s="524">
        <v>2008</v>
      </c>
      <c r="C40" s="223" t="s">
        <v>218</v>
      </c>
      <c r="D40" s="222">
        <v>1</v>
      </c>
      <c r="E40" s="224"/>
      <c r="F40" s="224"/>
      <c r="G40" s="250"/>
      <c r="H40" s="255">
        <v>1</v>
      </c>
      <c r="I40" s="255">
        <f>SUM(G40:H40)</f>
        <v>1</v>
      </c>
      <c r="J40" s="352">
        <v>3600</v>
      </c>
      <c r="K40" s="351">
        <f>J40*I40*12</f>
        <v>43200</v>
      </c>
      <c r="L40" s="351">
        <f>+I40*J40</f>
        <v>3600</v>
      </c>
      <c r="M40" s="457">
        <f>+J40*0.9</f>
        <v>3240</v>
      </c>
      <c r="N40" s="226">
        <v>685.71</v>
      </c>
      <c r="O40" s="226">
        <f>+I40*N40*12</f>
        <v>8228.52</v>
      </c>
      <c r="P40" s="226">
        <f>+((J40/30)*21)*I40</f>
        <v>2520</v>
      </c>
      <c r="R40" s="225">
        <f>IF(J40&gt;4501.95,4501.95,J40)*I40*12</f>
        <v>43200</v>
      </c>
      <c r="S40" s="226">
        <f>J40/30*21</f>
        <v>2520</v>
      </c>
      <c r="T40" s="240">
        <f>IF(S40&gt;4501.95,4501.95,S40)*I40</f>
        <v>2520</v>
      </c>
    </row>
    <row r="41" spans="2:21" s="225" customFormat="1" ht="14.25">
      <c r="B41" s="525"/>
      <c r="C41" s="223" t="s">
        <v>219</v>
      </c>
      <c r="D41" s="222">
        <v>1</v>
      </c>
      <c r="E41" s="224"/>
      <c r="F41" s="224"/>
      <c r="G41" s="250"/>
      <c r="H41" s="255">
        <v>1</v>
      </c>
      <c r="I41" s="255">
        <f>SUM(G41:H41)</f>
        <v>1</v>
      </c>
      <c r="J41" s="351">
        <v>3200</v>
      </c>
      <c r="K41" s="351">
        <f>J41*I41*12</f>
        <v>38400</v>
      </c>
      <c r="L41" s="351">
        <f>+I41*J41</f>
        <v>3200</v>
      </c>
      <c r="M41" s="229">
        <f>+L41</f>
        <v>3200</v>
      </c>
      <c r="N41" s="226">
        <v>685.71</v>
      </c>
      <c r="O41" s="226">
        <f>+I41*N41*12</f>
        <v>8228.52</v>
      </c>
      <c r="P41" s="226">
        <f>+((J41/30)*21)*I41</f>
        <v>2240</v>
      </c>
      <c r="R41" s="225">
        <f>IF(J41&gt;4501.95,4501.95,J41)*I41*12</f>
        <v>38400</v>
      </c>
      <c r="S41" s="226">
        <f>J41/30*21</f>
        <v>2240</v>
      </c>
      <c r="T41" s="240">
        <f>IF(S41&gt;4501.95,4501.95,S41)*I41</f>
        <v>2240</v>
      </c>
    </row>
    <row r="42" spans="2:21" s="241" customFormat="1" ht="14.25">
      <c r="B42" s="525"/>
      <c r="C42" s="223" t="s">
        <v>264</v>
      </c>
      <c r="D42" s="242">
        <v>1</v>
      </c>
      <c r="E42" s="243">
        <v>2000</v>
      </c>
      <c r="F42" s="25">
        <f>+(E42*D42)*12</f>
        <v>24000</v>
      </c>
      <c r="G42" s="251"/>
      <c r="H42" s="255">
        <v>1</v>
      </c>
      <c r="I42" s="255">
        <f>SUM(G42:H42)</f>
        <v>1</v>
      </c>
      <c r="J42" s="351">
        <v>2050</v>
      </c>
      <c r="K42" s="351">
        <f>J42*I42*12</f>
        <v>24600</v>
      </c>
      <c r="L42" s="351">
        <f>+I42*J42</f>
        <v>2050</v>
      </c>
      <c r="M42" s="228">
        <f>+L42</f>
        <v>2050</v>
      </c>
      <c r="N42" s="73">
        <v>685.71</v>
      </c>
      <c r="O42" s="73">
        <f>+I42*N42*12</f>
        <v>8228.52</v>
      </c>
      <c r="P42" s="74">
        <f>+((J42/30)*21)*I42</f>
        <v>1435</v>
      </c>
      <c r="Q42"/>
      <c r="R42">
        <f>IF(J42&gt;4501.95,4501.95,J42)*I42*12</f>
        <v>24600</v>
      </c>
      <c r="S42" s="74">
        <f>J42/30*21</f>
        <v>1435</v>
      </c>
      <c r="T42">
        <f>IF(S42&gt;4501.95,4501.95,S42)*I42</f>
        <v>1435</v>
      </c>
      <c r="U42"/>
    </row>
    <row r="43" spans="2:21" s="225" customFormat="1" ht="14.25">
      <c r="B43" s="525"/>
      <c r="C43" s="223" t="s">
        <v>221</v>
      </c>
      <c r="D43" s="222">
        <v>1</v>
      </c>
      <c r="E43" s="224">
        <v>800</v>
      </c>
      <c r="F43" s="25">
        <f>+(E43*D43)*12</f>
        <v>9600</v>
      </c>
      <c r="G43" s="250"/>
      <c r="H43" s="255">
        <v>1</v>
      </c>
      <c r="I43" s="255">
        <v>1</v>
      </c>
      <c r="J43" s="351">
        <v>850</v>
      </c>
      <c r="K43" s="351">
        <f>J43*I43*12</f>
        <v>10200</v>
      </c>
      <c r="L43" s="351">
        <f>+I43*J43</f>
        <v>850</v>
      </c>
      <c r="M43" s="229">
        <f>+L43</f>
        <v>850</v>
      </c>
      <c r="N43" s="226">
        <v>685.71</v>
      </c>
      <c r="O43" s="226">
        <f>+I43*N43*12</f>
        <v>8228.52</v>
      </c>
      <c r="P43" s="226">
        <f>+((J43/30)*21)*I43</f>
        <v>595</v>
      </c>
      <c r="R43" s="225">
        <f>IF(J43&gt;4501.95,4501.95,J43)*I43*12</f>
        <v>10200</v>
      </c>
      <c r="S43" s="226">
        <f>J43/30*21</f>
        <v>595</v>
      </c>
      <c r="T43">
        <f>IF(S43&gt;4501.95,4501.95,S43)*I43</f>
        <v>595</v>
      </c>
    </row>
    <row r="44" spans="2:21" s="225" customFormat="1" ht="14.25">
      <c r="B44" s="525"/>
      <c r="C44" s="223" t="s">
        <v>282</v>
      </c>
      <c r="D44" s="222">
        <v>1</v>
      </c>
      <c r="E44" s="224">
        <v>420</v>
      </c>
      <c r="F44" s="25">
        <f>+(E44*D44)*12</f>
        <v>5040</v>
      </c>
      <c r="G44" s="250"/>
      <c r="H44" s="255">
        <v>1</v>
      </c>
      <c r="I44" s="255">
        <v>1</v>
      </c>
      <c r="J44" s="351">
        <v>470</v>
      </c>
      <c r="K44" s="351">
        <f>J44*I44*12</f>
        <v>5640</v>
      </c>
      <c r="L44" s="351">
        <f>+I44*J44</f>
        <v>470</v>
      </c>
      <c r="M44" s="229">
        <f>+L44</f>
        <v>470</v>
      </c>
      <c r="N44" s="226">
        <v>420</v>
      </c>
      <c r="O44" s="226">
        <f>+N44*I44*12</f>
        <v>5040</v>
      </c>
      <c r="P44" s="226"/>
      <c r="R44" s="225">
        <f>IF(J44&gt;4501.95,4501.95,J44)*I44*12</f>
        <v>5640</v>
      </c>
      <c r="S44" s="226">
        <f>J44/30*21</f>
        <v>329</v>
      </c>
      <c r="T44">
        <f>IF(S44&gt;4501.95,4501.95,S44)*I44</f>
        <v>329</v>
      </c>
    </row>
    <row r="45" spans="2:21" s="225" customFormat="1" ht="11.25" customHeight="1">
      <c r="B45" s="20"/>
      <c r="C45" s="223"/>
      <c r="D45" s="222"/>
      <c r="E45" s="224"/>
      <c r="F45" s="224"/>
      <c r="G45" s="250"/>
      <c r="H45" s="255"/>
      <c r="I45" s="255"/>
      <c r="J45" s="351"/>
      <c r="K45" s="351"/>
      <c r="L45" s="351"/>
      <c r="M45" s="229"/>
      <c r="N45" s="226"/>
      <c r="O45" s="226"/>
      <c r="P45" s="226"/>
      <c r="S45" s="226"/>
      <c r="T45"/>
    </row>
    <row r="46" spans="2:21" s="327" customFormat="1" ht="15.75">
      <c r="B46" s="447" t="s">
        <v>198</v>
      </c>
      <c r="C46" s="448" t="s">
        <v>286</v>
      </c>
      <c r="D46" s="449"/>
      <c r="E46" s="450"/>
      <c r="F46" s="450"/>
      <c r="G46" s="451"/>
      <c r="H46" s="452">
        <v>1</v>
      </c>
      <c r="I46" s="452">
        <f>SUM(G46:H46)</f>
        <v>1</v>
      </c>
      <c r="J46" s="453">
        <v>4000</v>
      </c>
      <c r="K46" s="454">
        <f>J46*I46*12</f>
        <v>48000</v>
      </c>
      <c r="L46" s="454">
        <f>+I46*J46</f>
        <v>4000</v>
      </c>
      <c r="M46" s="458">
        <f>+J46*0.8</f>
        <v>3200</v>
      </c>
      <c r="N46" s="455">
        <v>685.71</v>
      </c>
      <c r="O46" s="455">
        <f>+I46*N46*12</f>
        <v>8228.52</v>
      </c>
      <c r="P46" s="455">
        <f>+((J46/30)*21)*I46</f>
        <v>2800</v>
      </c>
      <c r="R46" s="327">
        <f>IF(J46&gt;4501.95,4501.95,J46)*I46*12</f>
        <v>48000</v>
      </c>
      <c r="S46" s="455">
        <f>J46/30*21</f>
        <v>2800</v>
      </c>
      <c r="T46" s="327">
        <f>IF(S46&gt;4501.95,4501.95,S46)*I46</f>
        <v>2800</v>
      </c>
    </row>
    <row r="47" spans="2:21" ht="14.25">
      <c r="B47" s="523"/>
      <c r="C47" s="19" t="s">
        <v>28</v>
      </c>
      <c r="D47" s="20"/>
      <c r="E47" s="25"/>
      <c r="F47" s="25"/>
      <c r="G47" s="249"/>
      <c r="H47" s="255">
        <v>1</v>
      </c>
      <c r="I47" s="255">
        <f>SUM(G47:H47)</f>
        <v>1</v>
      </c>
      <c r="J47" s="351">
        <v>2500</v>
      </c>
      <c r="K47" s="351">
        <f>J47*I47*12</f>
        <v>30000</v>
      </c>
      <c r="L47" s="351">
        <f>+I47*J47</f>
        <v>2500</v>
      </c>
      <c r="M47" s="228">
        <f>+L47</f>
        <v>2500</v>
      </c>
      <c r="N47" s="73">
        <v>685.71</v>
      </c>
      <c r="O47" s="73">
        <f>+I47*N47*12</f>
        <v>8228.52</v>
      </c>
      <c r="P47" s="74">
        <f>+((J47/30)*21)*I47</f>
        <v>1750</v>
      </c>
      <c r="R47">
        <f>IF(J47&gt;4501.95,4501.95,J47)*I47*12</f>
        <v>30000</v>
      </c>
      <c r="S47" s="74">
        <f>J47/30*21</f>
        <v>1750</v>
      </c>
      <c r="T47" s="240">
        <f>IF(S47&gt;4501.95,4501.95,S47)*I47</f>
        <v>1750</v>
      </c>
    </row>
    <row r="48" spans="2:21" ht="14.25">
      <c r="B48" s="523"/>
      <c r="C48" s="19" t="s">
        <v>29</v>
      </c>
      <c r="D48" s="20"/>
      <c r="E48" s="25"/>
      <c r="F48" s="25"/>
      <c r="G48" s="249"/>
      <c r="H48" s="255">
        <v>1</v>
      </c>
      <c r="I48" s="255">
        <f>SUM(G48:H48)</f>
        <v>1</v>
      </c>
      <c r="J48" s="351">
        <v>2500</v>
      </c>
      <c r="K48" s="351">
        <f>J48*I48*12</f>
        <v>30000</v>
      </c>
      <c r="L48" s="351">
        <f>+I48*J48</f>
        <v>2500</v>
      </c>
      <c r="M48" s="228">
        <f>+L48</f>
        <v>2500</v>
      </c>
      <c r="N48" s="73">
        <v>685.71</v>
      </c>
      <c r="O48" s="73">
        <f>+I48*N48*12</f>
        <v>8228.52</v>
      </c>
      <c r="P48" s="74">
        <f>+((J48/30)*21)*I48</f>
        <v>1750</v>
      </c>
      <c r="R48">
        <f>IF(J48&gt;4501.95,4501.95,J48)*I48*12</f>
        <v>30000</v>
      </c>
      <c r="S48" s="74">
        <f>J48/30*21</f>
        <v>1750</v>
      </c>
      <c r="T48">
        <f>IF(S48&gt;4501.95,4501.95,S48)*I48</f>
        <v>1750</v>
      </c>
    </row>
    <row r="49" spans="2:20" ht="14.25">
      <c r="B49" s="523"/>
      <c r="C49" s="19" t="s">
        <v>263</v>
      </c>
      <c r="D49" s="20"/>
      <c r="E49" s="25"/>
      <c r="F49" s="25"/>
      <c r="G49" s="249"/>
      <c r="H49" s="255">
        <v>1</v>
      </c>
      <c r="I49" s="255">
        <v>1</v>
      </c>
      <c r="J49" s="351">
        <v>1800</v>
      </c>
      <c r="K49" s="351">
        <f>J49*I49*12</f>
        <v>21600</v>
      </c>
      <c r="L49" s="351">
        <f>+I49*J49</f>
        <v>1800</v>
      </c>
      <c r="M49" s="228">
        <f>+L49</f>
        <v>1800</v>
      </c>
      <c r="N49" s="73">
        <v>685.71</v>
      </c>
      <c r="O49" s="73">
        <f>+I49*N49*12</f>
        <v>8228.52</v>
      </c>
      <c r="P49" s="74">
        <f>+((J49/30)*21)*I49</f>
        <v>1260</v>
      </c>
      <c r="R49">
        <f>IF(J49&gt;4501.95,4501.95,J49)*I49*12</f>
        <v>21600</v>
      </c>
      <c r="S49" s="74">
        <f>J49/30*21</f>
        <v>1260</v>
      </c>
      <c r="T49">
        <f>IF(S49&gt;4501.95,4501.95,S49)*I49</f>
        <v>1260</v>
      </c>
    </row>
    <row r="50" spans="2:20" ht="14.25">
      <c r="B50" s="523"/>
      <c r="C50" s="19" t="s">
        <v>287</v>
      </c>
      <c r="D50" s="20"/>
      <c r="E50" s="25"/>
      <c r="F50" s="25"/>
      <c r="G50" s="249"/>
      <c r="H50" s="255">
        <v>1</v>
      </c>
      <c r="I50" s="255">
        <v>1</v>
      </c>
      <c r="J50" s="351">
        <v>850</v>
      </c>
      <c r="K50" s="351">
        <f>J50*I50*12</f>
        <v>10200</v>
      </c>
      <c r="L50" s="351">
        <f>+I50*J50</f>
        <v>850</v>
      </c>
      <c r="M50" s="228">
        <f>+L50</f>
        <v>850</v>
      </c>
      <c r="N50" s="73">
        <v>685.71</v>
      </c>
      <c r="O50" s="73">
        <f>+I50*N50*12</f>
        <v>8228.52</v>
      </c>
      <c r="P50" s="74">
        <f>+((J50/30)*21)*I50</f>
        <v>595</v>
      </c>
      <c r="R50">
        <f>IF(J50&gt;4501.95,4501.95,J50)*I50*12</f>
        <v>10200</v>
      </c>
      <c r="S50" s="74">
        <f>J50/30*21</f>
        <v>595</v>
      </c>
      <c r="T50">
        <f>IF(S50&gt;4501.95,4501.95,S50)*I50</f>
        <v>595</v>
      </c>
    </row>
    <row r="51" spans="2:20" ht="15" thickBot="1">
      <c r="B51" s="20"/>
      <c r="C51" s="19"/>
      <c r="D51" s="20"/>
      <c r="E51" s="25"/>
      <c r="F51" s="25"/>
      <c r="G51" s="252"/>
      <c r="H51" s="256"/>
      <c r="I51" s="256"/>
      <c r="J51" s="257"/>
      <c r="K51" s="258"/>
      <c r="L51" s="258"/>
      <c r="N51" s="73"/>
      <c r="O51" s="73"/>
      <c r="P51" s="74"/>
    </row>
    <row r="52" spans="2:20" ht="15.75" thickBot="1">
      <c r="B52" s="21"/>
      <c r="C52" s="22" t="s">
        <v>22</v>
      </c>
      <c r="D52" s="32">
        <f>SUM(D18:D51)</f>
        <v>30</v>
      </c>
      <c r="E52" s="26"/>
      <c r="F52" s="29"/>
      <c r="G52" s="23"/>
      <c r="H52" s="32"/>
      <c r="I52" s="32">
        <f>SUM(I18:I51)</f>
        <v>34</v>
      </c>
      <c r="J52" s="30"/>
      <c r="K52" s="88">
        <f>SUM(K18:K51)</f>
        <v>965040</v>
      </c>
      <c r="L52" s="88">
        <f>SUM(L18:L51)</f>
        <v>80420</v>
      </c>
      <c r="M52" s="228">
        <f>SUM(M18:M51)</f>
        <v>78320</v>
      </c>
      <c r="N52" s="73">
        <f>SUM(N16:N51)</f>
        <v>20169.879999999986</v>
      </c>
      <c r="O52" s="73">
        <f>SUM(O16:O51)</f>
        <v>274952.6399999999</v>
      </c>
      <c r="P52" s="74">
        <f>SUM(P18:P51)</f>
        <v>55965</v>
      </c>
      <c r="R52" s="74">
        <f>SUM(R18:R51)</f>
        <v>959063.4</v>
      </c>
      <c r="S52" s="74"/>
      <c r="T52" s="74">
        <f>SUM(T18:T51)</f>
        <v>56294</v>
      </c>
    </row>
    <row r="53" spans="2:20" ht="14.25">
      <c r="B53" s="24"/>
      <c r="C53" s="24"/>
      <c r="D53" s="24"/>
      <c r="E53" s="24"/>
      <c r="F53" s="24"/>
      <c r="G53" s="24"/>
      <c r="H53" s="24"/>
      <c r="I53" s="24"/>
      <c r="J53" s="27"/>
      <c r="K53" s="27">
        <f>+K52*0.01</f>
        <v>9650.4</v>
      </c>
      <c r="L53" s="27"/>
      <c r="N53" s="246">
        <f>+(N52+N21+N24+N26+N25+N41)</f>
        <v>23598.429999999982</v>
      </c>
      <c r="R53">
        <f>+R52/12</f>
        <v>79921.95</v>
      </c>
    </row>
    <row r="54" spans="2:20" ht="14.25">
      <c r="B54" s="24"/>
      <c r="C54" s="24"/>
      <c r="D54" s="230" t="s">
        <v>222</v>
      </c>
      <c r="E54" s="230" t="s">
        <v>223</v>
      </c>
      <c r="F54" s="24"/>
      <c r="G54" s="24"/>
      <c r="H54" s="24"/>
      <c r="I54" s="24"/>
      <c r="J54" s="27"/>
      <c r="K54" s="27"/>
      <c r="L54" s="27"/>
    </row>
    <row r="55" spans="2:20" ht="14.25">
      <c r="B55" s="342">
        <v>51201</v>
      </c>
      <c r="C55" s="343" t="s">
        <v>35</v>
      </c>
      <c r="D55" s="466">
        <f>+M52</f>
        <v>78320</v>
      </c>
      <c r="E55" s="467">
        <f>+D55*12</f>
        <v>939840</v>
      </c>
      <c r="F55" s="24"/>
      <c r="G55" s="24"/>
      <c r="H55" s="24"/>
      <c r="I55" s="24"/>
      <c r="J55" s="28"/>
      <c r="K55" s="27"/>
      <c r="L55" s="27"/>
    </row>
    <row r="56" spans="2:20" ht="14.25">
      <c r="B56" s="342">
        <v>51402</v>
      </c>
      <c r="C56" s="343" t="s">
        <v>31</v>
      </c>
      <c r="D56" s="346">
        <f>0.075*N52</f>
        <v>1512.7409999999988</v>
      </c>
      <c r="E56" s="346" t="e">
        <f>0.075*O52+#REF!</f>
        <v>#REF!</v>
      </c>
      <c r="F56" s="24"/>
      <c r="G56" s="24"/>
      <c r="H56" s="24"/>
      <c r="I56" s="28"/>
      <c r="J56" s="28"/>
      <c r="K56" s="28"/>
      <c r="L56" s="28"/>
      <c r="M56" s="28"/>
    </row>
    <row r="57" spans="2:20" ht="14.25">
      <c r="B57" s="342">
        <v>51402</v>
      </c>
      <c r="C57" s="343" t="s">
        <v>32</v>
      </c>
      <c r="D57" s="346">
        <f>+D55*0.0065</f>
        <v>509.08</v>
      </c>
      <c r="E57" s="346">
        <f>+E55*0.0065</f>
        <v>6108.96</v>
      </c>
      <c r="F57" s="459" t="e">
        <f>SUM(E56:E57)</f>
        <v>#REF!</v>
      </c>
      <c r="G57" s="24"/>
      <c r="H57" s="24"/>
      <c r="I57" s="28"/>
      <c r="J57" s="28"/>
      <c r="K57" s="28"/>
      <c r="L57" s="28"/>
      <c r="M57" s="28"/>
    </row>
    <row r="58" spans="2:20" ht="14.25">
      <c r="B58" s="342">
        <v>51502</v>
      </c>
      <c r="C58" s="343" t="s">
        <v>17</v>
      </c>
      <c r="D58" s="344">
        <f>+D55*0.0675</f>
        <v>5286.6</v>
      </c>
      <c r="E58" s="468">
        <f>(E55)*6.75%</f>
        <v>63439.200000000004</v>
      </c>
      <c r="F58" s="459"/>
      <c r="G58" s="24"/>
      <c r="H58" s="24"/>
      <c r="I58" s="28"/>
      <c r="J58" s="28"/>
      <c r="K58" s="28"/>
      <c r="L58" s="28"/>
      <c r="M58" s="28"/>
    </row>
    <row r="59" spans="2:20" ht="14.25">
      <c r="B59" s="342"/>
      <c r="C59" s="343"/>
      <c r="D59" s="344"/>
      <c r="E59" s="347" t="e">
        <f>+#REF!</f>
        <v>#REF!</v>
      </c>
      <c r="F59" s="459" t="e">
        <f>SUM(E58:E59)</f>
        <v>#REF!</v>
      </c>
      <c r="G59" s="24"/>
      <c r="H59" s="24"/>
      <c r="I59" s="28"/>
      <c r="J59" s="28"/>
      <c r="K59" s="28"/>
      <c r="L59" s="28"/>
      <c r="M59" s="28"/>
    </row>
    <row r="60" spans="2:20" ht="14.25">
      <c r="B60" s="35">
        <v>51203</v>
      </c>
      <c r="C60" s="343" t="s">
        <v>33</v>
      </c>
      <c r="D60" s="344"/>
      <c r="E60" s="469">
        <f>+D55</f>
        <v>78320</v>
      </c>
      <c r="F60" s="459"/>
      <c r="I60" s="28"/>
      <c r="J60" s="28"/>
      <c r="K60" s="28"/>
      <c r="L60" s="28"/>
      <c r="M60" s="28"/>
    </row>
    <row r="61" spans="2:20" ht="14.25">
      <c r="B61" s="512">
        <v>51207</v>
      </c>
      <c r="C61" s="514" t="s">
        <v>30</v>
      </c>
      <c r="D61" s="344"/>
      <c r="E61" s="469">
        <f>+E60</f>
        <v>78320</v>
      </c>
      <c r="F61" s="459"/>
      <c r="I61" s="28"/>
      <c r="J61" s="28"/>
      <c r="K61" s="28"/>
      <c r="L61" s="28"/>
      <c r="M61" s="28"/>
    </row>
    <row r="62" spans="2:20" ht="14.25">
      <c r="B62" s="513"/>
      <c r="C62" s="515"/>
      <c r="D62" s="344"/>
      <c r="E62" s="350" t="e">
        <f>+#REF!</f>
        <v>#REF!</v>
      </c>
      <c r="F62" s="459" t="e">
        <f>SUM(E61:E62)</f>
        <v>#REF!</v>
      </c>
      <c r="I62" s="28"/>
      <c r="J62" s="28"/>
      <c r="K62" s="28"/>
      <c r="L62" s="28"/>
      <c r="M62" s="28"/>
    </row>
    <row r="63" spans="2:20" ht="14.25">
      <c r="B63" s="342">
        <v>51105</v>
      </c>
      <c r="C63" s="343" t="s">
        <v>34</v>
      </c>
      <c r="D63" s="344"/>
      <c r="E63" s="465">
        <f>75*5*4*12</f>
        <v>18000</v>
      </c>
      <c r="F63" s="34"/>
      <c r="I63" s="28"/>
      <c r="J63" s="28"/>
      <c r="K63" s="28"/>
      <c r="L63" s="28"/>
      <c r="M63" s="28"/>
    </row>
    <row r="64" spans="2:20" ht="14.25">
      <c r="B64" s="342">
        <v>51601</v>
      </c>
      <c r="C64" s="343" t="s">
        <v>193</v>
      </c>
      <c r="D64" s="344"/>
      <c r="E64" s="348"/>
      <c r="F64" s="34"/>
      <c r="I64" s="28"/>
      <c r="J64" s="28"/>
      <c r="K64" s="28"/>
      <c r="L64" s="28"/>
      <c r="M64" s="28"/>
    </row>
    <row r="65" spans="2:13" ht="14.25">
      <c r="B65" s="342">
        <v>51999</v>
      </c>
      <c r="C65" s="343" t="s">
        <v>64</v>
      </c>
      <c r="D65" s="344"/>
      <c r="E65" s="345">
        <f>+(166.666666666667)*5*7</f>
        <v>5833.3333333333449</v>
      </c>
      <c r="F65" s="34"/>
      <c r="I65" s="28"/>
      <c r="J65" s="28"/>
      <c r="K65" s="28"/>
      <c r="L65" s="28"/>
      <c r="M65" s="28"/>
    </row>
    <row r="66" spans="2:13" ht="14.25">
      <c r="C66" s="31" t="s">
        <v>18</v>
      </c>
      <c r="D66" s="232">
        <f>SUM(D55:D65)</f>
        <v>85628.421000000002</v>
      </c>
      <c r="E66" s="106" t="e">
        <f>SUM(E55:E65)</f>
        <v>#REF!</v>
      </c>
      <c r="F66" s="75"/>
      <c r="I66" s="28"/>
      <c r="J66" s="28"/>
      <c r="K66" s="28"/>
      <c r="L66" s="28"/>
      <c r="M66" s="28"/>
    </row>
    <row r="67" spans="2:13" ht="14.25">
      <c r="I67" s="28"/>
      <c r="J67" s="28"/>
      <c r="K67" s="28"/>
      <c r="L67" s="28"/>
      <c r="M67" s="28"/>
    </row>
    <row r="68" spans="2:13" ht="14.25">
      <c r="C68" t="s">
        <v>265</v>
      </c>
      <c r="I68" s="28"/>
      <c r="J68" s="28"/>
      <c r="K68" s="28"/>
      <c r="L68" s="28"/>
      <c r="M68" s="28"/>
    </row>
    <row r="69" spans="2:13">
      <c r="D69" s="117"/>
    </row>
    <row r="70" spans="2:13">
      <c r="D70" s="196" t="s">
        <v>266</v>
      </c>
    </row>
    <row r="71" spans="2:13">
      <c r="D71" s="196" t="s">
        <v>267</v>
      </c>
      <c r="E71" s="354">
        <v>1</v>
      </c>
      <c r="G71" s="246">
        <v>2500</v>
      </c>
      <c r="H71">
        <v>2900</v>
      </c>
      <c r="I71" s="246">
        <v>3600</v>
      </c>
      <c r="J71" s="328">
        <v>4000</v>
      </c>
    </row>
    <row r="72" spans="2:13">
      <c r="D72" s="353" t="s">
        <v>268</v>
      </c>
      <c r="E72" s="108">
        <v>0.95</v>
      </c>
      <c r="F72" s="108"/>
      <c r="G72" s="246">
        <f t="shared" ref="G72:G77" si="11">+G$71*E72</f>
        <v>2375</v>
      </c>
      <c r="H72" s="246">
        <f t="shared" ref="H72:H77" si="12">+H$71*E72</f>
        <v>2755</v>
      </c>
      <c r="I72" s="246">
        <f t="shared" ref="I72:I77" si="13">+I$71*E72</f>
        <v>3420</v>
      </c>
      <c r="J72" s="328">
        <f t="shared" ref="J72:J77" si="14">+J$71*E72</f>
        <v>3800</v>
      </c>
      <c r="K72" s="108"/>
      <c r="L72" s="108"/>
    </row>
    <row r="73" spans="2:13">
      <c r="C73" s="107"/>
      <c r="D73" s="353" t="s">
        <v>269</v>
      </c>
      <c r="E73" s="108">
        <v>0.9</v>
      </c>
      <c r="F73" s="108"/>
      <c r="G73" s="246">
        <f t="shared" si="11"/>
        <v>2250</v>
      </c>
      <c r="H73" s="246">
        <f t="shared" si="12"/>
        <v>2610</v>
      </c>
      <c r="I73" s="356">
        <f t="shared" si="13"/>
        <v>3240</v>
      </c>
      <c r="J73" s="328">
        <f t="shared" si="14"/>
        <v>3600</v>
      </c>
      <c r="K73" s="108"/>
      <c r="L73" s="108"/>
    </row>
    <row r="74" spans="2:13">
      <c r="C74" s="107"/>
      <c r="D74" s="353" t="s">
        <v>270</v>
      </c>
      <c r="E74" s="108">
        <v>0.85</v>
      </c>
      <c r="F74" s="128"/>
      <c r="G74" s="246">
        <f t="shared" si="11"/>
        <v>2125</v>
      </c>
      <c r="H74" s="246">
        <f t="shared" si="12"/>
        <v>2465</v>
      </c>
      <c r="I74" s="246">
        <f t="shared" si="13"/>
        <v>3060</v>
      </c>
      <c r="J74" s="328">
        <f t="shared" si="14"/>
        <v>3400</v>
      </c>
      <c r="K74" s="108"/>
      <c r="L74" s="108"/>
    </row>
    <row r="75" spans="2:13">
      <c r="C75" s="107"/>
      <c r="D75" s="353" t="s">
        <v>271</v>
      </c>
      <c r="E75" s="108">
        <v>0.8</v>
      </c>
      <c r="F75" s="108"/>
      <c r="G75" s="246">
        <f t="shared" si="11"/>
        <v>2000</v>
      </c>
      <c r="H75" s="246">
        <f t="shared" si="12"/>
        <v>2320</v>
      </c>
      <c r="I75" s="246">
        <f t="shared" si="13"/>
        <v>2880</v>
      </c>
      <c r="J75" s="355">
        <f t="shared" si="14"/>
        <v>3200</v>
      </c>
      <c r="K75" s="108"/>
      <c r="L75" s="108"/>
    </row>
    <row r="76" spans="2:13">
      <c r="C76" s="107"/>
      <c r="D76" s="353" t="s">
        <v>272</v>
      </c>
      <c r="E76" s="108">
        <v>0.75</v>
      </c>
      <c r="F76" s="108"/>
      <c r="G76" s="246">
        <f t="shared" si="11"/>
        <v>1875</v>
      </c>
      <c r="H76" s="246">
        <f t="shared" si="12"/>
        <v>2175</v>
      </c>
      <c r="I76" s="246">
        <f t="shared" si="13"/>
        <v>2700</v>
      </c>
      <c r="J76" s="328">
        <f t="shared" si="14"/>
        <v>3000</v>
      </c>
      <c r="K76" s="108"/>
      <c r="L76" s="108"/>
    </row>
    <row r="77" spans="2:13">
      <c r="C77" s="107"/>
      <c r="D77" s="353" t="s">
        <v>273</v>
      </c>
      <c r="E77" s="108">
        <v>0.7</v>
      </c>
      <c r="F77" s="108"/>
      <c r="G77" s="246">
        <f t="shared" si="11"/>
        <v>1750</v>
      </c>
      <c r="H77" s="246">
        <f t="shared" si="12"/>
        <v>2029.9999999999998</v>
      </c>
      <c r="I77" s="246">
        <f t="shared" si="13"/>
        <v>2520</v>
      </c>
      <c r="J77" s="328">
        <f t="shared" si="14"/>
        <v>2800</v>
      </c>
      <c r="K77" s="108"/>
      <c r="L77" s="108"/>
    </row>
    <row r="78" spans="2:13">
      <c r="C78" s="107"/>
      <c r="D78" s="196"/>
    </row>
    <row r="79" spans="2:13">
      <c r="C79" s="107"/>
      <c r="D79" s="196"/>
    </row>
    <row r="80" spans="2:13">
      <c r="D80" s="196"/>
    </row>
    <row r="81" spans="4:4">
      <c r="D81" s="196"/>
    </row>
    <row r="82" spans="4:4">
      <c r="D82" s="196"/>
    </row>
    <row r="83" spans="4:4">
      <c r="D83" s="196"/>
    </row>
    <row r="84" spans="4:4">
      <c r="D84" s="196"/>
    </row>
  </sheetData>
  <mergeCells count="8">
    <mergeCell ref="B61:B62"/>
    <mergeCell ref="C61:C62"/>
    <mergeCell ref="B5:L5"/>
    <mergeCell ref="D13:F13"/>
    <mergeCell ref="G14:I14"/>
    <mergeCell ref="G13:L13"/>
    <mergeCell ref="B47:B50"/>
    <mergeCell ref="B40:B44"/>
  </mergeCells>
  <phoneticPr fontId="0" type="noConversion"/>
  <printOptions horizontalCentered="1" verticalCentered="1"/>
  <pageMargins left="0.39370078740157483" right="0.19685039370078741" top="0.59055118110236227" bottom="0.39370078740157483" header="0" footer="0"/>
  <pageSetup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T132"/>
  <sheetViews>
    <sheetView view="pageBreakPreview" topLeftCell="A94" zoomScale="80" workbookViewId="0">
      <selection activeCell="G24" sqref="G24"/>
    </sheetView>
  </sheetViews>
  <sheetFormatPr baseColWidth="10" defaultColWidth="9.140625" defaultRowHeight="12.75"/>
  <cols>
    <col min="1" max="1" width="13.140625" style="36" customWidth="1"/>
    <col min="2" max="2" width="39.5703125" style="35" customWidth="1"/>
    <col min="3" max="3" width="16.42578125" style="145" bestFit="1" customWidth="1"/>
    <col min="4" max="4" width="10.140625" style="76" customWidth="1"/>
    <col min="5" max="5" width="16.42578125" style="87" bestFit="1" customWidth="1"/>
    <col min="6" max="7" width="16.42578125" style="87" customWidth="1"/>
    <col min="8" max="8" width="8.42578125" style="35" bestFit="1" customWidth="1"/>
    <col min="9" max="10" width="14.28515625" style="35" bestFit="1" customWidth="1"/>
    <col min="11" max="11" width="13.7109375" style="35" bestFit="1" customWidth="1"/>
    <col min="12" max="12" width="12.42578125" style="35" bestFit="1" customWidth="1"/>
    <col min="13" max="13" width="13.140625" style="35" bestFit="1" customWidth="1"/>
    <col min="14" max="14" width="12" style="35" bestFit="1" customWidth="1"/>
    <col min="15" max="15" width="12.28515625" style="35" bestFit="1" customWidth="1"/>
    <col min="16" max="16" width="11.7109375" style="35" bestFit="1" customWidth="1"/>
    <col min="17" max="17" width="12.7109375" style="35" bestFit="1" customWidth="1"/>
    <col min="18" max="18" width="11.7109375" style="35" bestFit="1" customWidth="1"/>
    <col min="19" max="19" width="11.85546875" style="35" bestFit="1" customWidth="1"/>
    <col min="20" max="20" width="12.7109375" style="35" bestFit="1" customWidth="1"/>
    <col min="21" max="16384" width="9.140625" style="35"/>
  </cols>
  <sheetData>
    <row r="2" spans="1:10">
      <c r="A2" s="530" t="s">
        <v>41</v>
      </c>
      <c r="B2" s="530"/>
      <c r="C2" s="530"/>
      <c r="D2" s="530"/>
      <c r="E2" s="531"/>
      <c r="F2" s="36"/>
      <c r="G2" s="36"/>
      <c r="H2" s="36"/>
    </row>
    <row r="3" spans="1:10">
      <c r="A3" s="530" t="s">
        <v>227</v>
      </c>
      <c r="B3" s="530"/>
      <c r="C3" s="530"/>
      <c r="D3" s="530"/>
      <c r="E3" s="531"/>
      <c r="F3" s="36"/>
      <c r="G3" s="36"/>
      <c r="H3" s="36"/>
    </row>
    <row r="4" spans="1:10">
      <c r="A4" s="530" t="s">
        <v>42</v>
      </c>
      <c r="B4" s="530"/>
      <c r="C4" s="530"/>
      <c r="D4" s="530"/>
      <c r="E4" s="531"/>
      <c r="F4" s="36"/>
      <c r="G4" s="36"/>
      <c r="H4" s="36"/>
    </row>
    <row r="5" spans="1:10">
      <c r="C5" s="151"/>
      <c r="D5" s="84"/>
      <c r="E5" s="171"/>
      <c r="F5" s="171"/>
      <c r="G5" s="171"/>
    </row>
    <row r="6" spans="1:10">
      <c r="A6" s="528" t="s">
        <v>43</v>
      </c>
      <c r="B6" s="529"/>
      <c r="C6" s="143" t="s">
        <v>76</v>
      </c>
      <c r="D6" s="85" t="s">
        <v>63</v>
      </c>
      <c r="E6" s="172" t="s">
        <v>226</v>
      </c>
      <c r="F6" s="172" t="s">
        <v>256</v>
      </c>
      <c r="G6" s="172" t="s">
        <v>258</v>
      </c>
      <c r="H6" s="67" t="s">
        <v>63</v>
      </c>
    </row>
    <row r="7" spans="1:10">
      <c r="A7" s="89" t="s">
        <v>94</v>
      </c>
      <c r="B7" s="47" t="s">
        <v>77</v>
      </c>
      <c r="C7" s="144">
        <f>+C28</f>
        <v>1069530</v>
      </c>
      <c r="D7" s="39">
        <f t="shared" ref="D7:D15" si="0">+C7/C$16</f>
        <v>0.58616428033157497</v>
      </c>
      <c r="E7" s="173" t="e">
        <f>+E28</f>
        <v>#REF!</v>
      </c>
      <c r="F7" s="173">
        <f>+F28</f>
        <v>0</v>
      </c>
      <c r="G7" s="173" t="e">
        <f>+G28</f>
        <v>#REF!</v>
      </c>
      <c r="H7" s="39" t="e">
        <f t="shared" ref="H7:H15" si="1">+G7/G$16</f>
        <v>#REF!</v>
      </c>
    </row>
    <row r="8" spans="1:10">
      <c r="A8" s="89" t="s">
        <v>182</v>
      </c>
      <c r="B8" s="47" t="s">
        <v>79</v>
      </c>
      <c r="C8" s="144">
        <f>+C59</f>
        <v>95714.49</v>
      </c>
      <c r="D8" s="39">
        <f t="shared" si="0"/>
        <v>5.2457074741385216E-2</v>
      </c>
      <c r="E8" s="173">
        <f>+E59</f>
        <v>91842</v>
      </c>
      <c r="F8" s="173" t="e">
        <f>+F59</f>
        <v>#REF!</v>
      </c>
      <c r="G8" s="173" t="e">
        <f>+G59</f>
        <v>#REF!</v>
      </c>
      <c r="H8" s="39" t="e">
        <f t="shared" si="1"/>
        <v>#REF!</v>
      </c>
    </row>
    <row r="9" spans="1:10">
      <c r="A9" s="89" t="s">
        <v>183</v>
      </c>
      <c r="B9" s="47" t="s">
        <v>80</v>
      </c>
      <c r="C9" s="144">
        <f>+C66</f>
        <v>58964.7</v>
      </c>
      <c r="D9" s="39">
        <f t="shared" si="0"/>
        <v>3.2316064944851682E-2</v>
      </c>
      <c r="E9" s="173">
        <f>+E66</f>
        <v>60988</v>
      </c>
      <c r="F9" s="173">
        <f>+F66</f>
        <v>0</v>
      </c>
      <c r="G9" s="173">
        <f>+G66</f>
        <v>60988</v>
      </c>
      <c r="H9" s="39" t="e">
        <f t="shared" si="1"/>
        <v>#REF!</v>
      </c>
    </row>
    <row r="10" spans="1:10">
      <c r="A10" s="89" t="s">
        <v>184</v>
      </c>
      <c r="B10" s="47" t="s">
        <v>81</v>
      </c>
      <c r="C10" s="144">
        <f>+C72</f>
        <v>1000</v>
      </c>
      <c r="D10" s="39">
        <f t="shared" si="0"/>
        <v>5.4805782010002057E-4</v>
      </c>
      <c r="E10" s="173">
        <f>+E72</f>
        <v>1000</v>
      </c>
      <c r="F10" s="173">
        <f>+F72</f>
        <v>0</v>
      </c>
      <c r="G10" s="173">
        <f>+G72</f>
        <v>1000</v>
      </c>
      <c r="H10" s="39" t="e">
        <f t="shared" si="1"/>
        <v>#REF!</v>
      </c>
    </row>
    <row r="11" spans="1:10">
      <c r="A11" s="89" t="s">
        <v>186</v>
      </c>
      <c r="B11" s="47" t="s">
        <v>82</v>
      </c>
      <c r="C11" s="144">
        <f>+C76</f>
        <v>230000</v>
      </c>
      <c r="D11" s="39">
        <f t="shared" si="0"/>
        <v>0.12605329862300474</v>
      </c>
      <c r="E11" s="173">
        <f>+E76</f>
        <v>148235</v>
      </c>
      <c r="F11" s="173">
        <f>+F76</f>
        <v>0</v>
      </c>
      <c r="G11" s="173">
        <f>+G76</f>
        <v>148235</v>
      </c>
      <c r="H11" s="39" t="e">
        <f t="shared" si="1"/>
        <v>#REF!</v>
      </c>
    </row>
    <row r="12" spans="1:10">
      <c r="A12" s="89" t="s">
        <v>185</v>
      </c>
      <c r="B12" s="47" t="s">
        <v>83</v>
      </c>
      <c r="C12" s="144">
        <f>+C110</f>
        <v>114588.96999999999</v>
      </c>
      <c r="D12" s="39">
        <f t="shared" si="0"/>
        <v>6.2801381105706641E-2</v>
      </c>
      <c r="E12" s="173">
        <f>+E110</f>
        <v>78818</v>
      </c>
      <c r="F12" s="173" t="e">
        <f>+F110</f>
        <v>#REF!</v>
      </c>
      <c r="G12" s="173" t="e">
        <f>+G110</f>
        <v>#REF!</v>
      </c>
      <c r="H12" s="39" t="e">
        <f t="shared" si="1"/>
        <v>#REF!</v>
      </c>
    </row>
    <row r="13" spans="1:10">
      <c r="A13" s="62"/>
      <c r="B13" s="94" t="s">
        <v>91</v>
      </c>
      <c r="C13" s="167">
        <f>+C122</f>
        <v>148336.84</v>
      </c>
      <c r="D13" s="40">
        <f t="shared" si="0"/>
        <v>8.1297165170925528E-2</v>
      </c>
      <c r="E13" s="174">
        <f>+E122</f>
        <v>155545.99899999998</v>
      </c>
      <c r="F13" s="174" t="e">
        <f>+F122</f>
        <v>#REF!</v>
      </c>
      <c r="G13" s="174" t="e">
        <f>+G122</f>
        <v>#REF!</v>
      </c>
      <c r="H13" s="40" t="e">
        <f t="shared" si="1"/>
        <v>#REF!</v>
      </c>
    </row>
    <row r="14" spans="1:10">
      <c r="A14" s="89" t="s">
        <v>181</v>
      </c>
      <c r="B14" s="47" t="s">
        <v>86</v>
      </c>
      <c r="C14" s="144">
        <f>+C46</f>
        <v>58600</v>
      </c>
      <c r="D14" s="39">
        <f t="shared" si="0"/>
        <v>3.2116188257861202E-2</v>
      </c>
      <c r="E14" s="173">
        <f>+E46</f>
        <v>44181</v>
      </c>
      <c r="F14" s="173">
        <f>+F46</f>
        <v>14419</v>
      </c>
      <c r="G14" s="173">
        <f>+G46</f>
        <v>58600</v>
      </c>
      <c r="H14" s="39" t="e">
        <f t="shared" si="1"/>
        <v>#REF!</v>
      </c>
    </row>
    <row r="15" spans="1:10">
      <c r="A15" s="89" t="s">
        <v>95</v>
      </c>
      <c r="B15" s="47" t="s">
        <v>78</v>
      </c>
      <c r="C15" s="144">
        <f>C38</f>
        <v>47890</v>
      </c>
      <c r="D15" s="39">
        <f t="shared" si="0"/>
        <v>2.6246489004589986E-2</v>
      </c>
      <c r="E15" s="173">
        <f>E38</f>
        <v>20731</v>
      </c>
      <c r="F15" s="173" t="e">
        <f>F38</f>
        <v>#REF!</v>
      </c>
      <c r="G15" s="173" t="e">
        <f>G38</f>
        <v>#REF!</v>
      </c>
      <c r="H15" s="39" t="e">
        <f t="shared" si="1"/>
        <v>#REF!</v>
      </c>
      <c r="J15" s="357"/>
    </row>
    <row r="16" spans="1:10" ht="15.75">
      <c r="A16" s="526" t="s">
        <v>44</v>
      </c>
      <c r="B16" s="527"/>
      <c r="C16" s="175">
        <f>SUM(C7:C15)</f>
        <v>1824625</v>
      </c>
      <c r="D16" s="105">
        <f>SUM(D7:D13)</f>
        <v>0.94163732273754885</v>
      </c>
      <c r="E16" s="175" t="e">
        <f>SUM(E7:E15)</f>
        <v>#REF!</v>
      </c>
      <c r="F16" s="175" t="e">
        <f>SUM(F7:F15)</f>
        <v>#REF!</v>
      </c>
      <c r="G16" s="175" t="e">
        <f>SUM(G7:G15)</f>
        <v>#REF!</v>
      </c>
      <c r="H16" s="105" t="e">
        <f>SUM(H7:H15)</f>
        <v>#REF!</v>
      </c>
    </row>
    <row r="17" spans="1:20" ht="16.5" thickBot="1">
      <c r="A17" s="37"/>
      <c r="B17" s="41"/>
      <c r="C17" s="462">
        <f>+C16*0.205727</f>
        <v>375374.62737499998</v>
      </c>
      <c r="D17" s="86"/>
      <c r="E17" s="175" t="e">
        <f>+E16-1824625</f>
        <v>#REF!</v>
      </c>
      <c r="F17" s="175"/>
      <c r="G17" s="333"/>
      <c r="H17" s="332"/>
    </row>
    <row r="18" spans="1:20" ht="14.25" thickTop="1" thickBot="1">
      <c r="B18" s="53"/>
      <c r="C18" s="358">
        <f>SUM(C16:C17)</f>
        <v>2199999.6273750002</v>
      </c>
      <c r="D18" s="70"/>
      <c r="E18" s="176"/>
      <c r="F18" s="176"/>
      <c r="G18" s="176"/>
      <c r="I18" s="259" t="str">
        <f>+Mensualizado!D6</f>
        <v>ENERO</v>
      </c>
      <c r="J18" s="259" t="str">
        <f>+Mensualizado!E6</f>
        <v>FEBRERO</v>
      </c>
      <c r="K18" s="259" t="str">
        <f>+Mensualizado!F6</f>
        <v>MARZO</v>
      </c>
      <c r="L18" s="259" t="str">
        <f>+Mensualizado!G6</f>
        <v>ABRIL</v>
      </c>
      <c r="M18" s="259" t="str">
        <f>+Mensualizado!H6</f>
        <v>MAYO</v>
      </c>
      <c r="N18" s="259" t="str">
        <f>+Mensualizado!I6</f>
        <v>JUNIO</v>
      </c>
      <c r="O18" s="259" t="str">
        <f>+Mensualizado!J6</f>
        <v>JULIO</v>
      </c>
      <c r="P18" s="259" t="str">
        <f>+Mensualizado!K6</f>
        <v>AGOSTO</v>
      </c>
      <c r="Q18" s="259" t="str">
        <f>+Mensualizado!L6</f>
        <v>SEPTIEMBRE</v>
      </c>
      <c r="R18" s="259" t="str">
        <f>+Mensualizado!M6</f>
        <v>OCTUBRE</v>
      </c>
      <c r="S18" s="259" t="str">
        <f>+Mensualizado!N6</f>
        <v>NOVIEMBRE</v>
      </c>
      <c r="T18" s="259" t="str">
        <f>+Mensualizado!O6</f>
        <v>DICIEMBRE</v>
      </c>
    </row>
    <row r="19" spans="1:20" ht="25.5">
      <c r="A19" s="99" t="s">
        <v>45</v>
      </c>
      <c r="B19" s="38" t="s">
        <v>66</v>
      </c>
      <c r="C19" s="153"/>
      <c r="D19" s="138"/>
      <c r="E19" s="177"/>
      <c r="F19" s="334"/>
      <c r="G19" s="334"/>
    </row>
    <row r="20" spans="1:20">
      <c r="A20" s="42"/>
      <c r="B20" s="47"/>
      <c r="C20" s="154"/>
      <c r="D20" s="137"/>
      <c r="E20" s="178"/>
      <c r="F20" s="335"/>
      <c r="G20" s="335"/>
      <c r="H20" s="93"/>
    </row>
    <row r="21" spans="1:20">
      <c r="A21" s="42">
        <v>51105</v>
      </c>
      <c r="B21" s="47" t="s">
        <v>49</v>
      </c>
      <c r="C21" s="155">
        <v>18000</v>
      </c>
      <c r="D21" s="46"/>
      <c r="E21" s="179">
        <f>SUM(I21:T21)</f>
        <v>48000</v>
      </c>
      <c r="F21" s="336"/>
      <c r="G21" s="336">
        <f t="shared" ref="G21:G27" si="2">SUM(E21:F21)</f>
        <v>48000</v>
      </c>
      <c r="H21" s="93"/>
      <c r="I21" s="87">
        <f>+Mensualizado!D11</f>
        <v>4000</v>
      </c>
      <c r="J21" s="87">
        <f>+Mensualizado!E11</f>
        <v>4000</v>
      </c>
      <c r="K21" s="87">
        <f>+Mensualizado!F11</f>
        <v>4000</v>
      </c>
      <c r="L21" s="87">
        <f>+Mensualizado!G11</f>
        <v>4000</v>
      </c>
      <c r="M21" s="87">
        <f>+Mensualizado!H11</f>
        <v>4000</v>
      </c>
      <c r="N21" s="87">
        <f>+Mensualizado!I11</f>
        <v>4000</v>
      </c>
      <c r="O21" s="87">
        <f>+Mensualizado!J11</f>
        <v>4000</v>
      </c>
      <c r="P21" s="87">
        <f>+Mensualizado!K11</f>
        <v>4000</v>
      </c>
      <c r="Q21" s="87">
        <f>+Mensualizado!L11</f>
        <v>4000</v>
      </c>
      <c r="R21" s="87">
        <f>+Mensualizado!M11</f>
        <v>4000</v>
      </c>
      <c r="S21" s="87">
        <f>+Mensualizado!N11</f>
        <v>4000</v>
      </c>
      <c r="T21" s="87">
        <f>+Mensualizado!O11</f>
        <v>4000</v>
      </c>
    </row>
    <row r="22" spans="1:20">
      <c r="A22" s="42">
        <v>51201</v>
      </c>
      <c r="B22" s="47" t="s">
        <v>215</v>
      </c>
      <c r="C22" s="239">
        <v>791540</v>
      </c>
      <c r="D22" s="46"/>
      <c r="E22" s="179" t="e">
        <f t="shared" ref="E22:E27" si="3">SUM(I22:T22)</f>
        <v>#REF!</v>
      </c>
      <c r="F22" s="336"/>
      <c r="G22" s="336" t="e">
        <f t="shared" si="2"/>
        <v>#REF!</v>
      </c>
      <c r="I22" s="87" t="e">
        <f>+Mensualizado!D12</f>
        <v>#REF!</v>
      </c>
      <c r="J22" s="87" t="e">
        <f>+Mensualizado!E12</f>
        <v>#REF!</v>
      </c>
      <c r="K22" s="87" t="e">
        <f>+Mensualizado!F12</f>
        <v>#REF!</v>
      </c>
      <c r="L22" s="87" t="e">
        <f>+Mensualizado!G12</f>
        <v>#REF!</v>
      </c>
      <c r="M22" s="87" t="e">
        <f>+Mensualizado!H12</f>
        <v>#REF!</v>
      </c>
      <c r="N22" s="87" t="e">
        <f>+Mensualizado!I12</f>
        <v>#REF!</v>
      </c>
      <c r="O22" s="87" t="e">
        <f>+Mensualizado!J12</f>
        <v>#REF!</v>
      </c>
      <c r="P22" s="87" t="e">
        <f>+Mensualizado!K12</f>
        <v>#REF!</v>
      </c>
      <c r="Q22" s="87" t="e">
        <f>+Mensualizado!L12</f>
        <v>#REF!</v>
      </c>
      <c r="R22" s="87" t="e">
        <f>+Mensualizado!M12</f>
        <v>#REF!</v>
      </c>
      <c r="S22" s="87" t="e">
        <f>+Mensualizado!N12</f>
        <v>#REF!</v>
      </c>
      <c r="T22" s="87" t="e">
        <f>+Mensualizado!O12</f>
        <v>#REF!</v>
      </c>
    </row>
    <row r="23" spans="1:20">
      <c r="A23" s="42">
        <v>51203</v>
      </c>
      <c r="B23" s="47" t="s">
        <v>216</v>
      </c>
      <c r="C23" s="239">
        <v>65965</v>
      </c>
      <c r="D23" s="46"/>
      <c r="E23" s="179" t="e">
        <f t="shared" si="3"/>
        <v>#REF!</v>
      </c>
      <c r="F23" s="336"/>
      <c r="G23" s="336" t="e">
        <f t="shared" si="2"/>
        <v>#REF!</v>
      </c>
      <c r="I23" s="87">
        <f>+Mensualizado!D13</f>
        <v>0</v>
      </c>
      <c r="J23" s="87">
        <f>+Mensualizado!E13</f>
        <v>0</v>
      </c>
      <c r="K23" s="87">
        <f>+Mensualizado!F13</f>
        <v>0</v>
      </c>
      <c r="L23" s="87">
        <f>+Mensualizado!G13</f>
        <v>0</v>
      </c>
      <c r="M23" s="87">
        <f>+Mensualizado!H13</f>
        <v>0</v>
      </c>
      <c r="N23" s="87">
        <f>+Mensualizado!I13</f>
        <v>0</v>
      </c>
      <c r="O23" s="87">
        <f>+Mensualizado!J13</f>
        <v>0</v>
      </c>
      <c r="P23" s="87">
        <f>+Mensualizado!K13</f>
        <v>0</v>
      </c>
      <c r="Q23" s="87">
        <f>+Mensualizado!L13</f>
        <v>0</v>
      </c>
      <c r="R23" s="87">
        <f>+Mensualizado!M13</f>
        <v>0</v>
      </c>
      <c r="S23" s="87">
        <f>+Mensualizado!N13</f>
        <v>0</v>
      </c>
      <c r="T23" s="87" t="e">
        <f>+Mensualizado!O13</f>
        <v>#REF!</v>
      </c>
    </row>
    <row r="24" spans="1:20">
      <c r="A24" s="42">
        <v>51207</v>
      </c>
      <c r="B24" s="47" t="s">
        <v>84</v>
      </c>
      <c r="C24" s="239">
        <v>109755</v>
      </c>
      <c r="D24" s="46"/>
      <c r="E24" s="179" t="e">
        <f t="shared" si="3"/>
        <v>#REF!</v>
      </c>
      <c r="F24" s="336"/>
      <c r="G24" s="336" t="e">
        <f t="shared" si="2"/>
        <v>#REF!</v>
      </c>
      <c r="I24" s="87" t="e">
        <f>+Mensualizado!D14</f>
        <v>#REF!</v>
      </c>
      <c r="J24" s="87" t="e">
        <f>+Mensualizado!E14</f>
        <v>#REF!</v>
      </c>
      <c r="K24" s="87" t="e">
        <f>+Mensualizado!F14</f>
        <v>#REF!</v>
      </c>
      <c r="L24" s="87" t="e">
        <f>+Mensualizado!G14</f>
        <v>#REF!</v>
      </c>
      <c r="M24" s="87" t="e">
        <f>+Mensualizado!H14</f>
        <v>#REF!</v>
      </c>
      <c r="N24" s="87" t="e">
        <f>+Mensualizado!I14</f>
        <v>#REF!</v>
      </c>
      <c r="O24" s="87" t="e">
        <f>+Mensualizado!J14</f>
        <v>#REF!</v>
      </c>
      <c r="P24" s="87" t="e">
        <f>+Mensualizado!K14</f>
        <v>#REF!</v>
      </c>
      <c r="Q24" s="87" t="e">
        <f>+Mensualizado!L14</f>
        <v>#REF!</v>
      </c>
      <c r="R24" s="87">
        <f>+Mensualizado!M14</f>
        <v>0</v>
      </c>
      <c r="S24" s="87">
        <f>+Mensualizado!N14</f>
        <v>0</v>
      </c>
      <c r="T24" s="87">
        <f>+Mensualizado!O14</f>
        <v>0</v>
      </c>
    </row>
    <row r="25" spans="1:20">
      <c r="A25" s="42">
        <v>51402</v>
      </c>
      <c r="B25" s="47" t="s">
        <v>56</v>
      </c>
      <c r="C25" s="239">
        <v>25410</v>
      </c>
      <c r="D25" s="46"/>
      <c r="E25" s="179" t="e">
        <f t="shared" si="3"/>
        <v>#REF!</v>
      </c>
      <c r="F25" s="336"/>
      <c r="G25" s="336" t="e">
        <f t="shared" si="2"/>
        <v>#REF!</v>
      </c>
      <c r="I25" s="87" t="e">
        <f>+Mensualizado!D15+Mensualizado!D16</f>
        <v>#REF!</v>
      </c>
      <c r="J25" s="87" t="e">
        <f>+Mensualizado!E15+Mensualizado!E16</f>
        <v>#REF!</v>
      </c>
      <c r="K25" s="87" t="e">
        <f>+Mensualizado!F15+Mensualizado!F16</f>
        <v>#REF!</v>
      </c>
      <c r="L25" s="87" t="e">
        <f>+Mensualizado!G15+Mensualizado!G16</f>
        <v>#REF!</v>
      </c>
      <c r="M25" s="87" t="e">
        <f>+Mensualizado!H15+Mensualizado!H16</f>
        <v>#REF!</v>
      </c>
      <c r="N25" s="87" t="e">
        <f>+Mensualizado!I15+Mensualizado!I16</f>
        <v>#REF!</v>
      </c>
      <c r="O25" s="87" t="e">
        <f>+Mensualizado!J15+Mensualizado!J16</f>
        <v>#REF!</v>
      </c>
      <c r="P25" s="87" t="e">
        <f>+Mensualizado!K15+Mensualizado!K16</f>
        <v>#REF!</v>
      </c>
      <c r="Q25" s="87" t="e">
        <f>+Mensualizado!L15+Mensualizado!L16</f>
        <v>#REF!</v>
      </c>
      <c r="R25" s="87" t="e">
        <f>+Mensualizado!M15+Mensualizado!M16</f>
        <v>#REF!</v>
      </c>
      <c r="S25" s="87" t="e">
        <f>+Mensualizado!N15+Mensualizado!N16</f>
        <v>#REF!</v>
      </c>
      <c r="T25" s="87" t="e">
        <f>+Mensualizado!O15+Mensualizado!O16</f>
        <v>#REF!</v>
      </c>
    </row>
    <row r="26" spans="1:20">
      <c r="A26" s="42">
        <v>51502</v>
      </c>
      <c r="B26" s="47" t="s">
        <v>17</v>
      </c>
      <c r="C26" s="148">
        <v>53025</v>
      </c>
      <c r="D26" s="46"/>
      <c r="E26" s="179" t="e">
        <f t="shared" si="3"/>
        <v>#REF!</v>
      </c>
      <c r="F26" s="336"/>
      <c r="G26" s="336" t="e">
        <f t="shared" si="2"/>
        <v>#REF!</v>
      </c>
      <c r="I26" s="87" t="e">
        <f>+Mensualizado!D17+Mensualizado!D18</f>
        <v>#REF!</v>
      </c>
      <c r="J26" s="87" t="e">
        <f>+Mensualizado!E17+Mensualizado!E18</f>
        <v>#REF!</v>
      </c>
      <c r="K26" s="87" t="e">
        <f>+Mensualizado!F17+Mensualizado!F18</f>
        <v>#REF!</v>
      </c>
      <c r="L26" s="87" t="e">
        <f>+Mensualizado!G17+Mensualizado!G18</f>
        <v>#REF!</v>
      </c>
      <c r="M26" s="87">
        <f>+Mensualizado!H17+Mensualizado!H18</f>
        <v>5394.7316250000003</v>
      </c>
      <c r="N26" s="87" t="e">
        <f>+Mensualizado!I17+Mensualizado!I18</f>
        <v>#REF!</v>
      </c>
      <c r="O26" s="87" t="e">
        <f>+Mensualizado!J17+Mensualizado!J18</f>
        <v>#REF!</v>
      </c>
      <c r="P26" s="87" t="e">
        <f>+Mensualizado!K17+Mensualizado!K18</f>
        <v>#REF!</v>
      </c>
      <c r="Q26" s="87" t="e">
        <f>+Mensualizado!L17+Mensualizado!L18</f>
        <v>#REF!</v>
      </c>
      <c r="R26" s="87">
        <f>+Mensualizado!M17+Mensualizado!M18</f>
        <v>5394.7316250000003</v>
      </c>
      <c r="S26" s="87">
        <f>+Mensualizado!N17+Mensualizado!N18</f>
        <v>5394.7316250000003</v>
      </c>
      <c r="T26" s="87">
        <f>+Mensualizado!O17+Mensualizado!O18</f>
        <v>5394.7316250000003</v>
      </c>
    </row>
    <row r="27" spans="1:20" ht="13.5" thickBot="1">
      <c r="A27" s="62">
        <v>51999</v>
      </c>
      <c r="B27" s="63" t="s">
        <v>64</v>
      </c>
      <c r="C27" s="148">
        <v>5835</v>
      </c>
      <c r="D27" s="64"/>
      <c r="E27" s="179">
        <f t="shared" si="3"/>
        <v>5833</v>
      </c>
      <c r="F27" s="337"/>
      <c r="G27" s="337">
        <f t="shared" si="2"/>
        <v>5833</v>
      </c>
      <c r="I27" s="87">
        <f>+Mensualizado!D19</f>
        <v>0</v>
      </c>
      <c r="J27" s="87">
        <f>+Mensualizado!E19</f>
        <v>1897</v>
      </c>
      <c r="K27" s="87">
        <f>+Mensualizado!F19</f>
        <v>0</v>
      </c>
      <c r="L27" s="87">
        <f>+Mensualizado!G19</f>
        <v>535</v>
      </c>
      <c r="M27" s="87">
        <f>+Mensualizado!H19</f>
        <v>835</v>
      </c>
      <c r="N27" s="87">
        <f>+Mensualizado!I19</f>
        <v>145</v>
      </c>
      <c r="O27" s="87">
        <f>+Mensualizado!J19</f>
        <v>835</v>
      </c>
      <c r="P27" s="87">
        <f>+Mensualizado!K19</f>
        <v>805</v>
      </c>
      <c r="Q27" s="87">
        <f>+Mensualizado!L19</f>
        <v>0</v>
      </c>
      <c r="R27" s="87">
        <f>+Mensualizado!M19</f>
        <v>0</v>
      </c>
      <c r="S27" s="87">
        <f>+Mensualizado!N19</f>
        <v>0</v>
      </c>
      <c r="T27" s="87">
        <f>+Mensualizado!O19</f>
        <v>781</v>
      </c>
    </row>
    <row r="28" spans="1:20" ht="13.5" thickBot="1">
      <c r="A28" s="131"/>
      <c r="B28" s="132" t="s">
        <v>204</v>
      </c>
      <c r="C28" s="147">
        <f>SUM(C20:C27)</f>
        <v>1069530</v>
      </c>
      <c r="D28" s="134"/>
      <c r="E28" s="180" t="e">
        <f>SUM(E20:E27)</f>
        <v>#REF!</v>
      </c>
      <c r="F28" s="180">
        <f>SUM(F20:F27)</f>
        <v>0</v>
      </c>
      <c r="G28" s="180" t="e">
        <f>SUM(G20:G27)</f>
        <v>#REF!</v>
      </c>
      <c r="I28" s="317" t="e">
        <f t="shared" ref="I28:T28" si="4">SUM(I21:I27)</f>
        <v>#REF!</v>
      </c>
      <c r="J28" s="317" t="e">
        <f t="shared" si="4"/>
        <v>#REF!</v>
      </c>
      <c r="K28" s="317" t="e">
        <f t="shared" si="4"/>
        <v>#REF!</v>
      </c>
      <c r="L28" s="317" t="e">
        <f t="shared" si="4"/>
        <v>#REF!</v>
      </c>
      <c r="M28" s="317" t="e">
        <f t="shared" si="4"/>
        <v>#REF!</v>
      </c>
      <c r="N28" s="317" t="e">
        <f t="shared" si="4"/>
        <v>#REF!</v>
      </c>
      <c r="O28" s="317" t="e">
        <f t="shared" si="4"/>
        <v>#REF!</v>
      </c>
      <c r="P28" s="317" t="e">
        <f t="shared" si="4"/>
        <v>#REF!</v>
      </c>
      <c r="Q28" s="317" t="e">
        <f t="shared" si="4"/>
        <v>#REF!</v>
      </c>
      <c r="R28" s="317" t="e">
        <f t="shared" si="4"/>
        <v>#REF!</v>
      </c>
      <c r="S28" s="317" t="e">
        <f t="shared" si="4"/>
        <v>#REF!</v>
      </c>
      <c r="T28" s="317" t="e">
        <f t="shared" si="4"/>
        <v>#REF!</v>
      </c>
    </row>
    <row r="29" spans="1:20">
      <c r="A29" s="37"/>
      <c r="B29" s="50"/>
      <c r="D29" s="51"/>
      <c r="E29" s="181"/>
      <c r="F29" s="181"/>
      <c r="G29" s="181"/>
    </row>
    <row r="30" spans="1:20">
      <c r="A30" s="99"/>
      <c r="B30" s="83" t="s">
        <v>92</v>
      </c>
      <c r="C30" s="153"/>
      <c r="D30" s="138"/>
      <c r="E30" s="177"/>
      <c r="F30" s="334"/>
      <c r="G30" s="334"/>
    </row>
    <row r="31" spans="1:20">
      <c r="A31" s="42"/>
      <c r="B31" s="43"/>
      <c r="C31" s="155"/>
      <c r="D31" s="44"/>
      <c r="E31" s="182"/>
      <c r="F31" s="182"/>
      <c r="G31" s="182"/>
    </row>
    <row r="32" spans="1:20">
      <c r="A32" s="42">
        <v>61101</v>
      </c>
      <c r="B32" s="47" t="s">
        <v>199</v>
      </c>
      <c r="C32" s="156">
        <v>500</v>
      </c>
      <c r="D32" s="78"/>
      <c r="E32" s="179">
        <f>SUM(I32:T32)</f>
        <v>0</v>
      </c>
      <c r="F32" s="336" t="e">
        <f>+#REF!</f>
        <v>#REF!</v>
      </c>
      <c r="G32" s="336" t="e">
        <f t="shared" ref="G32:G37" si="5">SUM(E32:F32)</f>
        <v>#REF!</v>
      </c>
      <c r="I32" s="87">
        <f>+Mensualizado!D107</f>
        <v>0</v>
      </c>
      <c r="J32" s="87">
        <f>+Mensualizado!E107</f>
        <v>0</v>
      </c>
      <c r="K32" s="87">
        <f>+Mensualizado!F107</f>
        <v>0</v>
      </c>
      <c r="L32" s="87">
        <f>+Mensualizado!G107</f>
        <v>0</v>
      </c>
      <c r="M32" s="87">
        <f>+Mensualizado!H107</f>
        <v>0</v>
      </c>
      <c r="N32" s="87">
        <f>+Mensualizado!I107</f>
        <v>0</v>
      </c>
      <c r="O32" s="87">
        <f>+Mensualizado!J107</f>
        <v>0</v>
      </c>
      <c r="P32" s="87">
        <f>+Mensualizado!K107</f>
        <v>0</v>
      </c>
      <c r="Q32" s="87">
        <f>+Mensualizado!L107</f>
        <v>0</v>
      </c>
      <c r="R32" s="87">
        <f>+Mensualizado!M107</f>
        <v>0</v>
      </c>
      <c r="S32" s="87">
        <f>+Mensualizado!N107</f>
        <v>0</v>
      </c>
      <c r="T32" s="87">
        <f>+Mensualizado!O107</f>
        <v>0</v>
      </c>
    </row>
    <row r="33" spans="1:20">
      <c r="A33" s="42">
        <v>61102</v>
      </c>
      <c r="B33" s="47" t="s">
        <v>257</v>
      </c>
      <c r="C33" s="156"/>
      <c r="D33" s="78"/>
      <c r="E33" s="179"/>
      <c r="F33" s="336" t="e">
        <f>+#REF!</f>
        <v>#REF!</v>
      </c>
      <c r="G33" s="336" t="e">
        <f t="shared" si="5"/>
        <v>#REF!</v>
      </c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</row>
    <row r="34" spans="1:20">
      <c r="A34" s="42">
        <v>61104</v>
      </c>
      <c r="B34" s="47" t="s">
        <v>187</v>
      </c>
      <c r="C34" s="156">
        <v>36650</v>
      </c>
      <c r="D34" s="78"/>
      <c r="E34" s="179">
        <f>SUM(I34:T34)</f>
        <v>19390</v>
      </c>
      <c r="F34" s="336" t="e">
        <f>+#REF!</f>
        <v>#REF!</v>
      </c>
      <c r="G34" s="336" t="e">
        <f t="shared" si="5"/>
        <v>#REF!</v>
      </c>
      <c r="I34" s="87">
        <f>+Mensualizado!D109</f>
        <v>0</v>
      </c>
      <c r="J34" s="87">
        <f>+Mensualizado!E109</f>
        <v>0</v>
      </c>
      <c r="K34" s="87">
        <f>+Mensualizado!F109</f>
        <v>0</v>
      </c>
      <c r="L34" s="87">
        <f>+Mensualizado!G109</f>
        <v>19390</v>
      </c>
      <c r="M34" s="87">
        <f>+Mensualizado!H109</f>
        <v>0</v>
      </c>
      <c r="N34" s="87">
        <f>+Mensualizado!I109</f>
        <v>0</v>
      </c>
      <c r="O34" s="87">
        <f>+Mensualizado!J109</f>
        <v>0</v>
      </c>
      <c r="P34" s="87">
        <f>+Mensualizado!K109</f>
        <v>0</v>
      </c>
      <c r="Q34" s="87">
        <f>+Mensualizado!L109</f>
        <v>0</v>
      </c>
      <c r="R34" s="87">
        <f>+Mensualizado!M109</f>
        <v>0</v>
      </c>
      <c r="S34" s="87">
        <f>+Mensualizado!N109</f>
        <v>0</v>
      </c>
      <c r="T34" s="87">
        <f>+Mensualizado!O109</f>
        <v>0</v>
      </c>
    </row>
    <row r="35" spans="1:20">
      <c r="A35" s="42">
        <v>61105</v>
      </c>
      <c r="B35" s="47" t="s">
        <v>203</v>
      </c>
      <c r="C35" s="156">
        <v>1500</v>
      </c>
      <c r="D35" s="78"/>
      <c r="E35" s="179">
        <f>SUM(I35:T35)</f>
        <v>0</v>
      </c>
      <c r="F35" s="336" t="e">
        <f>+#REF!</f>
        <v>#REF!</v>
      </c>
      <c r="G35" s="336" t="e">
        <f t="shared" si="5"/>
        <v>#REF!</v>
      </c>
      <c r="I35" s="87">
        <f>+Mensualizado!D110</f>
        <v>0</v>
      </c>
      <c r="J35" s="87">
        <f>+Mensualizado!E110</f>
        <v>0</v>
      </c>
      <c r="K35" s="87">
        <f>+Mensualizado!F110</f>
        <v>0</v>
      </c>
      <c r="L35" s="87">
        <f>+Mensualizado!G110</f>
        <v>0</v>
      </c>
      <c r="M35" s="87">
        <f>+Mensualizado!H110</f>
        <v>0</v>
      </c>
      <c r="N35" s="87">
        <f>+Mensualizado!I110</f>
        <v>0</v>
      </c>
      <c r="O35" s="87">
        <f>+Mensualizado!J110</f>
        <v>0</v>
      </c>
      <c r="P35" s="87">
        <f>+Mensualizado!K110</f>
        <v>0</v>
      </c>
      <c r="Q35" s="87">
        <f>+Mensualizado!L110</f>
        <v>0</v>
      </c>
      <c r="R35" s="87">
        <f>+Mensualizado!M110</f>
        <v>0</v>
      </c>
      <c r="S35" s="87">
        <f>+Mensualizado!N110</f>
        <v>0</v>
      </c>
      <c r="T35" s="87">
        <f>+Mensualizado!O110</f>
        <v>0</v>
      </c>
    </row>
    <row r="36" spans="1:20">
      <c r="A36" s="42">
        <v>61199</v>
      </c>
      <c r="B36" s="45" t="s">
        <v>162</v>
      </c>
      <c r="C36" s="146"/>
      <c r="D36" s="78"/>
      <c r="E36" s="179">
        <f>SUM(I36:T36)</f>
        <v>0</v>
      </c>
      <c r="F36" s="336" t="e">
        <f>+#REF!</f>
        <v>#REF!</v>
      </c>
      <c r="G36" s="336" t="e">
        <f t="shared" si="5"/>
        <v>#REF!</v>
      </c>
      <c r="I36" s="87">
        <f>+Mensualizado!D110</f>
        <v>0</v>
      </c>
      <c r="J36" s="87">
        <f>+Mensualizado!E110</f>
        <v>0</v>
      </c>
      <c r="K36" s="87">
        <f>+Mensualizado!F110</f>
        <v>0</v>
      </c>
      <c r="L36" s="87">
        <f>+Mensualizado!G110</f>
        <v>0</v>
      </c>
      <c r="M36" s="87">
        <f>+Mensualizado!H110</f>
        <v>0</v>
      </c>
      <c r="N36" s="87">
        <f>+Mensualizado!I110</f>
        <v>0</v>
      </c>
      <c r="O36" s="87">
        <f>+Mensualizado!J110</f>
        <v>0</v>
      </c>
      <c r="P36" s="87">
        <f>+Mensualizado!K110</f>
        <v>0</v>
      </c>
      <c r="Q36" s="87">
        <f>+Mensualizado!L110</f>
        <v>0</v>
      </c>
      <c r="R36" s="87">
        <f>+Mensualizado!M110</f>
        <v>0</v>
      </c>
      <c r="S36" s="87">
        <f>+Mensualizado!N110</f>
        <v>0</v>
      </c>
      <c r="T36" s="87">
        <f>+Mensualizado!O110</f>
        <v>0</v>
      </c>
    </row>
    <row r="37" spans="1:20" ht="13.5" thickBot="1">
      <c r="A37" s="168">
        <v>61403</v>
      </c>
      <c r="B37" s="169" t="s">
        <v>206</v>
      </c>
      <c r="C37" s="170">
        <v>9240</v>
      </c>
      <c r="D37" s="48"/>
      <c r="E37" s="179">
        <f>SUM(I37:T37)</f>
        <v>1341</v>
      </c>
      <c r="F37" s="337"/>
      <c r="G37" s="337">
        <f t="shared" si="5"/>
        <v>1341</v>
      </c>
      <c r="I37" s="87">
        <f>+Mensualizado!D113</f>
        <v>0</v>
      </c>
      <c r="J37" s="87">
        <f>+Mensualizado!E113</f>
        <v>0</v>
      </c>
      <c r="K37" s="87">
        <f>+Mensualizado!F113</f>
        <v>0</v>
      </c>
      <c r="L37" s="87">
        <f>+Mensualizado!G113</f>
        <v>1341</v>
      </c>
      <c r="M37" s="87">
        <f>+Mensualizado!H113</f>
        <v>0</v>
      </c>
      <c r="N37" s="87">
        <f>+Mensualizado!I113</f>
        <v>0</v>
      </c>
      <c r="O37" s="87">
        <f>+Mensualizado!J113</f>
        <v>0</v>
      </c>
      <c r="P37" s="87">
        <f>+Mensualizado!K113</f>
        <v>0</v>
      </c>
      <c r="Q37" s="87">
        <f>+Mensualizado!L113</f>
        <v>0</v>
      </c>
      <c r="R37" s="87">
        <f>+Mensualizado!M113</f>
        <v>0</v>
      </c>
      <c r="S37" s="87">
        <f>+Mensualizado!N113</f>
        <v>0</v>
      </c>
      <c r="T37" s="87">
        <f>+Mensualizado!O113</f>
        <v>0</v>
      </c>
    </row>
    <row r="38" spans="1:20" ht="13.5" thickBot="1">
      <c r="A38" s="133"/>
      <c r="B38" s="132" t="s">
        <v>204</v>
      </c>
      <c r="C38" s="149">
        <f>SUM(C32:C37)</f>
        <v>47890</v>
      </c>
      <c r="D38" s="135"/>
      <c r="E38" s="183">
        <f>SUM(E32:E37)</f>
        <v>20731</v>
      </c>
      <c r="F38" s="183" t="e">
        <f>SUM(F32:F37)</f>
        <v>#REF!</v>
      </c>
      <c r="G38" s="183" t="e">
        <f>SUM(G32:G37)</f>
        <v>#REF!</v>
      </c>
      <c r="I38" s="317">
        <f>SUM(I32:I37)</f>
        <v>0</v>
      </c>
      <c r="J38" s="317">
        <f t="shared" ref="J38:T38" si="6">SUM(J32:J37)</f>
        <v>0</v>
      </c>
      <c r="K38" s="317">
        <f t="shared" si="6"/>
        <v>0</v>
      </c>
      <c r="L38" s="317">
        <f t="shared" si="6"/>
        <v>20731</v>
      </c>
      <c r="M38" s="317">
        <f t="shared" si="6"/>
        <v>0</v>
      </c>
      <c r="N38" s="317">
        <f t="shared" si="6"/>
        <v>0</v>
      </c>
      <c r="O38" s="317">
        <f t="shared" si="6"/>
        <v>0</v>
      </c>
      <c r="P38" s="317">
        <f t="shared" si="6"/>
        <v>0</v>
      </c>
      <c r="Q38" s="317">
        <f t="shared" si="6"/>
        <v>0</v>
      </c>
      <c r="R38" s="317">
        <f t="shared" si="6"/>
        <v>0</v>
      </c>
      <c r="S38" s="317">
        <f t="shared" si="6"/>
        <v>0</v>
      </c>
      <c r="T38" s="317">
        <f t="shared" si="6"/>
        <v>0</v>
      </c>
    </row>
    <row r="39" spans="1:20">
      <c r="B39" s="53"/>
      <c r="C39" s="152"/>
      <c r="D39" s="54"/>
    </row>
    <row r="40" spans="1:20" ht="12.75" customHeight="1">
      <c r="A40" s="100"/>
      <c r="B40" s="101" t="s">
        <v>93</v>
      </c>
      <c r="C40" s="153"/>
      <c r="D40" s="138"/>
      <c r="E40" s="177"/>
      <c r="F40" s="334"/>
      <c r="G40" s="334"/>
    </row>
    <row r="41" spans="1:20" ht="12" customHeight="1">
      <c r="A41" s="42"/>
      <c r="B41" s="47"/>
      <c r="C41" s="157"/>
      <c r="D41" s="96"/>
      <c r="E41" s="178"/>
      <c r="F41" s="335"/>
      <c r="G41" s="335"/>
    </row>
    <row r="42" spans="1:20" ht="12" customHeight="1">
      <c r="A42" s="42">
        <v>55599</v>
      </c>
      <c r="B42" s="47" t="s">
        <v>146</v>
      </c>
      <c r="C42" s="244">
        <v>500</v>
      </c>
      <c r="D42" s="96"/>
      <c r="E42" s="179">
        <f>SUM(I42:T42)</f>
        <v>464</v>
      </c>
      <c r="F42" s="336"/>
      <c r="G42" s="336">
        <f>SUM(E42:F42)</f>
        <v>464</v>
      </c>
      <c r="I42" s="87">
        <f>+Mensualizado!D94</f>
        <v>0</v>
      </c>
      <c r="J42" s="87">
        <f>+Mensualizado!E94</f>
        <v>0</v>
      </c>
      <c r="K42" s="87">
        <f>+Mensualizado!F94</f>
        <v>0</v>
      </c>
      <c r="L42" s="87">
        <f>+Mensualizado!G94</f>
        <v>0</v>
      </c>
      <c r="M42" s="87">
        <f>+Mensualizado!H94</f>
        <v>0</v>
      </c>
      <c r="N42" s="87">
        <f>+Mensualizado!I94</f>
        <v>0</v>
      </c>
      <c r="O42" s="87">
        <f>+Mensualizado!J94</f>
        <v>0</v>
      </c>
      <c r="P42" s="87">
        <f>+Mensualizado!K94</f>
        <v>0</v>
      </c>
      <c r="Q42" s="87">
        <f>+Mensualizado!L94</f>
        <v>0</v>
      </c>
      <c r="R42" s="87">
        <f>+Mensualizado!M94</f>
        <v>40</v>
      </c>
      <c r="S42" s="87">
        <f>+Mensualizado!N94</f>
        <v>424</v>
      </c>
      <c r="T42" s="87">
        <f>+Mensualizado!O94</f>
        <v>0</v>
      </c>
    </row>
    <row r="43" spans="1:20" s="77" customFormat="1" ht="11.25" customHeight="1">
      <c r="A43" s="66">
        <v>55601</v>
      </c>
      <c r="B43" s="112" t="s">
        <v>54</v>
      </c>
      <c r="C43" s="239">
        <v>53750</v>
      </c>
      <c r="D43" s="113"/>
      <c r="E43" s="179">
        <f>SUM(I43:T43)</f>
        <v>40104</v>
      </c>
      <c r="F43" s="336">
        <v>13646</v>
      </c>
      <c r="G43" s="336">
        <f>SUM(E43:F43)</f>
        <v>53750</v>
      </c>
      <c r="I43" s="87">
        <f>+Mensualizado!D95</f>
        <v>0</v>
      </c>
      <c r="J43" s="87">
        <f>+Mensualizado!E95</f>
        <v>0</v>
      </c>
      <c r="K43" s="87">
        <f>+Mensualizado!F95</f>
        <v>0</v>
      </c>
      <c r="L43" s="87">
        <f>+Mensualizado!G95</f>
        <v>53.6</v>
      </c>
      <c r="M43" s="87">
        <f>+Mensualizado!H95</f>
        <v>0</v>
      </c>
      <c r="N43" s="87">
        <f>+Mensualizado!I95</f>
        <v>38351</v>
      </c>
      <c r="O43" s="87">
        <f>+Mensualizado!J95</f>
        <v>0</v>
      </c>
      <c r="P43" s="87">
        <f>+Mensualizado!K95</f>
        <v>0</v>
      </c>
      <c r="Q43" s="87">
        <f>+Mensualizado!L95</f>
        <v>316</v>
      </c>
      <c r="R43" s="87">
        <f>+Mensualizado!M95</f>
        <v>0</v>
      </c>
      <c r="S43" s="87">
        <f>+Mensualizado!N95</f>
        <v>0</v>
      </c>
      <c r="T43" s="87">
        <f>+Mensualizado!O95</f>
        <v>1383.4</v>
      </c>
    </row>
    <row r="44" spans="1:20" s="77" customFormat="1" ht="11.25" customHeight="1">
      <c r="A44" s="66">
        <v>55602</v>
      </c>
      <c r="B44" s="112" t="s">
        <v>55</v>
      </c>
      <c r="C44" s="239">
        <v>4200</v>
      </c>
      <c r="D44" s="113"/>
      <c r="E44" s="179">
        <f>SUM(I44:T44)</f>
        <v>3413</v>
      </c>
      <c r="F44" s="336">
        <v>773</v>
      </c>
      <c r="G44" s="336">
        <f>SUM(E44:F44)</f>
        <v>4186</v>
      </c>
      <c r="I44" s="87">
        <f>+Mensualizado!D96</f>
        <v>0</v>
      </c>
      <c r="J44" s="87">
        <f>+Mensualizado!E96</f>
        <v>0</v>
      </c>
      <c r="K44" s="87">
        <f>+Mensualizado!F96</f>
        <v>0</v>
      </c>
      <c r="L44" s="87">
        <f>+Mensualizado!G96</f>
        <v>105.15</v>
      </c>
      <c r="M44" s="87">
        <f>+Mensualizado!H96</f>
        <v>0</v>
      </c>
      <c r="N44" s="87">
        <f>+Mensualizado!I96</f>
        <v>0</v>
      </c>
      <c r="O44" s="87">
        <f>+Mensualizado!J96</f>
        <v>0</v>
      </c>
      <c r="P44" s="87">
        <f>+Mensualizado!K96</f>
        <v>0</v>
      </c>
      <c r="Q44" s="87">
        <f>+Mensualizado!L96</f>
        <v>2469.35</v>
      </c>
      <c r="R44" s="87">
        <f>+Mensualizado!M96</f>
        <v>0</v>
      </c>
      <c r="S44" s="87">
        <f>+Mensualizado!N96</f>
        <v>828</v>
      </c>
      <c r="T44" s="87">
        <f>+Mensualizado!O96</f>
        <v>10.5</v>
      </c>
    </row>
    <row r="45" spans="1:20" s="77" customFormat="1" ht="13.5" thickBot="1">
      <c r="A45" s="98">
        <v>55603</v>
      </c>
      <c r="B45" s="114" t="s">
        <v>200</v>
      </c>
      <c r="C45" s="239">
        <v>150</v>
      </c>
      <c r="D45" s="115"/>
      <c r="E45" s="179">
        <f>SUM(I45:T45)</f>
        <v>200</v>
      </c>
      <c r="F45" s="337"/>
      <c r="G45" s="337">
        <f>SUM(E45:F45)</f>
        <v>200</v>
      </c>
      <c r="I45" s="87">
        <f>+Mensualizado!D97</f>
        <v>0</v>
      </c>
      <c r="J45" s="87">
        <f>+Mensualizado!E97</f>
        <v>0</v>
      </c>
      <c r="K45" s="87">
        <f>+Mensualizado!F97</f>
        <v>0</v>
      </c>
      <c r="L45" s="87">
        <f>+Mensualizado!G97</f>
        <v>25</v>
      </c>
      <c r="M45" s="87">
        <f>+Mensualizado!H97</f>
        <v>0</v>
      </c>
      <c r="N45" s="87">
        <f>+Mensualizado!I97</f>
        <v>50</v>
      </c>
      <c r="O45" s="87">
        <f>+Mensualizado!J97</f>
        <v>0</v>
      </c>
      <c r="P45" s="87">
        <f>+Mensualizado!K97</f>
        <v>0</v>
      </c>
      <c r="Q45" s="87">
        <f>+Mensualizado!L97</f>
        <v>50</v>
      </c>
      <c r="R45" s="87">
        <f>+Mensualizado!M97</f>
        <v>0</v>
      </c>
      <c r="S45" s="87">
        <f>+Mensualizado!N97</f>
        <v>25</v>
      </c>
      <c r="T45" s="87">
        <f>+Mensualizado!O97</f>
        <v>50</v>
      </c>
    </row>
    <row r="46" spans="1:20" s="77" customFormat="1">
      <c r="A46" s="139"/>
      <c r="B46" s="132" t="s">
        <v>204</v>
      </c>
      <c r="C46" s="158">
        <f>SUM(C42:C45)</f>
        <v>58600</v>
      </c>
      <c r="D46" s="140"/>
      <c r="E46" s="184">
        <f>SUM(E42:E45)</f>
        <v>44181</v>
      </c>
      <c r="F46" s="184">
        <f>SUM(F42:F45)</f>
        <v>14419</v>
      </c>
      <c r="G46" s="184">
        <f>SUM(G42:G45)</f>
        <v>58600</v>
      </c>
      <c r="I46" s="317">
        <f>SUM(I42:I45)</f>
        <v>0</v>
      </c>
      <c r="J46" s="317">
        <f t="shared" ref="J46:T46" si="7">SUM(J42:J45)</f>
        <v>0</v>
      </c>
      <c r="K46" s="317">
        <f t="shared" si="7"/>
        <v>0</v>
      </c>
      <c r="L46" s="317">
        <f t="shared" si="7"/>
        <v>183.75</v>
      </c>
      <c r="M46" s="317">
        <f t="shared" si="7"/>
        <v>0</v>
      </c>
      <c r="N46" s="317">
        <f t="shared" si="7"/>
        <v>38401</v>
      </c>
      <c r="O46" s="317">
        <f t="shared" si="7"/>
        <v>0</v>
      </c>
      <c r="P46" s="317">
        <f t="shared" si="7"/>
        <v>0</v>
      </c>
      <c r="Q46" s="317">
        <f t="shared" si="7"/>
        <v>2835.35</v>
      </c>
      <c r="R46" s="317">
        <f t="shared" si="7"/>
        <v>40</v>
      </c>
      <c r="S46" s="317">
        <f t="shared" si="7"/>
        <v>1277</v>
      </c>
      <c r="T46" s="317">
        <f t="shared" si="7"/>
        <v>1443.9</v>
      </c>
    </row>
    <row r="47" spans="1:20">
      <c r="B47" s="50"/>
      <c r="C47" s="159"/>
      <c r="D47" s="54"/>
      <c r="E47" s="176"/>
      <c r="F47" s="176"/>
      <c r="G47" s="176"/>
    </row>
    <row r="48" spans="1:20">
      <c r="A48" s="102"/>
      <c r="B48" s="101" t="s">
        <v>75</v>
      </c>
      <c r="C48" s="153"/>
      <c r="D48" s="138"/>
      <c r="E48" s="177"/>
      <c r="F48" s="334"/>
      <c r="G48" s="334"/>
    </row>
    <row r="49" spans="1:20">
      <c r="A49" s="42"/>
      <c r="B49" s="47"/>
      <c r="C49" s="154"/>
      <c r="D49" s="44"/>
      <c r="E49" s="178"/>
      <c r="F49" s="335"/>
      <c r="G49" s="335"/>
    </row>
    <row r="50" spans="1:20">
      <c r="A50" s="66">
        <v>54105</v>
      </c>
      <c r="B50" s="65" t="s">
        <v>213</v>
      </c>
      <c r="C50" s="239">
        <v>2000</v>
      </c>
      <c r="D50" s="46"/>
      <c r="E50" s="179">
        <f t="shared" ref="E50:E58" si="8">SUM(I50:T50)</f>
        <v>4500</v>
      </c>
      <c r="F50" s="336"/>
      <c r="G50" s="336">
        <f t="shared" ref="G50:G58" si="9">SUM(E50:F50)</f>
        <v>4500</v>
      </c>
      <c r="I50" s="87">
        <f>+Mensualizado!D24</f>
        <v>0</v>
      </c>
      <c r="J50" s="87">
        <f>+Mensualizado!E24</f>
        <v>559.33000000000004</v>
      </c>
      <c r="K50" s="87">
        <f>+Mensualizado!F24</f>
        <v>8.5</v>
      </c>
      <c r="L50" s="87">
        <f>+Mensualizado!G24</f>
        <v>2277.5700000000002</v>
      </c>
      <c r="M50" s="87">
        <f>+Mensualizado!H24</f>
        <v>0</v>
      </c>
      <c r="N50" s="87">
        <f>+Mensualizado!I24</f>
        <v>1042.68</v>
      </c>
      <c r="O50" s="87">
        <f>+Mensualizado!J24</f>
        <v>21.21</v>
      </c>
      <c r="P50" s="87">
        <f>+Mensualizado!K24</f>
        <v>61.15</v>
      </c>
      <c r="Q50" s="87">
        <f>+Mensualizado!L24</f>
        <v>64.25</v>
      </c>
      <c r="R50" s="87">
        <f>+Mensualizado!M24</f>
        <v>357.96</v>
      </c>
      <c r="S50" s="87">
        <f>+Mensualizado!N24</f>
        <v>82.84</v>
      </c>
      <c r="T50" s="87">
        <f>+Mensualizado!O24</f>
        <v>24.51</v>
      </c>
    </row>
    <row r="51" spans="1:20">
      <c r="A51" s="66">
        <v>54114</v>
      </c>
      <c r="B51" s="65" t="s">
        <v>201</v>
      </c>
      <c r="C51" s="239">
        <v>2500</v>
      </c>
      <c r="D51" s="46"/>
      <c r="E51" s="179">
        <f t="shared" si="8"/>
        <v>2828</v>
      </c>
      <c r="F51" s="336"/>
      <c r="G51" s="336">
        <f t="shared" si="9"/>
        <v>2828</v>
      </c>
      <c r="I51" s="87">
        <f>+Mensualizado!D25</f>
        <v>0</v>
      </c>
      <c r="J51" s="87">
        <f>+Mensualizado!E25</f>
        <v>0</v>
      </c>
      <c r="K51" s="87">
        <f>+Mensualizado!F25</f>
        <v>0</v>
      </c>
      <c r="L51" s="87">
        <f>+Mensualizado!G25</f>
        <v>690.4</v>
      </c>
      <c r="M51" s="87">
        <f>+Mensualizado!H25</f>
        <v>0</v>
      </c>
      <c r="N51" s="87">
        <f>+Mensualizado!I25</f>
        <v>765</v>
      </c>
      <c r="O51" s="87">
        <f>+Mensualizado!J25</f>
        <v>567.79999999999995</v>
      </c>
      <c r="P51" s="87">
        <f>+Mensualizado!K25</f>
        <v>0</v>
      </c>
      <c r="Q51" s="87">
        <f>+Mensualizado!L25</f>
        <v>459.3</v>
      </c>
      <c r="R51" s="87">
        <f>+Mensualizado!M25</f>
        <v>81.45</v>
      </c>
      <c r="S51" s="87">
        <f>+Mensualizado!N25</f>
        <v>0</v>
      </c>
      <c r="T51" s="87">
        <f>+Mensualizado!O25</f>
        <v>264.05</v>
      </c>
    </row>
    <row r="52" spans="1:20">
      <c r="A52" s="66">
        <v>54116</v>
      </c>
      <c r="B52" s="45" t="s">
        <v>248</v>
      </c>
      <c r="C52" s="239">
        <v>17564.490000000002</v>
      </c>
      <c r="D52" s="46"/>
      <c r="E52" s="179">
        <f t="shared" si="8"/>
        <v>17672</v>
      </c>
      <c r="F52" s="336"/>
      <c r="G52" s="336">
        <f t="shared" si="9"/>
        <v>17672</v>
      </c>
      <c r="I52" s="87">
        <f>+Mensualizado!D26</f>
        <v>0</v>
      </c>
      <c r="J52" s="87">
        <f>+Mensualizado!E26</f>
        <v>0</v>
      </c>
      <c r="K52" s="87">
        <f>+Mensualizado!F26</f>
        <v>0</v>
      </c>
      <c r="L52" s="87">
        <f>+Mensualizado!G26</f>
        <v>7660</v>
      </c>
      <c r="M52" s="87">
        <f>+Mensualizado!H26</f>
        <v>0</v>
      </c>
      <c r="N52" s="87">
        <f>+Mensualizado!I26</f>
        <v>2515.4</v>
      </c>
      <c r="O52" s="87">
        <f>+Mensualizado!J26</f>
        <v>147.63999999999999</v>
      </c>
      <c r="P52" s="87">
        <f>+Mensualizado!K26</f>
        <v>33.08</v>
      </c>
      <c r="Q52" s="87">
        <f>+Mensualizado!L26</f>
        <v>172.8</v>
      </c>
      <c r="R52" s="87">
        <f>+Mensualizado!M26</f>
        <v>172.4</v>
      </c>
      <c r="S52" s="87">
        <f>+Mensualizado!N26</f>
        <v>172.41</v>
      </c>
      <c r="T52" s="87">
        <f>+Mensualizado!O26</f>
        <v>6798.27</v>
      </c>
    </row>
    <row r="53" spans="1:20" hidden="1">
      <c r="A53" s="66">
        <v>54199</v>
      </c>
      <c r="B53" s="65" t="s">
        <v>207</v>
      </c>
      <c r="C53" s="239">
        <v>0</v>
      </c>
      <c r="D53" s="46"/>
      <c r="E53" s="179">
        <f t="shared" si="8"/>
        <v>0</v>
      </c>
      <c r="F53" s="336"/>
      <c r="G53" s="336">
        <f t="shared" si="9"/>
        <v>0</v>
      </c>
    </row>
    <row r="54" spans="1:20">
      <c r="A54" s="42">
        <v>54305</v>
      </c>
      <c r="B54" s="45" t="s">
        <v>47</v>
      </c>
      <c r="C54" s="239">
        <v>9350</v>
      </c>
      <c r="D54" s="55"/>
      <c r="E54" s="179">
        <f t="shared" si="8"/>
        <v>25695.999999999996</v>
      </c>
      <c r="F54" s="336" t="e">
        <f>+#REF!</f>
        <v>#REF!</v>
      </c>
      <c r="G54" s="336" t="e">
        <f t="shared" si="9"/>
        <v>#REF!</v>
      </c>
      <c r="I54" s="87">
        <f>+Mensualizado!D27</f>
        <v>0</v>
      </c>
      <c r="J54" s="87">
        <f>+Mensualizado!E27</f>
        <v>429</v>
      </c>
      <c r="K54" s="87">
        <f>+Mensualizado!F27</f>
        <v>1288</v>
      </c>
      <c r="L54" s="87">
        <f>+Mensualizado!G27</f>
        <v>2398</v>
      </c>
      <c r="M54" s="87">
        <f>+Mensualizado!H27</f>
        <v>2398</v>
      </c>
      <c r="N54" s="87">
        <f>+Mensualizado!I27</f>
        <v>7560.3</v>
      </c>
      <c r="O54" s="87">
        <f>+Mensualizado!J27</f>
        <v>5272.7</v>
      </c>
      <c r="P54" s="87">
        <f>+Mensualizado!K27</f>
        <v>0</v>
      </c>
      <c r="Q54" s="87">
        <f>+Mensualizado!L27</f>
        <v>1713.6</v>
      </c>
      <c r="R54" s="87">
        <f>+Mensualizado!M27</f>
        <v>2616.8000000000002</v>
      </c>
      <c r="S54" s="87">
        <f>+Mensualizado!N27</f>
        <v>285</v>
      </c>
      <c r="T54" s="87">
        <f>+Mensualizado!O27</f>
        <v>1734.6</v>
      </c>
    </row>
    <row r="55" spans="1:20">
      <c r="A55" s="42">
        <v>54313</v>
      </c>
      <c r="B55" s="47" t="s">
        <v>46</v>
      </c>
      <c r="C55" s="239">
        <v>53500</v>
      </c>
      <c r="D55" s="55"/>
      <c r="E55" s="179">
        <f t="shared" si="8"/>
        <v>16768</v>
      </c>
      <c r="F55" s="336"/>
      <c r="G55" s="336">
        <f t="shared" si="9"/>
        <v>16768</v>
      </c>
      <c r="I55" s="87">
        <f>+Mensualizado!D28</f>
        <v>130.5</v>
      </c>
      <c r="J55" s="87">
        <f>+Mensualizado!E28</f>
        <v>4411</v>
      </c>
      <c r="K55" s="87">
        <f>+Mensualizado!F28</f>
        <v>303.25</v>
      </c>
      <c r="L55" s="87">
        <f>+Mensualizado!G28</f>
        <v>6276.2</v>
      </c>
      <c r="M55" s="87">
        <f>+Mensualizado!H28</f>
        <v>0</v>
      </c>
      <c r="N55" s="87">
        <f>+Mensualizado!I28</f>
        <v>0</v>
      </c>
      <c r="O55" s="87">
        <f>+Mensualizado!J28</f>
        <v>56.5</v>
      </c>
      <c r="P55" s="87">
        <f>+Mensualizado!K28</f>
        <v>0</v>
      </c>
      <c r="Q55" s="87">
        <f>+Mensualizado!L28</f>
        <v>1504.65</v>
      </c>
      <c r="R55" s="87">
        <f>+Mensualizado!M28</f>
        <v>0</v>
      </c>
      <c r="S55" s="87">
        <f>+Mensualizado!N28</f>
        <v>1000</v>
      </c>
      <c r="T55" s="87">
        <f>+Mensualizado!O28</f>
        <v>3085.9</v>
      </c>
    </row>
    <row r="56" spans="1:20">
      <c r="A56" s="66">
        <v>54314</v>
      </c>
      <c r="B56" s="65" t="s">
        <v>89</v>
      </c>
      <c r="C56" s="239">
        <v>200</v>
      </c>
      <c r="D56" s="46"/>
      <c r="E56" s="179">
        <f t="shared" si="8"/>
        <v>24378</v>
      </c>
      <c r="F56" s="336"/>
      <c r="G56" s="336">
        <f t="shared" si="9"/>
        <v>24378</v>
      </c>
      <c r="I56" s="87">
        <f>+Mensualizado!D29</f>
        <v>332.5</v>
      </c>
      <c r="J56" s="87">
        <f>+Mensualizado!E29</f>
        <v>4489.12</v>
      </c>
      <c r="K56" s="87">
        <f>+Mensualizado!F29</f>
        <v>1466.43</v>
      </c>
      <c r="L56" s="87">
        <f>+Mensualizado!G29</f>
        <v>5800</v>
      </c>
      <c r="M56" s="87">
        <f>+Mensualizado!H29</f>
        <v>0</v>
      </c>
      <c r="N56" s="87">
        <f>+Mensualizado!I29</f>
        <v>5250</v>
      </c>
      <c r="O56" s="87">
        <f>+Mensualizado!J29</f>
        <v>4000</v>
      </c>
      <c r="P56" s="87">
        <f>+Mensualizado!K29</f>
        <v>49.95</v>
      </c>
      <c r="Q56" s="87">
        <f>+Mensualizado!L29</f>
        <v>190</v>
      </c>
      <c r="R56" s="87">
        <f>+Mensualizado!M29</f>
        <v>870</v>
      </c>
      <c r="S56" s="87">
        <f>+Mensualizado!N29</f>
        <v>1060</v>
      </c>
      <c r="T56" s="87">
        <f>+Mensualizado!O29</f>
        <v>870</v>
      </c>
    </row>
    <row r="57" spans="1:20">
      <c r="A57" s="66">
        <v>54399</v>
      </c>
      <c r="B57" s="65" t="s">
        <v>208</v>
      </c>
      <c r="C57" s="239">
        <v>10600</v>
      </c>
      <c r="D57" s="46"/>
      <c r="E57" s="179">
        <f t="shared" si="8"/>
        <v>0</v>
      </c>
      <c r="F57" s="336"/>
      <c r="G57" s="336">
        <f t="shared" si="9"/>
        <v>0</v>
      </c>
      <c r="I57" s="87">
        <f>+Mensualizado!D30</f>
        <v>0</v>
      </c>
      <c r="J57" s="87">
        <f>+Mensualizado!E30</f>
        <v>0</v>
      </c>
      <c r="K57" s="87">
        <f>+Mensualizado!F30</f>
        <v>0</v>
      </c>
      <c r="L57" s="87">
        <f>+Mensualizado!G30</f>
        <v>0</v>
      </c>
      <c r="M57" s="87">
        <f>+Mensualizado!H30</f>
        <v>0</v>
      </c>
      <c r="N57" s="87">
        <f>+Mensualizado!I30</f>
        <v>0</v>
      </c>
      <c r="O57" s="87">
        <f>+Mensualizado!J30</f>
        <v>0</v>
      </c>
      <c r="P57" s="87">
        <f>+Mensualizado!K30</f>
        <v>0</v>
      </c>
      <c r="Q57" s="87">
        <f>+Mensualizado!L30</f>
        <v>0</v>
      </c>
      <c r="R57" s="87">
        <f>+Mensualizado!M30</f>
        <v>0</v>
      </c>
      <c r="S57" s="87">
        <f>+Mensualizado!N30</f>
        <v>0</v>
      </c>
      <c r="T57" s="87">
        <f>+Mensualizado!O30</f>
        <v>0</v>
      </c>
    </row>
    <row r="58" spans="1:20" ht="13.5" thickBot="1">
      <c r="A58" s="62">
        <v>54599</v>
      </c>
      <c r="B58" s="97" t="s">
        <v>209</v>
      </c>
      <c r="C58" s="161"/>
      <c r="D58" s="95"/>
      <c r="E58" s="179">
        <f t="shared" si="8"/>
        <v>0</v>
      </c>
      <c r="F58" s="337"/>
      <c r="G58" s="337">
        <f t="shared" si="9"/>
        <v>0</v>
      </c>
      <c r="I58" s="87">
        <f>+Mensualizado!D31</f>
        <v>0</v>
      </c>
      <c r="J58" s="87">
        <f>+Mensualizado!E31</f>
        <v>0</v>
      </c>
      <c r="K58" s="87">
        <f>+Mensualizado!F31</f>
        <v>0</v>
      </c>
      <c r="L58" s="87">
        <f>+Mensualizado!G31</f>
        <v>0</v>
      </c>
      <c r="M58" s="87">
        <f>+Mensualizado!H31</f>
        <v>0</v>
      </c>
      <c r="N58" s="87">
        <f>+Mensualizado!I31</f>
        <v>0</v>
      </c>
      <c r="O58" s="87">
        <f>+Mensualizado!J31</f>
        <v>0</v>
      </c>
      <c r="P58" s="87">
        <f>+Mensualizado!K31</f>
        <v>0</v>
      </c>
      <c r="Q58" s="87">
        <f>+Mensualizado!L31</f>
        <v>0</v>
      </c>
      <c r="R58" s="87">
        <f>+Mensualizado!M31</f>
        <v>0</v>
      </c>
      <c r="S58" s="87">
        <f>+Mensualizado!N31</f>
        <v>0</v>
      </c>
      <c r="T58" s="87">
        <f>+Mensualizado!O31</f>
        <v>0</v>
      </c>
    </row>
    <row r="59" spans="1:20">
      <c r="A59" s="131"/>
      <c r="B59" s="132" t="s">
        <v>204</v>
      </c>
      <c r="C59" s="158">
        <f>SUM(C50:C58)</f>
        <v>95714.49</v>
      </c>
      <c r="D59" s="135"/>
      <c r="E59" s="184">
        <f>SUM(E50:E58)</f>
        <v>91842</v>
      </c>
      <c r="F59" s="184" t="e">
        <f>SUM(F50:F58)</f>
        <v>#REF!</v>
      </c>
      <c r="G59" s="184" t="e">
        <f>SUM(G50:G58)</f>
        <v>#REF!</v>
      </c>
      <c r="I59" s="317">
        <f>SUM(I50:I58)</f>
        <v>463</v>
      </c>
      <c r="J59" s="317">
        <f t="shared" ref="J59:T59" si="10">SUM(J50:J58)</f>
        <v>9888.4500000000007</v>
      </c>
      <c r="K59" s="317">
        <f t="shared" si="10"/>
        <v>3066.1800000000003</v>
      </c>
      <c r="L59" s="317">
        <f t="shared" si="10"/>
        <v>25102.170000000002</v>
      </c>
      <c r="M59" s="317">
        <f t="shared" si="10"/>
        <v>2398</v>
      </c>
      <c r="N59" s="317">
        <f t="shared" si="10"/>
        <v>17133.38</v>
      </c>
      <c r="O59" s="317">
        <f t="shared" si="10"/>
        <v>10065.849999999999</v>
      </c>
      <c r="P59" s="317">
        <f t="shared" si="10"/>
        <v>144.18</v>
      </c>
      <c r="Q59" s="317">
        <f t="shared" si="10"/>
        <v>4104.6000000000004</v>
      </c>
      <c r="R59" s="317">
        <f t="shared" si="10"/>
        <v>4098.6100000000006</v>
      </c>
      <c r="S59" s="317">
        <f t="shared" si="10"/>
        <v>2600.25</v>
      </c>
      <c r="T59" s="317">
        <f t="shared" si="10"/>
        <v>12777.33</v>
      </c>
    </row>
    <row r="60" spans="1:20">
      <c r="A60" s="37"/>
      <c r="B60" s="57"/>
      <c r="C60" s="150"/>
      <c r="D60" s="58"/>
      <c r="E60" s="181"/>
      <c r="F60" s="181"/>
      <c r="G60" s="181"/>
    </row>
    <row r="61" spans="1:20">
      <c r="A61" s="102"/>
      <c r="B61" s="101" t="s">
        <v>67</v>
      </c>
      <c r="C61" s="153"/>
      <c r="D61" s="138"/>
      <c r="E61" s="177"/>
      <c r="F61" s="334"/>
      <c r="G61" s="334"/>
    </row>
    <row r="62" spans="1:20">
      <c r="A62" s="42"/>
      <c r="B62" s="47"/>
      <c r="C62" s="154"/>
      <c r="D62" s="43"/>
      <c r="E62" s="178"/>
      <c r="F62" s="335"/>
      <c r="G62" s="335"/>
    </row>
    <row r="63" spans="1:20">
      <c r="A63" s="68">
        <v>54402</v>
      </c>
      <c r="B63" s="47" t="s">
        <v>61</v>
      </c>
      <c r="C63" s="239">
        <f>40500-7444.3</f>
        <v>33055.699999999997</v>
      </c>
      <c r="D63" s="55"/>
      <c r="E63" s="179">
        <f>SUM(I63:T63)</f>
        <v>27475</v>
      </c>
      <c r="F63" s="336"/>
      <c r="G63" s="336">
        <f>SUM(E63:F63)</f>
        <v>27475</v>
      </c>
      <c r="I63" s="87">
        <f>+Mensualizado!D33</f>
        <v>367.88</v>
      </c>
      <c r="J63" s="87">
        <f>+Mensualizado!E33</f>
        <v>4279.88</v>
      </c>
      <c r="K63" s="87">
        <f>+Mensualizado!F33</f>
        <v>8884.3700000000008</v>
      </c>
      <c r="L63" s="87">
        <f>+Mensualizado!G33</f>
        <v>0</v>
      </c>
      <c r="M63" s="87">
        <f>+Mensualizado!H33</f>
        <v>0</v>
      </c>
      <c r="N63" s="87">
        <f>+Mensualizado!I33</f>
        <v>8295.09</v>
      </c>
      <c r="O63" s="87">
        <f>+Mensualizado!J33</f>
        <v>0</v>
      </c>
      <c r="P63" s="87">
        <f>+Mensualizado!K33</f>
        <v>0</v>
      </c>
      <c r="Q63" s="87">
        <f>+Mensualizado!L33</f>
        <v>1563.9</v>
      </c>
      <c r="R63" s="87">
        <f>+Mensualizado!M33</f>
        <v>563.39</v>
      </c>
      <c r="S63" s="87">
        <f>+Mensualizado!N33</f>
        <v>3520.49</v>
      </c>
      <c r="T63" s="87">
        <f>+Mensualizado!O33</f>
        <v>0</v>
      </c>
    </row>
    <row r="64" spans="1:20">
      <c r="A64" s="68">
        <v>54404</v>
      </c>
      <c r="B64" s="47" t="s">
        <v>62</v>
      </c>
      <c r="C64" s="239">
        <f>33370-7461</f>
        <v>25909</v>
      </c>
      <c r="D64" s="55"/>
      <c r="E64" s="179">
        <f>SUM(I64:T64)</f>
        <v>33513</v>
      </c>
      <c r="F64" s="336"/>
      <c r="G64" s="336">
        <f>SUM(E64:F64)</f>
        <v>33513</v>
      </c>
      <c r="I64" s="87">
        <f>+Mensualizado!D34</f>
        <v>525</v>
      </c>
      <c r="J64" s="87">
        <f>+Mensualizado!E34</f>
        <v>7368</v>
      </c>
      <c r="K64" s="87">
        <f>+Mensualizado!F34</f>
        <v>8575</v>
      </c>
      <c r="L64" s="87">
        <f>+Mensualizado!G34</f>
        <v>0</v>
      </c>
      <c r="M64" s="87">
        <f>+Mensualizado!H34</f>
        <v>8040</v>
      </c>
      <c r="N64" s="87">
        <f>+Mensualizado!I34</f>
        <v>1035</v>
      </c>
      <c r="O64" s="87">
        <f>+Mensualizado!J34</f>
        <v>945</v>
      </c>
      <c r="P64" s="87">
        <f>+Mensualizado!K34</f>
        <v>1095</v>
      </c>
      <c r="Q64" s="87">
        <f>+Mensualizado!L34</f>
        <v>165</v>
      </c>
      <c r="R64" s="87">
        <f>+Mensualizado!M34</f>
        <v>1270</v>
      </c>
      <c r="S64" s="87">
        <f>+Mensualizado!N34</f>
        <v>4255</v>
      </c>
      <c r="T64" s="87">
        <f>+Mensualizado!O34</f>
        <v>240</v>
      </c>
    </row>
    <row r="65" spans="1:20" ht="13.5" thickBot="1">
      <c r="A65" s="69"/>
      <c r="B65" s="63"/>
      <c r="C65" s="146"/>
      <c r="D65" s="56"/>
      <c r="E65" s="179"/>
      <c r="F65" s="337"/>
      <c r="G65" s="337">
        <f>SUM(E65:F65)</f>
        <v>0</v>
      </c>
    </row>
    <row r="66" spans="1:20">
      <c r="A66" s="141"/>
      <c r="B66" s="132" t="s">
        <v>204</v>
      </c>
      <c r="C66" s="158">
        <f>SUM(C63:C65)</f>
        <v>58964.7</v>
      </c>
      <c r="D66" s="135"/>
      <c r="E66" s="184">
        <f>SUM(E63:E65)</f>
        <v>60988</v>
      </c>
      <c r="F66" s="184">
        <f>SUM(F63:F65)</f>
        <v>0</v>
      </c>
      <c r="G66" s="184">
        <f>SUM(G63:G65)</f>
        <v>60988</v>
      </c>
      <c r="I66" s="317">
        <f>SUM(I63:I65)</f>
        <v>892.88</v>
      </c>
      <c r="J66" s="317">
        <f t="shared" ref="J66:T66" si="11">SUM(J63:J65)</f>
        <v>11647.880000000001</v>
      </c>
      <c r="K66" s="317">
        <f t="shared" si="11"/>
        <v>17459.370000000003</v>
      </c>
      <c r="L66" s="317">
        <f t="shared" si="11"/>
        <v>0</v>
      </c>
      <c r="M66" s="317">
        <f t="shared" si="11"/>
        <v>8040</v>
      </c>
      <c r="N66" s="317">
        <f t="shared" si="11"/>
        <v>9330.09</v>
      </c>
      <c r="O66" s="317">
        <f t="shared" si="11"/>
        <v>945</v>
      </c>
      <c r="P66" s="317">
        <f t="shared" si="11"/>
        <v>1095</v>
      </c>
      <c r="Q66" s="317">
        <f t="shared" si="11"/>
        <v>1728.9</v>
      </c>
      <c r="R66" s="317">
        <f t="shared" si="11"/>
        <v>1833.3899999999999</v>
      </c>
      <c r="S66" s="317">
        <f t="shared" si="11"/>
        <v>7775.49</v>
      </c>
      <c r="T66" s="317">
        <f t="shared" si="11"/>
        <v>240</v>
      </c>
    </row>
    <row r="67" spans="1:20">
      <c r="B67" s="53"/>
      <c r="C67" s="152"/>
      <c r="D67" s="54"/>
      <c r="E67" s="176"/>
      <c r="F67" s="176"/>
      <c r="G67" s="176"/>
    </row>
    <row r="68" spans="1:20">
      <c r="A68" s="102"/>
      <c r="B68" s="101" t="s">
        <v>68</v>
      </c>
      <c r="C68" s="153"/>
      <c r="D68" s="138"/>
      <c r="E68" s="177"/>
      <c r="F68" s="334"/>
      <c r="G68" s="334"/>
    </row>
    <row r="69" spans="1:20">
      <c r="A69" s="42"/>
      <c r="B69" s="47"/>
      <c r="C69" s="154"/>
      <c r="D69" s="59"/>
      <c r="E69" s="185"/>
      <c r="F69" s="338"/>
      <c r="G69" s="338"/>
    </row>
    <row r="70" spans="1:20">
      <c r="A70" s="42">
        <v>54116</v>
      </c>
      <c r="B70" s="45" t="s">
        <v>87</v>
      </c>
      <c r="C70" s="146">
        <v>1000</v>
      </c>
      <c r="D70" s="46"/>
      <c r="E70" s="179">
        <f>SUM(I70:T70)</f>
        <v>1000</v>
      </c>
      <c r="F70" s="336"/>
      <c r="G70" s="336">
        <f>SUM(E70:F70)</f>
        <v>1000</v>
      </c>
      <c r="I70" s="87">
        <f>+Mensualizado!D36</f>
        <v>0</v>
      </c>
      <c r="J70" s="87">
        <f>+Mensualizado!E36</f>
        <v>180</v>
      </c>
      <c r="K70" s="87">
        <f>+Mensualizado!F36</f>
        <v>40</v>
      </c>
      <c r="L70" s="87">
        <f>+Mensualizado!G36</f>
        <v>168</v>
      </c>
      <c r="M70" s="87">
        <f>+Mensualizado!H36</f>
        <v>0</v>
      </c>
      <c r="N70" s="87">
        <f>+Mensualizado!I36</f>
        <v>0</v>
      </c>
      <c r="O70" s="87">
        <f>+Mensualizado!J36</f>
        <v>20.58</v>
      </c>
      <c r="P70" s="87">
        <f>+Mensualizado!K36</f>
        <v>60</v>
      </c>
      <c r="Q70" s="87">
        <f>+Mensualizado!L36</f>
        <v>133.5</v>
      </c>
      <c r="R70" s="87">
        <f>+Mensualizado!M36</f>
        <v>0</v>
      </c>
      <c r="S70" s="87">
        <f>+Mensualizado!N36</f>
        <v>17.5</v>
      </c>
      <c r="T70" s="87">
        <f>+Mensualizado!O36</f>
        <v>380.42</v>
      </c>
    </row>
    <row r="71" spans="1:20" ht="13.5" thickBot="1">
      <c r="A71" s="69">
        <v>61107</v>
      </c>
      <c r="B71" s="60" t="s">
        <v>205</v>
      </c>
      <c r="C71" s="162"/>
      <c r="D71" s="48"/>
      <c r="E71" s="185"/>
      <c r="F71" s="339"/>
      <c r="G71" s="337">
        <f>SUM(E71:F71)</f>
        <v>0</v>
      </c>
    </row>
    <row r="72" spans="1:20">
      <c r="A72" s="141"/>
      <c r="B72" s="132" t="s">
        <v>204</v>
      </c>
      <c r="C72" s="158">
        <f>SUM(C70:C71)</f>
        <v>1000</v>
      </c>
      <c r="D72" s="135"/>
      <c r="E72" s="184">
        <f>SUM(E70:E71)</f>
        <v>1000</v>
      </c>
      <c r="F72" s="184">
        <f>SUM(F70:F71)</f>
        <v>0</v>
      </c>
      <c r="G72" s="184">
        <f>SUM(G70:G71)</f>
        <v>1000</v>
      </c>
      <c r="I72" s="317">
        <f>SUM(I70:I71)</f>
        <v>0</v>
      </c>
      <c r="J72" s="317">
        <f t="shared" ref="J72:T72" si="12">SUM(J70:J71)</f>
        <v>180</v>
      </c>
      <c r="K72" s="317">
        <f t="shared" si="12"/>
        <v>40</v>
      </c>
      <c r="L72" s="317">
        <f t="shared" si="12"/>
        <v>168</v>
      </c>
      <c r="M72" s="317">
        <f t="shared" si="12"/>
        <v>0</v>
      </c>
      <c r="N72" s="317">
        <f t="shared" si="12"/>
        <v>0</v>
      </c>
      <c r="O72" s="317">
        <f t="shared" si="12"/>
        <v>20.58</v>
      </c>
      <c r="P72" s="317">
        <f t="shared" si="12"/>
        <v>60</v>
      </c>
      <c r="Q72" s="317">
        <f t="shared" si="12"/>
        <v>133.5</v>
      </c>
      <c r="R72" s="317">
        <f t="shared" si="12"/>
        <v>0</v>
      </c>
      <c r="S72" s="317">
        <f t="shared" si="12"/>
        <v>17.5</v>
      </c>
      <c r="T72" s="317">
        <f t="shared" si="12"/>
        <v>380.42</v>
      </c>
    </row>
    <row r="73" spans="1:20">
      <c r="B73" s="53"/>
      <c r="C73" s="152"/>
      <c r="D73" s="54"/>
      <c r="E73" s="176"/>
      <c r="F73" s="176"/>
      <c r="G73" s="176"/>
    </row>
    <row r="74" spans="1:20">
      <c r="A74" s="102"/>
      <c r="B74" s="101" t="s">
        <v>69</v>
      </c>
      <c r="C74" s="153"/>
      <c r="D74" s="130"/>
      <c r="E74" s="177"/>
      <c r="F74" s="334"/>
      <c r="G74" s="334"/>
    </row>
    <row r="75" spans="1:20" ht="12.75" customHeight="1" thickBot="1">
      <c r="A75" s="71">
        <v>54599</v>
      </c>
      <c r="B75" s="72" t="s">
        <v>82</v>
      </c>
      <c r="C75" s="163">
        <v>230000</v>
      </c>
      <c r="D75" s="49"/>
      <c r="E75" s="179">
        <f>SUM(I75:T75)</f>
        <v>148235</v>
      </c>
      <c r="F75" s="337"/>
      <c r="G75" s="337">
        <f>SUM(E75:F75)</f>
        <v>148235</v>
      </c>
      <c r="I75" s="87">
        <f>+Mensualizado!D38</f>
        <v>6613</v>
      </c>
      <c r="J75" s="87">
        <f>+Mensualizado!E38</f>
        <v>5800</v>
      </c>
      <c r="K75" s="87">
        <f>+Mensualizado!F38</f>
        <v>12200</v>
      </c>
      <c r="L75" s="87">
        <f>+Mensualizado!G38</f>
        <v>6600</v>
      </c>
      <c r="M75" s="87">
        <f>+Mensualizado!H38</f>
        <v>6600</v>
      </c>
      <c r="N75" s="87">
        <f>+Mensualizado!I38</f>
        <v>52400</v>
      </c>
      <c r="O75" s="87">
        <f>+Mensualizado!J38</f>
        <v>6600</v>
      </c>
      <c r="P75" s="87">
        <f>+Mensualizado!K38</f>
        <v>0</v>
      </c>
      <c r="Q75" s="87">
        <f>+Mensualizado!L38</f>
        <v>27842</v>
      </c>
      <c r="R75" s="87">
        <f>+Mensualizado!M38</f>
        <v>9980</v>
      </c>
      <c r="S75" s="87">
        <f>+Mensualizado!N38</f>
        <v>0</v>
      </c>
      <c r="T75" s="87">
        <f>+Mensualizado!O38</f>
        <v>13600</v>
      </c>
    </row>
    <row r="76" spans="1:20" ht="12.75" customHeight="1">
      <c r="A76" s="142"/>
      <c r="B76" s="132" t="s">
        <v>204</v>
      </c>
      <c r="C76" s="158">
        <f>SUM(C75)</f>
        <v>230000</v>
      </c>
      <c r="D76" s="135"/>
      <c r="E76" s="184">
        <f>SUM(E75)</f>
        <v>148235</v>
      </c>
      <c r="F76" s="184">
        <f>SUM(F75)</f>
        <v>0</v>
      </c>
      <c r="G76" s="184">
        <f>SUM(G75)</f>
        <v>148235</v>
      </c>
      <c r="I76" s="317">
        <f>SUM(I75)</f>
        <v>6613</v>
      </c>
      <c r="J76" s="317">
        <f t="shared" ref="J76:T76" si="13">SUM(J75)</f>
        <v>5800</v>
      </c>
      <c r="K76" s="317">
        <f t="shared" si="13"/>
        <v>12200</v>
      </c>
      <c r="L76" s="317">
        <f t="shared" si="13"/>
        <v>6600</v>
      </c>
      <c r="M76" s="317">
        <f t="shared" si="13"/>
        <v>6600</v>
      </c>
      <c r="N76" s="317">
        <f t="shared" si="13"/>
        <v>52400</v>
      </c>
      <c r="O76" s="317">
        <f t="shared" si="13"/>
        <v>6600</v>
      </c>
      <c r="P76" s="317">
        <f t="shared" si="13"/>
        <v>0</v>
      </c>
      <c r="Q76" s="317">
        <f t="shared" si="13"/>
        <v>27842</v>
      </c>
      <c r="R76" s="317">
        <f t="shared" si="13"/>
        <v>9980</v>
      </c>
      <c r="S76" s="317">
        <f t="shared" si="13"/>
        <v>0</v>
      </c>
      <c r="T76" s="317">
        <f t="shared" si="13"/>
        <v>13600</v>
      </c>
    </row>
    <row r="77" spans="1:20" ht="12.75" customHeight="1">
      <c r="A77" s="90"/>
      <c r="B77" s="91"/>
      <c r="C77" s="164"/>
      <c r="D77" s="92"/>
      <c r="E77" s="186"/>
      <c r="F77" s="186"/>
      <c r="G77" s="186"/>
    </row>
    <row r="78" spans="1:20">
      <c r="A78" s="102"/>
      <c r="B78" s="101" t="s">
        <v>85</v>
      </c>
      <c r="C78" s="153"/>
      <c r="D78" s="138"/>
      <c r="E78" s="177"/>
      <c r="F78" s="334"/>
      <c r="G78" s="334"/>
    </row>
    <row r="79" spans="1:20">
      <c r="A79" s="42"/>
      <c r="B79" s="47"/>
      <c r="C79" s="154"/>
      <c r="D79" s="44"/>
      <c r="E79" s="178"/>
      <c r="F79" s="335"/>
      <c r="G79" s="335"/>
    </row>
    <row r="80" spans="1:20">
      <c r="A80" s="121">
        <v>54101</v>
      </c>
      <c r="B80" s="122" t="s">
        <v>53</v>
      </c>
      <c r="C80" s="187">
        <f>3620-730.3</f>
        <v>2889.7</v>
      </c>
      <c r="D80" s="46"/>
      <c r="E80" s="179">
        <f t="shared" ref="E80:E108" si="14">SUM(I80:T80)</f>
        <v>350</v>
      </c>
      <c r="F80" s="336" t="e">
        <f>+#REF!</f>
        <v>#REF!</v>
      </c>
      <c r="G80" s="336" t="e">
        <f t="shared" ref="G80:G109" si="15">SUM(E80:F80)</f>
        <v>#REF!</v>
      </c>
      <c r="H80" s="109"/>
      <c r="I80" s="87">
        <f>+Mensualizado!D40</f>
        <v>0</v>
      </c>
      <c r="J80" s="87">
        <f>+Mensualizado!E40</f>
        <v>60.3</v>
      </c>
      <c r="K80" s="87">
        <f>+Mensualizado!F40</f>
        <v>85.5</v>
      </c>
      <c r="L80" s="87">
        <f>+Mensualizado!G40</f>
        <v>0</v>
      </c>
      <c r="M80" s="87">
        <f>+Mensualizado!H40</f>
        <v>4.25</v>
      </c>
      <c r="N80" s="87">
        <f>+Mensualizado!I40</f>
        <v>76.2</v>
      </c>
      <c r="O80" s="87">
        <f>+Mensualizado!J40</f>
        <v>43.2</v>
      </c>
      <c r="P80" s="87">
        <f>+Mensualizado!K40</f>
        <v>0</v>
      </c>
      <c r="Q80" s="87">
        <f>+Mensualizado!L40</f>
        <v>0</v>
      </c>
      <c r="R80" s="87">
        <f>+Mensualizado!M40</f>
        <v>0</v>
      </c>
      <c r="S80" s="87">
        <f>+Mensualizado!N40</f>
        <v>80.55</v>
      </c>
      <c r="T80" s="87">
        <f>+Mensualizado!O40</f>
        <v>0</v>
      </c>
    </row>
    <row r="81" spans="1:20">
      <c r="A81" s="121">
        <v>54103</v>
      </c>
      <c r="B81" s="122" t="s">
        <v>74</v>
      </c>
      <c r="C81" s="187"/>
      <c r="D81" s="46"/>
      <c r="E81" s="179">
        <f t="shared" si="14"/>
        <v>279</v>
      </c>
      <c r="F81" s="336"/>
      <c r="G81" s="336">
        <f t="shared" si="15"/>
        <v>279</v>
      </c>
      <c r="H81" s="109"/>
      <c r="I81" s="87">
        <f>+Mensualizado!D41</f>
        <v>0</v>
      </c>
      <c r="J81" s="87">
        <f>+Mensualizado!E41</f>
        <v>0</v>
      </c>
      <c r="K81" s="87">
        <f>+Mensualizado!F41</f>
        <v>0</v>
      </c>
      <c r="L81" s="87">
        <f>+Mensualizado!G41</f>
        <v>0</v>
      </c>
      <c r="M81" s="87">
        <f>+Mensualizado!H41</f>
        <v>9</v>
      </c>
      <c r="N81" s="87">
        <f>+Mensualizado!I41</f>
        <v>0</v>
      </c>
      <c r="O81" s="87">
        <f>+Mensualizado!J41</f>
        <v>0</v>
      </c>
      <c r="P81" s="87">
        <f>+Mensualizado!K41</f>
        <v>120</v>
      </c>
      <c r="Q81" s="87">
        <f>+Mensualizado!L41</f>
        <v>0</v>
      </c>
      <c r="R81" s="87">
        <f>+Mensualizado!M41</f>
        <v>0</v>
      </c>
      <c r="S81" s="87">
        <f>+Mensualizado!N41</f>
        <v>150</v>
      </c>
      <c r="T81" s="87">
        <f>+Mensualizado!O41</f>
        <v>0</v>
      </c>
    </row>
    <row r="82" spans="1:20">
      <c r="A82" s="121">
        <v>54104</v>
      </c>
      <c r="B82" s="122" t="s">
        <v>210</v>
      </c>
      <c r="C82" s="187">
        <f>480+1934.75</f>
        <v>2414.75</v>
      </c>
      <c r="D82" s="46"/>
      <c r="E82" s="179">
        <f t="shared" si="14"/>
        <v>1056</v>
      </c>
      <c r="F82" s="336" t="e">
        <f>+#REF!</f>
        <v>#REF!</v>
      </c>
      <c r="G82" s="336" t="e">
        <f t="shared" si="15"/>
        <v>#REF!</v>
      </c>
      <c r="H82" s="109"/>
      <c r="I82" s="87">
        <f>+Mensualizado!D42</f>
        <v>0</v>
      </c>
      <c r="J82" s="87">
        <f>+Mensualizado!E42</f>
        <v>143</v>
      </c>
      <c r="K82" s="87">
        <f>+Mensualizado!F42</f>
        <v>0</v>
      </c>
      <c r="L82" s="87">
        <f>+Mensualizado!G42</f>
        <v>170.3</v>
      </c>
      <c r="M82" s="87">
        <f>+Mensualizado!H42</f>
        <v>0</v>
      </c>
      <c r="N82" s="87">
        <f>+Mensualizado!I42</f>
        <v>406.95</v>
      </c>
      <c r="O82" s="87">
        <f>+Mensualizado!J42</f>
        <v>59.45</v>
      </c>
      <c r="P82" s="87">
        <f>+Mensualizado!K42</f>
        <v>0</v>
      </c>
      <c r="Q82" s="87">
        <f>+Mensualizado!L42</f>
        <v>10</v>
      </c>
      <c r="R82" s="87">
        <f>+Mensualizado!M42</f>
        <v>24.13</v>
      </c>
      <c r="S82" s="87">
        <f>+Mensualizado!N42</f>
        <v>26.62</v>
      </c>
      <c r="T82" s="87">
        <f>+Mensualizado!O42</f>
        <v>215.55</v>
      </c>
    </row>
    <row r="83" spans="1:20">
      <c r="A83" s="121">
        <v>54105</v>
      </c>
      <c r="B83" s="122" t="s">
        <v>211</v>
      </c>
      <c r="C83" s="187">
        <f>2660+1285.6</f>
        <v>3945.6</v>
      </c>
      <c r="D83" s="46"/>
      <c r="E83" s="179">
        <f t="shared" si="14"/>
        <v>0</v>
      </c>
      <c r="F83" s="336"/>
      <c r="G83" s="336">
        <f t="shared" si="15"/>
        <v>0</v>
      </c>
      <c r="H83" s="109"/>
    </row>
    <row r="84" spans="1:20" s="79" customFormat="1">
      <c r="A84" s="123">
        <v>54106</v>
      </c>
      <c r="B84" s="124" t="s">
        <v>73</v>
      </c>
      <c r="C84" s="188">
        <f>15+2135.92</f>
        <v>2150.92</v>
      </c>
      <c r="D84" s="46"/>
      <c r="E84" s="179">
        <f t="shared" si="14"/>
        <v>1464</v>
      </c>
      <c r="F84" s="336"/>
      <c r="G84" s="336">
        <f t="shared" si="15"/>
        <v>1464</v>
      </c>
      <c r="H84" s="116"/>
      <c r="I84" s="87">
        <f>+Mensualizado!D43</f>
        <v>0</v>
      </c>
      <c r="J84" s="87">
        <f>+Mensualizado!E43</f>
        <v>500</v>
      </c>
      <c r="K84" s="87">
        <f>+Mensualizado!F43</f>
        <v>0</v>
      </c>
      <c r="L84" s="87">
        <f>+Mensualizado!G43</f>
        <v>0</v>
      </c>
      <c r="M84" s="87">
        <f>+Mensualizado!H43</f>
        <v>150</v>
      </c>
      <c r="N84" s="87">
        <f>+Mensualizado!I43</f>
        <v>0</v>
      </c>
      <c r="O84" s="87">
        <f>+Mensualizado!J43</f>
        <v>0</v>
      </c>
      <c r="P84" s="87">
        <f>+Mensualizado!K43</f>
        <v>0</v>
      </c>
      <c r="Q84" s="87">
        <f>+Mensualizado!L43</f>
        <v>793.3</v>
      </c>
      <c r="R84" s="87">
        <f>+Mensualizado!M43</f>
        <v>0</v>
      </c>
      <c r="S84" s="87">
        <f>+Mensualizado!N43</f>
        <v>20.7</v>
      </c>
      <c r="T84" s="87">
        <f>+Mensualizado!O43</f>
        <v>0</v>
      </c>
    </row>
    <row r="85" spans="1:20" s="79" customFormat="1">
      <c r="A85" s="123">
        <v>54107</v>
      </c>
      <c r="B85" s="124" t="s">
        <v>72</v>
      </c>
      <c r="C85" s="187">
        <f>615+445.04</f>
        <v>1060.04</v>
      </c>
      <c r="D85" s="46"/>
      <c r="E85" s="179">
        <f t="shared" si="14"/>
        <v>706</v>
      </c>
      <c r="F85" s="336"/>
      <c r="G85" s="336">
        <f t="shared" si="15"/>
        <v>706</v>
      </c>
      <c r="H85" s="109"/>
      <c r="I85" s="87">
        <f>+Mensualizado!D44</f>
        <v>37.950000000000003</v>
      </c>
      <c r="J85" s="87">
        <f>+Mensualizado!E44</f>
        <v>64.400000000000006</v>
      </c>
      <c r="K85" s="87">
        <f>+Mensualizado!F44</f>
        <v>28</v>
      </c>
      <c r="L85" s="87">
        <f>+Mensualizado!G44</f>
        <v>0</v>
      </c>
      <c r="M85" s="87">
        <f>+Mensualizado!H44</f>
        <v>52</v>
      </c>
      <c r="N85" s="87">
        <f>+Mensualizado!I44</f>
        <v>0</v>
      </c>
      <c r="O85" s="87">
        <f>+Mensualizado!J44</f>
        <v>34</v>
      </c>
      <c r="P85" s="87">
        <f>+Mensualizado!K44</f>
        <v>0</v>
      </c>
      <c r="Q85" s="87">
        <f>+Mensualizado!L44</f>
        <v>153.63</v>
      </c>
      <c r="R85" s="87">
        <f>+Mensualizado!M44</f>
        <v>37.020000000000003</v>
      </c>
      <c r="S85" s="87">
        <f>+Mensualizado!N44</f>
        <v>191.03</v>
      </c>
      <c r="T85" s="87">
        <f>+Mensualizado!O44</f>
        <v>107.97</v>
      </c>
    </row>
    <row r="86" spans="1:20">
      <c r="A86" s="121">
        <v>54108</v>
      </c>
      <c r="B86" s="122" t="s">
        <v>59</v>
      </c>
      <c r="C86" s="187">
        <f>120-45.63</f>
        <v>74.37</v>
      </c>
      <c r="D86" s="46"/>
      <c r="E86" s="179">
        <f t="shared" si="14"/>
        <v>52</v>
      </c>
      <c r="F86" s="336"/>
      <c r="G86" s="336">
        <f t="shared" si="15"/>
        <v>52</v>
      </c>
      <c r="H86" s="109"/>
      <c r="I86" s="87">
        <f>+Mensualizado!D45</f>
        <v>0</v>
      </c>
      <c r="J86" s="87">
        <f>+Mensualizado!E45</f>
        <v>12</v>
      </c>
      <c r="K86" s="87">
        <f>+Mensualizado!F45</f>
        <v>24</v>
      </c>
      <c r="L86" s="87">
        <f>+Mensualizado!G45</f>
        <v>0</v>
      </c>
      <c r="M86" s="87">
        <f>+Mensualizado!H45</f>
        <v>0</v>
      </c>
      <c r="N86" s="87">
        <f>+Mensualizado!I45</f>
        <v>0</v>
      </c>
      <c r="O86" s="87">
        <f>+Mensualizado!J45</f>
        <v>0</v>
      </c>
      <c r="P86" s="87">
        <f>+Mensualizado!K45</f>
        <v>16</v>
      </c>
      <c r="Q86" s="87">
        <f>+Mensualizado!L45</f>
        <v>0</v>
      </c>
      <c r="R86" s="87">
        <f>+Mensualizado!M45</f>
        <v>0</v>
      </c>
      <c r="S86" s="87">
        <f>+Mensualizado!N45</f>
        <v>0</v>
      </c>
      <c r="T86" s="87">
        <f>+Mensualizado!O45</f>
        <v>0</v>
      </c>
    </row>
    <row r="87" spans="1:20">
      <c r="A87" s="121">
        <v>54109</v>
      </c>
      <c r="B87" s="122" t="s">
        <v>60</v>
      </c>
      <c r="C87" s="187">
        <f>365+431.97</f>
        <v>796.97</v>
      </c>
      <c r="D87" s="46"/>
      <c r="E87" s="179">
        <f t="shared" si="14"/>
        <v>1094</v>
      </c>
      <c r="F87" s="336"/>
      <c r="G87" s="336">
        <f t="shared" si="15"/>
        <v>1094</v>
      </c>
      <c r="H87" s="109"/>
      <c r="I87" s="87">
        <f>+Mensualizado!D46</f>
        <v>0</v>
      </c>
      <c r="J87" s="87">
        <f>+Mensualizado!E46</f>
        <v>797</v>
      </c>
      <c r="K87" s="87">
        <f>+Mensualizado!F46</f>
        <v>0</v>
      </c>
      <c r="L87" s="87">
        <f>+Mensualizado!G46</f>
        <v>0</v>
      </c>
      <c r="M87" s="87">
        <f>+Mensualizado!H46</f>
        <v>0</v>
      </c>
      <c r="N87" s="87">
        <f>+Mensualizado!I46</f>
        <v>297</v>
      </c>
      <c r="O87" s="87">
        <f>+Mensualizado!J46</f>
        <v>0</v>
      </c>
      <c r="P87" s="87">
        <f>+Mensualizado!K46</f>
        <v>0</v>
      </c>
      <c r="Q87" s="87">
        <f>+Mensualizado!L46</f>
        <v>0</v>
      </c>
      <c r="R87" s="87">
        <f>+Mensualizado!M46</f>
        <v>0</v>
      </c>
      <c r="S87" s="87">
        <f>+Mensualizado!N46</f>
        <v>0</v>
      </c>
      <c r="T87" s="87">
        <f>+Mensualizado!O46</f>
        <v>0</v>
      </c>
    </row>
    <row r="88" spans="1:20">
      <c r="A88" s="121">
        <v>54110</v>
      </c>
      <c r="B88" s="122" t="s">
        <v>52</v>
      </c>
      <c r="C88" s="187">
        <f>6905+228.55</f>
        <v>7133.55</v>
      </c>
      <c r="D88" s="46"/>
      <c r="E88" s="179">
        <f t="shared" si="14"/>
        <v>6821</v>
      </c>
      <c r="F88" s="336"/>
      <c r="G88" s="336">
        <f t="shared" si="15"/>
        <v>6821</v>
      </c>
      <c r="H88" s="109"/>
      <c r="I88" s="87">
        <f>+Mensualizado!D47</f>
        <v>0</v>
      </c>
      <c r="J88" s="87">
        <f>+Mensualizado!E47</f>
        <v>0</v>
      </c>
      <c r="K88" s="87">
        <f>+Mensualizado!F47</f>
        <v>1714</v>
      </c>
      <c r="L88" s="87">
        <f>+Mensualizado!G47</f>
        <v>0</v>
      </c>
      <c r="M88" s="87">
        <f>+Mensualizado!H47</f>
        <v>1695</v>
      </c>
      <c r="N88" s="87">
        <f>+Mensualizado!I47</f>
        <v>0</v>
      </c>
      <c r="O88" s="87">
        <f>+Mensualizado!J47</f>
        <v>0</v>
      </c>
      <c r="P88" s="87">
        <f>+Mensualizado!K47</f>
        <v>1695</v>
      </c>
      <c r="Q88" s="87">
        <f>+Mensualizado!L47</f>
        <v>2.9</v>
      </c>
      <c r="R88" s="87">
        <f>+Mensualizado!M47</f>
        <v>0</v>
      </c>
      <c r="S88" s="87">
        <f>+Mensualizado!N47</f>
        <v>1714.1</v>
      </c>
      <c r="T88" s="87">
        <f>+Mensualizado!O47</f>
        <v>0</v>
      </c>
    </row>
    <row r="89" spans="1:20" s="79" customFormat="1">
      <c r="A89" s="81">
        <v>54111</v>
      </c>
      <c r="B89" s="80" t="s">
        <v>249</v>
      </c>
      <c r="C89" s="189"/>
      <c r="D89" s="46"/>
      <c r="E89" s="179">
        <f t="shared" si="14"/>
        <v>215</v>
      </c>
      <c r="F89" s="336"/>
      <c r="G89" s="336">
        <f t="shared" si="15"/>
        <v>215</v>
      </c>
      <c r="H89" s="110"/>
      <c r="I89" s="87">
        <f>+Mensualizado!D48</f>
        <v>0</v>
      </c>
      <c r="J89" s="87">
        <f>+Mensualizado!E48</f>
        <v>0</v>
      </c>
      <c r="K89" s="87">
        <f>+Mensualizado!F48</f>
        <v>0</v>
      </c>
      <c r="L89" s="87">
        <f>+Mensualizado!G48</f>
        <v>0</v>
      </c>
      <c r="M89" s="87">
        <f>+Mensualizado!H48</f>
        <v>0</v>
      </c>
      <c r="N89" s="87">
        <f>+Mensualizado!I48</f>
        <v>0</v>
      </c>
      <c r="O89" s="87">
        <f>+Mensualizado!J48</f>
        <v>0</v>
      </c>
      <c r="P89" s="87">
        <f>+Mensualizado!K48</f>
        <v>0</v>
      </c>
      <c r="Q89" s="87">
        <f>+Mensualizado!L48</f>
        <v>199</v>
      </c>
      <c r="R89" s="87">
        <f>+Mensualizado!M48</f>
        <v>0</v>
      </c>
      <c r="S89" s="87">
        <f>+Mensualizado!N48</f>
        <v>0</v>
      </c>
      <c r="T89" s="87">
        <f>+Mensualizado!O48</f>
        <v>16</v>
      </c>
    </row>
    <row r="90" spans="1:20" s="79" customFormat="1">
      <c r="A90" s="81">
        <v>54112</v>
      </c>
      <c r="B90" s="80" t="s">
        <v>71</v>
      </c>
      <c r="C90" s="189">
        <f>100+46.82</f>
        <v>146.82</v>
      </c>
      <c r="D90" s="46"/>
      <c r="E90" s="179">
        <f t="shared" si="14"/>
        <v>128</v>
      </c>
      <c r="F90" s="336"/>
      <c r="G90" s="336">
        <f t="shared" si="15"/>
        <v>128</v>
      </c>
      <c r="H90" s="110"/>
      <c r="I90" s="87">
        <f>+Mensualizado!D49</f>
        <v>0</v>
      </c>
      <c r="J90" s="87">
        <f>+Mensualizado!E49</f>
        <v>59</v>
      </c>
      <c r="K90" s="87">
        <f>+Mensualizado!F49</f>
        <v>7.8</v>
      </c>
      <c r="L90" s="87">
        <f>+Mensualizado!G49</f>
        <v>0</v>
      </c>
      <c r="M90" s="87">
        <f>+Mensualizado!H49</f>
        <v>0</v>
      </c>
      <c r="N90" s="87">
        <f>+Mensualizado!I49</f>
        <v>0</v>
      </c>
      <c r="O90" s="87">
        <f>+Mensualizado!J49</f>
        <v>54</v>
      </c>
      <c r="P90" s="87">
        <f>+Mensualizado!K49</f>
        <v>0</v>
      </c>
      <c r="Q90" s="87">
        <f>+Mensualizado!L49</f>
        <v>0</v>
      </c>
      <c r="R90" s="87">
        <f>+Mensualizado!M49</f>
        <v>3</v>
      </c>
      <c r="S90" s="87">
        <f>+Mensualizado!N49</f>
        <v>4.2</v>
      </c>
      <c r="T90" s="87">
        <f>+Mensualizado!O49</f>
        <v>0</v>
      </c>
    </row>
    <row r="91" spans="1:20" s="79" customFormat="1">
      <c r="A91" s="123">
        <v>54114</v>
      </c>
      <c r="B91" s="124" t="s">
        <v>201</v>
      </c>
      <c r="C91" s="187">
        <f>2500+151.36</f>
        <v>2651.36</v>
      </c>
      <c r="D91" s="46"/>
      <c r="E91" s="179">
        <f t="shared" si="14"/>
        <v>0</v>
      </c>
      <c r="F91" s="336"/>
      <c r="G91" s="336">
        <f t="shared" si="15"/>
        <v>0</v>
      </c>
      <c r="H91" s="110"/>
    </row>
    <row r="92" spans="1:20">
      <c r="A92" s="66">
        <v>54115</v>
      </c>
      <c r="B92" s="65" t="s">
        <v>191</v>
      </c>
      <c r="C92" s="190">
        <f>3435-587.34</f>
        <v>2847.66</v>
      </c>
      <c r="D92" s="46"/>
      <c r="E92" s="179">
        <f t="shared" si="14"/>
        <v>3978</v>
      </c>
      <c r="F92" s="336"/>
      <c r="G92" s="336">
        <f t="shared" si="15"/>
        <v>3978</v>
      </c>
      <c r="H92" s="109"/>
      <c r="I92" s="87">
        <f>+Mensualizado!D50</f>
        <v>0</v>
      </c>
      <c r="J92" s="87">
        <f>+Mensualizado!E50</f>
        <v>446.5</v>
      </c>
      <c r="K92" s="87">
        <f>+Mensualizado!F50</f>
        <v>147.5</v>
      </c>
      <c r="L92" s="87">
        <f>+Mensualizado!G50</f>
        <v>0</v>
      </c>
      <c r="M92" s="87">
        <f>+Mensualizado!H50</f>
        <v>54.5</v>
      </c>
      <c r="N92" s="87">
        <f>+Mensualizado!I50</f>
        <v>309.39</v>
      </c>
      <c r="O92" s="87">
        <f>+Mensualizado!J50</f>
        <v>44.74</v>
      </c>
      <c r="P92" s="87">
        <f>+Mensualizado!K50</f>
        <v>240.06</v>
      </c>
      <c r="Q92" s="87">
        <f>+Mensualizado!L50</f>
        <v>53.4</v>
      </c>
      <c r="R92" s="87">
        <f>+Mensualizado!M50</f>
        <v>217.7</v>
      </c>
      <c r="S92" s="87">
        <f>+Mensualizado!N50</f>
        <v>1124.47</v>
      </c>
      <c r="T92" s="87">
        <f>+Mensualizado!O50</f>
        <v>1339.74</v>
      </c>
    </row>
    <row r="93" spans="1:20" s="79" customFormat="1">
      <c r="A93" s="81">
        <v>54118</v>
      </c>
      <c r="B93" s="80" t="s">
        <v>70</v>
      </c>
      <c r="C93" s="189">
        <f>200+322</f>
        <v>522</v>
      </c>
      <c r="D93" s="46"/>
      <c r="E93" s="179">
        <f t="shared" si="14"/>
        <v>727</v>
      </c>
      <c r="F93" s="336"/>
      <c r="G93" s="336">
        <f t="shared" si="15"/>
        <v>727</v>
      </c>
      <c r="H93" s="110"/>
      <c r="I93" s="87">
        <f>+Mensualizado!D51</f>
        <v>0</v>
      </c>
      <c r="J93" s="87">
        <f>+Mensualizado!E51</f>
        <v>0</v>
      </c>
      <c r="K93" s="87">
        <f>+Mensualizado!F51</f>
        <v>522</v>
      </c>
      <c r="L93" s="87">
        <f>+Mensualizado!G51</f>
        <v>0</v>
      </c>
      <c r="M93" s="87">
        <f>+Mensualizado!H51</f>
        <v>0</v>
      </c>
      <c r="N93" s="87">
        <f>+Mensualizado!I51</f>
        <v>0</v>
      </c>
      <c r="O93" s="87">
        <f>+Mensualizado!J51</f>
        <v>31</v>
      </c>
      <c r="P93" s="87">
        <f>+Mensualizado!K51</f>
        <v>166</v>
      </c>
      <c r="Q93" s="87">
        <f>+Mensualizado!L51</f>
        <v>0</v>
      </c>
      <c r="R93" s="87">
        <f>+Mensualizado!M51</f>
        <v>0</v>
      </c>
      <c r="S93" s="87">
        <f>+Mensualizado!N51</f>
        <v>0</v>
      </c>
      <c r="T93" s="87">
        <f>+Mensualizado!O51</f>
        <v>8</v>
      </c>
    </row>
    <row r="94" spans="1:20">
      <c r="A94" s="66">
        <v>54119</v>
      </c>
      <c r="B94" s="65" t="s">
        <v>48</v>
      </c>
      <c r="C94" s="189">
        <f>235+126.26</f>
        <v>361.26</v>
      </c>
      <c r="D94" s="46"/>
      <c r="E94" s="179">
        <f t="shared" si="14"/>
        <v>300</v>
      </c>
      <c r="F94" s="336" t="e">
        <f>+#REF!</f>
        <v>#REF!</v>
      </c>
      <c r="G94" s="336" t="e">
        <f t="shared" si="15"/>
        <v>#REF!</v>
      </c>
      <c r="H94" s="109"/>
      <c r="I94" s="87">
        <f>+Mensualizado!D52</f>
        <v>93</v>
      </c>
      <c r="J94" s="87">
        <f>+Mensualizado!E52</f>
        <v>30</v>
      </c>
      <c r="K94" s="87">
        <f>+Mensualizado!F52</f>
        <v>9.6</v>
      </c>
      <c r="L94" s="87">
        <f>+Mensualizado!G52</f>
        <v>0</v>
      </c>
      <c r="M94" s="87">
        <f>+Mensualizado!H52</f>
        <v>26</v>
      </c>
      <c r="N94" s="87">
        <f>+Mensualizado!I52</f>
        <v>126</v>
      </c>
      <c r="O94" s="87">
        <f>+Mensualizado!J52</f>
        <v>11</v>
      </c>
      <c r="P94" s="87">
        <f>+Mensualizado!K52</f>
        <v>4.4000000000000004</v>
      </c>
      <c r="Q94" s="87">
        <f>+Mensualizado!L52</f>
        <v>0</v>
      </c>
      <c r="R94" s="87">
        <f>+Mensualizado!M52</f>
        <v>0</v>
      </c>
      <c r="S94" s="87">
        <f>+Mensualizado!N52</f>
        <v>0</v>
      </c>
      <c r="T94" s="87">
        <f>+Mensualizado!O52</f>
        <v>0</v>
      </c>
    </row>
    <row r="95" spans="1:20" s="82" customFormat="1">
      <c r="A95" s="118">
        <v>54199</v>
      </c>
      <c r="B95" s="119" t="s">
        <v>188</v>
      </c>
      <c r="C95" s="191">
        <f>64370-29508.83</f>
        <v>34861.17</v>
      </c>
      <c r="D95" s="120"/>
      <c r="E95" s="179">
        <f t="shared" si="14"/>
        <v>3459</v>
      </c>
      <c r="F95" s="336"/>
      <c r="G95" s="336">
        <f t="shared" si="15"/>
        <v>3459</v>
      </c>
      <c r="H95" s="111"/>
      <c r="I95" s="87">
        <f>+Mensualizado!D53</f>
        <v>0</v>
      </c>
      <c r="J95" s="87">
        <f>+Mensualizado!E53</f>
        <v>963.5</v>
      </c>
      <c r="K95" s="87">
        <f>+Mensualizado!F53</f>
        <v>113</v>
      </c>
      <c r="L95" s="87">
        <f>+Mensualizado!G53</f>
        <v>16</v>
      </c>
      <c r="M95" s="87">
        <f>+Mensualizado!H53</f>
        <v>113.5</v>
      </c>
      <c r="N95" s="87">
        <f>+Mensualizado!I53</f>
        <v>18.5</v>
      </c>
      <c r="O95" s="87">
        <f>+Mensualizado!J53</f>
        <v>42.5</v>
      </c>
      <c r="P95" s="87">
        <f>+Mensualizado!K53</f>
        <v>85</v>
      </c>
      <c r="Q95" s="87">
        <f>+Mensualizado!L53</f>
        <v>169</v>
      </c>
      <c r="R95" s="87">
        <f>+Mensualizado!M53</f>
        <v>516</v>
      </c>
      <c r="S95" s="87">
        <f>+Mensualizado!N53</f>
        <v>91</v>
      </c>
      <c r="T95" s="87">
        <f>+Mensualizado!O53</f>
        <v>1331</v>
      </c>
    </row>
    <row r="96" spans="1:20">
      <c r="A96" s="121">
        <v>54204</v>
      </c>
      <c r="B96" s="122" t="s">
        <v>189</v>
      </c>
      <c r="C96" s="187">
        <f>320+131.36</f>
        <v>451.36</v>
      </c>
      <c r="D96" s="46"/>
      <c r="E96" s="179">
        <f t="shared" si="14"/>
        <v>571</v>
      </c>
      <c r="F96" s="336"/>
      <c r="G96" s="336">
        <f t="shared" si="15"/>
        <v>571</v>
      </c>
      <c r="H96" s="109"/>
      <c r="I96" s="87">
        <f>+Mensualizado!D55</f>
        <v>0</v>
      </c>
      <c r="J96" s="87">
        <f>+Mensualizado!E55</f>
        <v>219</v>
      </c>
      <c r="K96" s="87">
        <f>+Mensualizado!F55</f>
        <v>129</v>
      </c>
      <c r="L96" s="87">
        <f>+Mensualizado!G55</f>
        <v>0</v>
      </c>
      <c r="M96" s="87">
        <f>+Mensualizado!H55</f>
        <v>0</v>
      </c>
      <c r="N96" s="87">
        <f>+Mensualizado!I55</f>
        <v>0</v>
      </c>
      <c r="O96" s="87">
        <f>+Mensualizado!J55</f>
        <v>63</v>
      </c>
      <c r="P96" s="87">
        <f>+Mensualizado!K55</f>
        <v>155</v>
      </c>
      <c r="Q96" s="87">
        <f>+Mensualizado!L55</f>
        <v>0</v>
      </c>
      <c r="R96" s="87">
        <f>+Mensualizado!M55</f>
        <v>0</v>
      </c>
      <c r="S96" s="87">
        <f>+Mensualizado!N55</f>
        <v>5</v>
      </c>
      <c r="T96" s="87">
        <f>+Mensualizado!O55</f>
        <v>0</v>
      </c>
    </row>
    <row r="97" spans="1:20">
      <c r="A97" s="66">
        <v>54301</v>
      </c>
      <c r="B97" s="65" t="s">
        <v>50</v>
      </c>
      <c r="C97" s="189">
        <f>1920+255.92</f>
        <v>2175.92</v>
      </c>
      <c r="D97" s="46"/>
      <c r="E97" s="179">
        <f t="shared" si="14"/>
        <v>859</v>
      </c>
      <c r="F97" s="336"/>
      <c r="G97" s="336">
        <f t="shared" si="15"/>
        <v>859</v>
      </c>
      <c r="H97" s="109"/>
      <c r="I97" s="87">
        <f>+Mensualizado!D57</f>
        <v>0</v>
      </c>
      <c r="J97" s="87">
        <f>+Mensualizado!E57</f>
        <v>0</v>
      </c>
      <c r="K97" s="87">
        <f>+Mensualizado!F57</f>
        <v>256</v>
      </c>
      <c r="L97" s="87">
        <f>+Mensualizado!G57</f>
        <v>500</v>
      </c>
      <c r="M97" s="87">
        <f>+Mensualizado!H57</f>
        <v>103</v>
      </c>
      <c r="N97" s="87">
        <f>+Mensualizado!I57</f>
        <v>0</v>
      </c>
      <c r="O97" s="87">
        <f>+Mensualizado!J57</f>
        <v>0</v>
      </c>
      <c r="P97" s="87">
        <f>+Mensualizado!K57</f>
        <v>0</v>
      </c>
      <c r="Q97" s="87">
        <f>+Mensualizado!L57</f>
        <v>0</v>
      </c>
      <c r="R97" s="87">
        <f>+Mensualizado!M57</f>
        <v>0</v>
      </c>
      <c r="S97" s="87">
        <f>+Mensualizado!N57</f>
        <v>0</v>
      </c>
      <c r="T97" s="87">
        <f>+Mensualizado!O57</f>
        <v>0</v>
      </c>
    </row>
    <row r="98" spans="1:20">
      <c r="A98" s="121">
        <v>54302</v>
      </c>
      <c r="B98" s="122" t="s">
        <v>51</v>
      </c>
      <c r="C98" s="187">
        <f>3800+596.04</f>
        <v>4396.04</v>
      </c>
      <c r="D98" s="46"/>
      <c r="E98" s="179">
        <f t="shared" si="14"/>
        <v>4004</v>
      </c>
      <c r="F98" s="336"/>
      <c r="G98" s="336">
        <f t="shared" si="15"/>
        <v>4004</v>
      </c>
      <c r="H98" s="109"/>
      <c r="I98" s="87">
        <f>+Mensualizado!D58</f>
        <v>687.25</v>
      </c>
      <c r="J98" s="87">
        <f>+Mensualizado!E58</f>
        <v>367.8</v>
      </c>
      <c r="K98" s="87">
        <f>+Mensualizado!F58</f>
        <v>1218.23</v>
      </c>
      <c r="L98" s="87">
        <f>+Mensualizado!G58</f>
        <v>481.38</v>
      </c>
      <c r="M98" s="87">
        <f>+Mensualizado!H58</f>
        <v>246.34</v>
      </c>
      <c r="N98" s="87">
        <f>+Mensualizado!I58</f>
        <v>652</v>
      </c>
      <c r="O98" s="87">
        <f>+Mensualizado!J58</f>
        <v>0</v>
      </c>
      <c r="P98" s="87">
        <f>+Mensualizado!K58</f>
        <v>80</v>
      </c>
      <c r="Q98" s="87">
        <f>+Mensualizado!L58</f>
        <v>0</v>
      </c>
      <c r="R98" s="87">
        <f>+Mensualizado!M58</f>
        <v>241</v>
      </c>
      <c r="S98" s="87">
        <f>+Mensualizado!N58</f>
        <v>0</v>
      </c>
      <c r="T98" s="87">
        <f>+Mensualizado!O58</f>
        <v>30</v>
      </c>
    </row>
    <row r="99" spans="1:20">
      <c r="A99" s="66">
        <v>54303</v>
      </c>
      <c r="B99" s="104" t="s">
        <v>192</v>
      </c>
      <c r="C99" s="189">
        <v>0</v>
      </c>
      <c r="D99" s="46"/>
      <c r="E99" s="179">
        <f t="shared" si="14"/>
        <v>0</v>
      </c>
      <c r="F99" s="336"/>
      <c r="G99" s="336">
        <f t="shared" si="15"/>
        <v>0</v>
      </c>
      <c r="H99" s="109"/>
      <c r="I99" s="87">
        <f>+Mensualizado!D59</f>
        <v>0</v>
      </c>
      <c r="J99" s="87">
        <f>+Mensualizado!E59</f>
        <v>0</v>
      </c>
      <c r="K99" s="87">
        <f>+Mensualizado!F59</f>
        <v>0</v>
      </c>
      <c r="L99" s="87">
        <f>+Mensualizado!G59</f>
        <v>0</v>
      </c>
      <c r="M99" s="87">
        <f>+Mensualizado!H59</f>
        <v>0</v>
      </c>
      <c r="N99" s="87">
        <f>+Mensualizado!I59</f>
        <v>0</v>
      </c>
      <c r="O99" s="87">
        <f>+Mensualizado!J59</f>
        <v>0</v>
      </c>
      <c r="P99" s="87">
        <f>+Mensualizado!K59</f>
        <v>0</v>
      </c>
      <c r="Q99" s="87">
        <f>+Mensualizado!L59</f>
        <v>0</v>
      </c>
      <c r="R99" s="87">
        <f>+Mensualizado!M59</f>
        <v>0</v>
      </c>
      <c r="S99" s="87">
        <f>+Mensualizado!N59</f>
        <v>0</v>
      </c>
      <c r="T99" s="87">
        <f>+Mensualizado!O59</f>
        <v>0</v>
      </c>
    </row>
    <row r="100" spans="1:20">
      <c r="A100" s="121">
        <v>54304</v>
      </c>
      <c r="B100" s="122" t="s">
        <v>250</v>
      </c>
      <c r="C100" s="187">
        <v>90.4</v>
      </c>
      <c r="D100" s="46"/>
      <c r="E100" s="179">
        <f t="shared" si="14"/>
        <v>45</v>
      </c>
      <c r="F100" s="336" t="e">
        <f>+#REF!</f>
        <v>#REF!</v>
      </c>
      <c r="G100" s="336" t="e">
        <f t="shared" si="15"/>
        <v>#REF!</v>
      </c>
      <c r="H100" s="109"/>
      <c r="I100" s="87">
        <f>+Mensualizado!D60</f>
        <v>0</v>
      </c>
      <c r="J100" s="87">
        <f>+Mensualizado!E60</f>
        <v>0</v>
      </c>
      <c r="K100" s="87">
        <f>+Mensualizado!F60</f>
        <v>45</v>
      </c>
      <c r="L100" s="87">
        <f>+Mensualizado!G60</f>
        <v>0</v>
      </c>
      <c r="M100" s="87">
        <f>+Mensualizado!H60</f>
        <v>0</v>
      </c>
      <c r="N100" s="87">
        <f>+Mensualizado!I60</f>
        <v>0</v>
      </c>
      <c r="O100" s="87">
        <f>+Mensualizado!J60</f>
        <v>0</v>
      </c>
      <c r="P100" s="87">
        <f>+Mensualizado!K60</f>
        <v>0</v>
      </c>
      <c r="Q100" s="87">
        <f>+Mensualizado!L60</f>
        <v>0</v>
      </c>
      <c r="R100" s="87">
        <f>+Mensualizado!M60</f>
        <v>0</v>
      </c>
      <c r="S100" s="87">
        <f>+Mensualizado!N60</f>
        <v>0</v>
      </c>
      <c r="T100" s="87">
        <f>+Mensualizado!O60</f>
        <v>0</v>
      </c>
    </row>
    <row r="101" spans="1:20">
      <c r="A101" s="121">
        <v>54307</v>
      </c>
      <c r="B101" s="125" t="s">
        <v>202</v>
      </c>
      <c r="C101" s="187"/>
      <c r="D101" s="46"/>
      <c r="E101" s="179">
        <f t="shared" si="14"/>
        <v>0</v>
      </c>
      <c r="F101" s="336"/>
      <c r="G101" s="336">
        <f t="shared" si="15"/>
        <v>0</v>
      </c>
      <c r="H101" s="109"/>
    </row>
    <row r="102" spans="1:20">
      <c r="A102" s="121">
        <v>54314</v>
      </c>
      <c r="B102" s="125" t="s">
        <v>89</v>
      </c>
      <c r="C102" s="187">
        <f>3600+1127.3</f>
        <v>4727.3</v>
      </c>
      <c r="D102" s="46"/>
      <c r="E102" s="179">
        <f t="shared" si="14"/>
        <v>0</v>
      </c>
      <c r="F102" s="336"/>
      <c r="G102" s="336">
        <f t="shared" si="15"/>
        <v>0</v>
      </c>
      <c r="H102" s="109"/>
    </row>
    <row r="103" spans="1:20">
      <c r="A103" s="121">
        <v>54316</v>
      </c>
      <c r="B103" s="80" t="s">
        <v>179</v>
      </c>
      <c r="C103" s="187">
        <v>135.6</v>
      </c>
      <c r="D103" s="46"/>
      <c r="E103" s="179">
        <f t="shared" si="14"/>
        <v>4702</v>
      </c>
      <c r="F103" s="336"/>
      <c r="G103" s="336">
        <f t="shared" si="15"/>
        <v>4702</v>
      </c>
      <c r="H103" s="109"/>
      <c r="I103" s="87">
        <f>+Mensualizado!D61</f>
        <v>0</v>
      </c>
      <c r="J103" s="87">
        <f>+Mensualizado!E61</f>
        <v>135.6</v>
      </c>
      <c r="K103" s="87">
        <f>+Mensualizado!F61</f>
        <v>0</v>
      </c>
      <c r="L103" s="87">
        <f>+Mensualizado!G61</f>
        <v>0</v>
      </c>
      <c r="M103" s="87">
        <f>+Mensualizado!H61</f>
        <v>0</v>
      </c>
      <c r="N103" s="87">
        <f>+Mensualizado!I61</f>
        <v>0</v>
      </c>
      <c r="O103" s="87">
        <f>+Mensualizado!J61</f>
        <v>0</v>
      </c>
      <c r="P103" s="87">
        <f>+Mensualizado!K61</f>
        <v>4248</v>
      </c>
      <c r="Q103" s="87">
        <f>+Mensualizado!L61</f>
        <v>0</v>
      </c>
      <c r="R103" s="87">
        <f>+Mensualizado!M61</f>
        <v>0</v>
      </c>
      <c r="S103" s="87">
        <f>+Mensualizado!N61</f>
        <v>318.39999999999998</v>
      </c>
      <c r="T103" s="87">
        <f>+Mensualizado!O61</f>
        <v>0</v>
      </c>
    </row>
    <row r="104" spans="1:20" s="79" customFormat="1">
      <c r="A104" s="123">
        <v>54399</v>
      </c>
      <c r="B104" s="124" t="s">
        <v>172</v>
      </c>
      <c r="C104" s="187">
        <f>11380+12133.64+10976.56</f>
        <v>34490.199999999997</v>
      </c>
      <c r="D104" s="46"/>
      <c r="E104" s="179">
        <f t="shared" si="14"/>
        <v>42491</v>
      </c>
      <c r="F104" s="336" t="e">
        <f>+#REF!</f>
        <v>#REF!</v>
      </c>
      <c r="G104" s="336" t="e">
        <f t="shared" si="15"/>
        <v>#REF!</v>
      </c>
      <c r="H104" s="109"/>
      <c r="I104" s="87">
        <f>SUM(Mensualizado!D62:D64)</f>
        <v>3436.48</v>
      </c>
      <c r="J104" s="87">
        <f>SUM(Mensualizado!E62:E64)</f>
        <v>9738.2999999999993</v>
      </c>
      <c r="K104" s="87">
        <f>SUM(Mensualizado!F62:F64)</f>
        <v>5118</v>
      </c>
      <c r="L104" s="87">
        <f>SUM(Mensualizado!G62:G64)</f>
        <v>250</v>
      </c>
      <c r="M104" s="87">
        <f>SUM(Mensualizado!H62:H64)</f>
        <v>301.49</v>
      </c>
      <c r="N104" s="87">
        <f>SUM(Mensualizado!I62:I64)</f>
        <v>1901</v>
      </c>
      <c r="O104" s="87">
        <f>SUM(Mensualizado!J62:J64)</f>
        <v>150</v>
      </c>
      <c r="P104" s="87">
        <f>SUM(Mensualizado!K62:K64)</f>
        <v>8194.5499999999993</v>
      </c>
      <c r="Q104" s="87">
        <f>SUM(Mensualizado!L62:L64)</f>
        <v>5901</v>
      </c>
      <c r="R104" s="87">
        <f>SUM(Mensualizado!M62:M64)</f>
        <v>96.05</v>
      </c>
      <c r="S104" s="87">
        <f>SUM(Mensualizado!N62:N64)</f>
        <v>4048.22</v>
      </c>
      <c r="T104" s="87">
        <f>SUM(Mensualizado!O62:O64)</f>
        <v>3355.91</v>
      </c>
    </row>
    <row r="105" spans="1:20" s="79" customFormat="1">
      <c r="A105" s="123"/>
      <c r="B105" s="124"/>
      <c r="C105" s="187"/>
      <c r="D105" s="46"/>
      <c r="E105" s="179">
        <f t="shared" si="14"/>
        <v>0</v>
      </c>
      <c r="F105" s="336"/>
      <c r="G105" s="336">
        <f t="shared" si="15"/>
        <v>0</v>
      </c>
      <c r="H105" s="109"/>
      <c r="I105" s="87">
        <f>+Mensualizado!D65</f>
        <v>0</v>
      </c>
      <c r="J105" s="87">
        <f>+Mensualizado!E65</f>
        <v>0</v>
      </c>
      <c r="K105" s="87">
        <f>+Mensualizado!F65</f>
        <v>0</v>
      </c>
      <c r="L105" s="87">
        <f>+Mensualizado!G65</f>
        <v>0</v>
      </c>
      <c r="M105" s="87">
        <f>+Mensualizado!H65</f>
        <v>0</v>
      </c>
      <c r="N105" s="87">
        <f>+Mensualizado!I65</f>
        <v>0</v>
      </c>
      <c r="O105" s="87">
        <f>+Mensualizado!J65</f>
        <v>0</v>
      </c>
      <c r="P105" s="87">
        <f>+Mensualizado!K65</f>
        <v>0</v>
      </c>
      <c r="Q105" s="87">
        <f>+Mensualizado!L65</f>
        <v>0</v>
      </c>
      <c r="R105" s="87">
        <f>+Mensualizado!M65</f>
        <v>0</v>
      </c>
      <c r="S105" s="87">
        <f>+Mensualizado!N65</f>
        <v>0</v>
      </c>
      <c r="T105" s="87">
        <f>+Mensualizado!O65</f>
        <v>0</v>
      </c>
    </row>
    <row r="106" spans="1:20">
      <c r="A106" s="66">
        <v>54403</v>
      </c>
      <c r="B106" s="65" t="s">
        <v>90</v>
      </c>
      <c r="C106" s="189">
        <f>745-124.02</f>
        <v>620.98</v>
      </c>
      <c r="D106" s="46"/>
      <c r="E106" s="179">
        <f t="shared" si="14"/>
        <v>96</v>
      </c>
      <c r="F106" s="336"/>
      <c r="G106" s="336">
        <f t="shared" si="15"/>
        <v>96</v>
      </c>
      <c r="H106"/>
      <c r="I106" s="87">
        <f>+Mensualizado!D66</f>
        <v>0</v>
      </c>
      <c r="J106" s="87">
        <f>+Mensualizado!E66</f>
        <v>55</v>
      </c>
      <c r="K106" s="87">
        <f>+Mensualizado!F66</f>
        <v>21</v>
      </c>
      <c r="L106" s="87">
        <f>+Mensualizado!G66</f>
        <v>0</v>
      </c>
      <c r="M106" s="87">
        <f>+Mensualizado!H66</f>
        <v>7</v>
      </c>
      <c r="N106" s="87">
        <f>+Mensualizado!I66</f>
        <v>5</v>
      </c>
      <c r="O106" s="87">
        <f>+Mensualizado!J66</f>
        <v>0</v>
      </c>
      <c r="P106" s="87">
        <f>+Mensualizado!K66</f>
        <v>0</v>
      </c>
      <c r="Q106" s="87">
        <f>+Mensualizado!L66</f>
        <v>0</v>
      </c>
      <c r="R106" s="87">
        <f>+Mensualizado!M66</f>
        <v>5</v>
      </c>
      <c r="S106" s="87">
        <f>+Mensualizado!N66</f>
        <v>3</v>
      </c>
      <c r="T106" s="87">
        <f>+Mensualizado!O66</f>
        <v>0</v>
      </c>
    </row>
    <row r="107" spans="1:20">
      <c r="A107" s="66">
        <v>54504</v>
      </c>
      <c r="B107" s="65" t="s">
        <v>57</v>
      </c>
      <c r="C107" s="189">
        <f>5000-1055</f>
        <v>3945</v>
      </c>
      <c r="D107" s="46"/>
      <c r="E107" s="179">
        <f t="shared" si="14"/>
        <v>2600</v>
      </c>
      <c r="F107" s="336"/>
      <c r="G107" s="336">
        <f t="shared" si="15"/>
        <v>2600</v>
      </c>
      <c r="I107" s="87">
        <f>+Mensualizado!D68</f>
        <v>0</v>
      </c>
      <c r="J107" s="87">
        <f>+Mensualizado!E68</f>
        <v>0</v>
      </c>
      <c r="K107" s="87">
        <f>+Mensualizado!F68</f>
        <v>0</v>
      </c>
      <c r="L107" s="87">
        <f>+Mensualizado!G68</f>
        <v>0</v>
      </c>
      <c r="M107" s="87">
        <f>+Mensualizado!H68</f>
        <v>0</v>
      </c>
      <c r="N107" s="87">
        <f>+Mensualizado!I68</f>
        <v>0</v>
      </c>
      <c r="O107" s="87">
        <f>+Mensualizado!J68</f>
        <v>0</v>
      </c>
      <c r="P107" s="87">
        <f>+Mensualizado!K68</f>
        <v>0</v>
      </c>
      <c r="Q107" s="87">
        <f>+Mensualizado!L68</f>
        <v>0</v>
      </c>
      <c r="R107" s="87">
        <f>+Mensualizado!M68</f>
        <v>0</v>
      </c>
      <c r="S107" s="87">
        <f>+Mensualizado!N68</f>
        <v>2600</v>
      </c>
      <c r="T107" s="87">
        <f>+Mensualizado!O68</f>
        <v>0</v>
      </c>
    </row>
    <row r="108" spans="1:20">
      <c r="A108" s="126">
        <v>54505</v>
      </c>
      <c r="B108" s="127" t="s">
        <v>190</v>
      </c>
      <c r="C108" s="187">
        <f>2300-600</f>
        <v>1700</v>
      </c>
      <c r="D108" s="46"/>
      <c r="E108" s="179">
        <f t="shared" si="14"/>
        <v>2821</v>
      </c>
      <c r="F108" s="336"/>
      <c r="G108" s="336">
        <f t="shared" si="15"/>
        <v>2821</v>
      </c>
      <c r="I108" s="87">
        <f>+Mensualizado!D69</f>
        <v>0</v>
      </c>
      <c r="J108" s="87">
        <f>+Mensualizado!E69</f>
        <v>472</v>
      </c>
      <c r="K108" s="87">
        <f>+Mensualizado!F69</f>
        <v>102</v>
      </c>
      <c r="L108" s="87">
        <f>+Mensualizado!G69</f>
        <v>0</v>
      </c>
      <c r="M108" s="87">
        <f>+Mensualizado!H69</f>
        <v>135</v>
      </c>
      <c r="N108" s="87">
        <f>+Mensualizado!I69</f>
        <v>0</v>
      </c>
      <c r="O108" s="87">
        <f>+Mensualizado!J69</f>
        <v>0</v>
      </c>
      <c r="P108" s="87">
        <f>+Mensualizado!K69</f>
        <v>0</v>
      </c>
      <c r="Q108" s="87">
        <f>+Mensualizado!L69</f>
        <v>0</v>
      </c>
      <c r="R108" s="87">
        <f>+Mensualizado!M69</f>
        <v>2112</v>
      </c>
      <c r="S108" s="87">
        <f>+Mensualizado!N69</f>
        <v>0</v>
      </c>
      <c r="T108" s="87">
        <f>+Mensualizado!O69</f>
        <v>0</v>
      </c>
    </row>
    <row r="109" spans="1:20" ht="13.5" thickBot="1">
      <c r="A109" s="126"/>
      <c r="B109" s="319"/>
      <c r="C109" s="320"/>
      <c r="D109" s="52"/>
      <c r="E109" s="187"/>
      <c r="F109" s="340"/>
      <c r="G109" s="337">
        <f t="shared" si="15"/>
        <v>0</v>
      </c>
      <c r="I109" s="87">
        <f>+Mensualizado!D70</f>
        <v>0</v>
      </c>
      <c r="J109" s="87">
        <f>+Mensualizado!E70</f>
        <v>0</v>
      </c>
      <c r="K109" s="87">
        <f>+Mensualizado!F70</f>
        <v>0</v>
      </c>
      <c r="L109" s="87">
        <f>+Mensualizado!G70</f>
        <v>0</v>
      </c>
      <c r="M109" s="87">
        <f>+Mensualizado!H70</f>
        <v>0</v>
      </c>
      <c r="N109" s="87">
        <f>+Mensualizado!I70</f>
        <v>0</v>
      </c>
      <c r="O109" s="87">
        <f>+Mensualizado!J70</f>
        <v>0</v>
      </c>
      <c r="P109" s="87">
        <f>+Mensualizado!K70</f>
        <v>0</v>
      </c>
      <c r="Q109" s="87">
        <f>+Mensualizado!L70</f>
        <v>0</v>
      </c>
      <c r="R109" s="87">
        <f>+Mensualizado!M70</f>
        <v>0</v>
      </c>
      <c r="S109" s="87">
        <f>+Mensualizado!N70</f>
        <v>0</v>
      </c>
      <c r="T109" s="87">
        <f>+Mensualizado!O70</f>
        <v>0</v>
      </c>
    </row>
    <row r="110" spans="1:20" ht="13.5" thickBot="1">
      <c r="A110" s="126"/>
      <c r="B110" s="129" t="s">
        <v>204</v>
      </c>
      <c r="C110" s="149">
        <f>SUM(C80:C108)</f>
        <v>114588.96999999999</v>
      </c>
      <c r="D110" s="136"/>
      <c r="E110" s="192">
        <f>SUM(E80:E109)</f>
        <v>78818</v>
      </c>
      <c r="F110" s="192" t="e">
        <f>SUM(F80:F109)</f>
        <v>#REF!</v>
      </c>
      <c r="G110" s="192" t="e">
        <f>SUM(G80:G109)</f>
        <v>#REF!</v>
      </c>
      <c r="I110" s="317">
        <f>SUM(I80:I109)</f>
        <v>4254.68</v>
      </c>
      <c r="J110" s="317">
        <f t="shared" ref="J110:T110" si="16">SUM(J80:J109)</f>
        <v>14063.4</v>
      </c>
      <c r="K110" s="317">
        <f t="shared" si="16"/>
        <v>9540.630000000001</v>
      </c>
      <c r="L110" s="317">
        <f t="shared" si="16"/>
        <v>1417.6799999999998</v>
      </c>
      <c r="M110" s="317">
        <f t="shared" si="16"/>
        <v>2897.08</v>
      </c>
      <c r="N110" s="317">
        <f t="shared" si="16"/>
        <v>3792.04</v>
      </c>
      <c r="O110" s="317">
        <f t="shared" si="16"/>
        <v>532.89</v>
      </c>
      <c r="P110" s="317">
        <f t="shared" si="16"/>
        <v>15004.009999999998</v>
      </c>
      <c r="Q110" s="317">
        <f t="shared" si="16"/>
        <v>7282.23</v>
      </c>
      <c r="R110" s="317">
        <f t="shared" si="16"/>
        <v>3251.8999999999996</v>
      </c>
      <c r="S110" s="317">
        <f t="shared" si="16"/>
        <v>10377.290000000001</v>
      </c>
      <c r="T110" s="317">
        <f t="shared" si="16"/>
        <v>6404.17</v>
      </c>
    </row>
    <row r="111" spans="1:20">
      <c r="A111" s="67"/>
      <c r="B111" s="103" t="s">
        <v>88</v>
      </c>
      <c r="C111" s="165"/>
      <c r="D111" s="46"/>
      <c r="E111" s="193"/>
      <c r="F111" s="341"/>
      <c r="G111" s="341"/>
    </row>
    <row r="112" spans="1:20">
      <c r="A112" s="66">
        <v>54101</v>
      </c>
      <c r="B112" s="122" t="s">
        <v>253</v>
      </c>
      <c r="C112" s="155"/>
      <c r="D112" s="46"/>
      <c r="E112" s="179">
        <f t="shared" ref="E112:E121" si="17">SUM(I112:T112)</f>
        <v>1256</v>
      </c>
      <c r="F112" s="336"/>
      <c r="G112" s="336">
        <f t="shared" ref="G112:G121" si="18">SUM(E112:F112)</f>
        <v>1256</v>
      </c>
      <c r="I112" s="87">
        <f>+Mensualizado!D73</f>
        <v>140.6</v>
      </c>
      <c r="J112" s="87">
        <f>+Mensualizado!E73</f>
        <v>102.6</v>
      </c>
      <c r="K112" s="87">
        <f>+Mensualizado!F73</f>
        <v>72</v>
      </c>
      <c r="L112" s="87">
        <f>+Mensualizado!G73</f>
        <v>130.4</v>
      </c>
      <c r="M112" s="87">
        <f>+Mensualizado!H73</f>
        <v>75</v>
      </c>
      <c r="N112" s="87">
        <f>+Mensualizado!I73</f>
        <v>75</v>
      </c>
      <c r="O112" s="87">
        <f>+Mensualizado!J73</f>
        <v>113</v>
      </c>
      <c r="P112" s="87">
        <f>+Mensualizado!K73</f>
        <v>108</v>
      </c>
      <c r="Q112" s="87">
        <f>+Mensualizado!L73</f>
        <v>95.5</v>
      </c>
      <c r="R112" s="87">
        <f>+Mensualizado!M73</f>
        <v>87.4</v>
      </c>
      <c r="S112" s="87">
        <f>+Mensualizado!N73</f>
        <v>114</v>
      </c>
      <c r="T112" s="87">
        <f>+Mensualizado!O73</f>
        <v>142.5</v>
      </c>
    </row>
    <row r="113" spans="1:20" s="79" customFormat="1">
      <c r="A113" s="81">
        <v>54103</v>
      </c>
      <c r="B113" s="61" t="s">
        <v>74</v>
      </c>
      <c r="C113" s="166">
        <f>900-356.58</f>
        <v>543.42000000000007</v>
      </c>
      <c r="D113" s="46"/>
      <c r="E113" s="179">
        <f t="shared" si="17"/>
        <v>151</v>
      </c>
      <c r="F113" s="336" t="e">
        <f>+#REF!</f>
        <v>#REF!</v>
      </c>
      <c r="G113" s="336" t="e">
        <f t="shared" si="18"/>
        <v>#REF!</v>
      </c>
      <c r="H113"/>
      <c r="I113" s="87">
        <f>+Mensualizado!D74</f>
        <v>12.5</v>
      </c>
      <c r="J113" s="87">
        <f>+Mensualizado!E74</f>
        <v>17.5</v>
      </c>
      <c r="K113" s="87">
        <f>+Mensualizado!F74</f>
        <v>10</v>
      </c>
      <c r="L113" s="87">
        <f>+Mensualizado!G74</f>
        <v>18.5</v>
      </c>
      <c r="M113" s="87">
        <f>+Mensualizado!H74</f>
        <v>12</v>
      </c>
      <c r="N113" s="87">
        <f>+Mensualizado!I74</f>
        <v>8.5</v>
      </c>
      <c r="O113" s="87">
        <f>+Mensualizado!J74</f>
        <v>5</v>
      </c>
      <c r="P113" s="87">
        <f>+Mensualizado!K74</f>
        <v>13.5</v>
      </c>
      <c r="Q113" s="87">
        <f>+Mensualizado!L74</f>
        <v>9.5</v>
      </c>
      <c r="R113" s="87">
        <f>+Mensualizado!M74</f>
        <v>19.5</v>
      </c>
      <c r="S113" s="87">
        <f>+Mensualizado!N74</f>
        <v>15.5</v>
      </c>
      <c r="T113" s="87">
        <f>+Mensualizado!O74</f>
        <v>9</v>
      </c>
    </row>
    <row r="114" spans="1:20">
      <c r="A114" s="121">
        <v>54201</v>
      </c>
      <c r="B114" s="122" t="s">
        <v>96</v>
      </c>
      <c r="C114" s="160">
        <f>10800-1556.78</f>
        <v>9243.2199999999993</v>
      </c>
      <c r="D114" s="46"/>
      <c r="E114" s="179">
        <f t="shared" si="17"/>
        <v>9212</v>
      </c>
      <c r="F114" s="336" t="e">
        <f>+#REF!</f>
        <v>#REF!</v>
      </c>
      <c r="G114" s="336" t="e">
        <f t="shared" si="18"/>
        <v>#REF!</v>
      </c>
      <c r="I114" s="87">
        <f>+Mensualizado!D75</f>
        <v>747.5</v>
      </c>
      <c r="J114" s="87">
        <f>+Mensualizado!E75</f>
        <v>750</v>
      </c>
      <c r="K114" s="87">
        <f>+Mensualizado!F75</f>
        <v>766</v>
      </c>
      <c r="L114" s="87">
        <f>+Mensualizado!G75</f>
        <v>728</v>
      </c>
      <c r="M114" s="87">
        <f>+Mensualizado!H75</f>
        <v>708</v>
      </c>
      <c r="N114" s="87">
        <f>+Mensualizado!I75</f>
        <v>802.5</v>
      </c>
      <c r="O114" s="87">
        <f>+Mensualizado!J75</f>
        <v>792</v>
      </c>
      <c r="P114" s="87">
        <f>+Mensualizado!K75</f>
        <v>776</v>
      </c>
      <c r="Q114" s="87">
        <f>+Mensualizado!L75</f>
        <v>690</v>
      </c>
      <c r="R114" s="87">
        <f>+Mensualizado!M75</f>
        <v>743</v>
      </c>
      <c r="S114" s="87">
        <f>+Mensualizado!N75</f>
        <v>863</v>
      </c>
      <c r="T114" s="87">
        <f>+Mensualizado!O75</f>
        <v>846</v>
      </c>
    </row>
    <row r="115" spans="1:20">
      <c r="A115" s="121">
        <v>54202</v>
      </c>
      <c r="B115" s="122" t="s">
        <v>254</v>
      </c>
      <c r="C115" s="160">
        <f>360-14.8</f>
        <v>345.2</v>
      </c>
      <c r="D115" s="46"/>
      <c r="E115" s="179">
        <f t="shared" si="17"/>
        <v>389.00000000000006</v>
      </c>
      <c r="F115" s="336" t="e">
        <f>+#REF!</f>
        <v>#REF!</v>
      </c>
      <c r="G115" s="336" t="e">
        <f t="shared" si="18"/>
        <v>#REF!</v>
      </c>
      <c r="I115" s="87">
        <f>+Mensualizado!D76</f>
        <v>28.6</v>
      </c>
      <c r="J115" s="87">
        <f>+Mensualizado!E76</f>
        <v>41</v>
      </c>
      <c r="K115" s="87">
        <f>+Mensualizado!F76</f>
        <v>37.200000000000003</v>
      </c>
      <c r="L115" s="87">
        <f>+Mensualizado!G76</f>
        <v>28.5</v>
      </c>
      <c r="M115" s="87">
        <f>+Mensualizado!H76</f>
        <v>25.3</v>
      </c>
      <c r="N115" s="87">
        <f>+Mensualizado!I76</f>
        <v>30.8</v>
      </c>
      <c r="O115" s="87">
        <f>+Mensualizado!J76</f>
        <v>22</v>
      </c>
      <c r="P115" s="87">
        <f>+Mensualizado!K76</f>
        <v>50.400000000000006</v>
      </c>
      <c r="Q115" s="87">
        <f>+Mensualizado!L76</f>
        <v>25.3</v>
      </c>
      <c r="R115" s="87">
        <f>+Mensualizado!M76</f>
        <v>33</v>
      </c>
      <c r="S115" s="87">
        <f>+Mensualizado!N76</f>
        <v>37.200000000000003</v>
      </c>
      <c r="T115" s="87">
        <f>+Mensualizado!O76</f>
        <v>29.7</v>
      </c>
    </row>
    <row r="116" spans="1:20">
      <c r="A116" s="121">
        <v>54203</v>
      </c>
      <c r="B116" s="122" t="s">
        <v>197</v>
      </c>
      <c r="C116" s="160">
        <f>29000+2140.22</f>
        <v>31140.22</v>
      </c>
      <c r="D116" s="46"/>
      <c r="E116" s="179">
        <f t="shared" si="17"/>
        <v>34398.999000000003</v>
      </c>
      <c r="F116" s="336" t="e">
        <f>+#REF!</f>
        <v>#REF!</v>
      </c>
      <c r="G116" s="336" t="e">
        <f t="shared" si="18"/>
        <v>#REF!</v>
      </c>
      <c r="I116" s="321">
        <f>SUM(Mensualizado!D78:D81)</f>
        <v>3314.5</v>
      </c>
      <c r="J116" s="321">
        <f>SUM(Mensualizado!E78:E81)</f>
        <v>3548.5</v>
      </c>
      <c r="K116" s="321">
        <f>SUM(Mensualizado!F78:F81)</f>
        <v>3433.5</v>
      </c>
      <c r="L116" s="321">
        <f>SUM(Mensualizado!G78:G81)</f>
        <v>3444.5</v>
      </c>
      <c r="M116" s="321">
        <f>SUM(Mensualizado!H78:H81)</f>
        <v>3264.9989999999998</v>
      </c>
      <c r="N116" s="321">
        <f>SUM(Mensualizado!I78:I81)</f>
        <v>2667.5</v>
      </c>
      <c r="O116" s="321">
        <f>SUM(Mensualizado!J78:J81)</f>
        <v>2217.5</v>
      </c>
      <c r="P116" s="321">
        <f>SUM(Mensualizado!K78:K81)</f>
        <v>2690.5</v>
      </c>
      <c r="Q116" s="321">
        <f>SUM(Mensualizado!L78:L81)</f>
        <v>2303.9</v>
      </c>
      <c r="R116" s="321">
        <f>SUM(Mensualizado!M78:M81)</f>
        <v>2296.5</v>
      </c>
      <c r="S116" s="321">
        <f>SUM(Mensualizado!N78:N81)</f>
        <v>2658</v>
      </c>
      <c r="T116" s="321">
        <f>SUM(Mensualizado!O78:O81)</f>
        <v>2559.1</v>
      </c>
    </row>
    <row r="117" spans="1:20">
      <c r="A117" s="121">
        <v>54301</v>
      </c>
      <c r="B117" s="122" t="s">
        <v>252</v>
      </c>
      <c r="C117" s="160"/>
      <c r="D117" s="46"/>
      <c r="E117" s="179">
        <f t="shared" si="17"/>
        <v>8812</v>
      </c>
      <c r="F117" s="336"/>
      <c r="G117" s="336">
        <f t="shared" si="18"/>
        <v>8812</v>
      </c>
      <c r="I117" s="321">
        <f>+Mensualizado!D82</f>
        <v>651</v>
      </c>
      <c r="J117" s="321">
        <f>+Mensualizado!E82</f>
        <v>651</v>
      </c>
      <c r="K117" s="321">
        <f>+Mensualizado!F82</f>
        <v>651</v>
      </c>
      <c r="L117" s="321">
        <f>+Mensualizado!G82</f>
        <v>1151</v>
      </c>
      <c r="M117" s="321">
        <f>+Mensualizado!H82</f>
        <v>651</v>
      </c>
      <c r="N117" s="321">
        <f>+Mensualizado!I82</f>
        <v>651</v>
      </c>
      <c r="O117" s="321">
        <f>+Mensualizado!J82</f>
        <v>651</v>
      </c>
      <c r="P117" s="321">
        <f>+Mensualizado!K82</f>
        <v>651</v>
      </c>
      <c r="Q117" s="321">
        <f>+Mensualizado!L82</f>
        <v>651</v>
      </c>
      <c r="R117" s="321">
        <f>+Mensualizado!M82</f>
        <v>1151</v>
      </c>
      <c r="S117" s="321">
        <f>+Mensualizado!N82</f>
        <v>651</v>
      </c>
      <c r="T117" s="321">
        <f>+Mensualizado!O82</f>
        <v>651</v>
      </c>
    </row>
    <row r="118" spans="1:20">
      <c r="A118" s="121">
        <v>54306</v>
      </c>
      <c r="B118" s="122" t="s">
        <v>255</v>
      </c>
      <c r="C118" s="160"/>
      <c r="D118" s="46"/>
      <c r="E118" s="179"/>
      <c r="F118" s="336" t="e">
        <f>+#REF!</f>
        <v>#REF!</v>
      </c>
      <c r="G118" s="336" t="e">
        <f t="shared" si="18"/>
        <v>#REF!</v>
      </c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</row>
    <row r="119" spans="1:20">
      <c r="A119" s="66">
        <v>54307</v>
      </c>
      <c r="B119" s="65" t="s">
        <v>214</v>
      </c>
      <c r="C119" s="160">
        <f>10240+325.94</f>
        <v>10565.94</v>
      </c>
      <c r="D119" s="46"/>
      <c r="E119" s="179">
        <f t="shared" si="17"/>
        <v>10548</v>
      </c>
      <c r="F119" s="336" t="e">
        <f>+#REF!</f>
        <v>#REF!</v>
      </c>
      <c r="G119" s="336" t="e">
        <f t="shared" si="18"/>
        <v>#REF!</v>
      </c>
      <c r="I119" s="321">
        <f>+Mensualizado!D83</f>
        <v>879</v>
      </c>
      <c r="J119" s="321">
        <f>+Mensualizado!E83</f>
        <v>879</v>
      </c>
      <c r="K119" s="321">
        <f>+Mensualizado!F83</f>
        <v>879</v>
      </c>
      <c r="L119" s="321">
        <f>+Mensualizado!G83</f>
        <v>879</v>
      </c>
      <c r="M119" s="321">
        <f>+Mensualizado!H83</f>
        <v>879</v>
      </c>
      <c r="N119" s="321">
        <f>+Mensualizado!I83</f>
        <v>879</v>
      </c>
      <c r="O119" s="321">
        <f>+Mensualizado!J83</f>
        <v>879</v>
      </c>
      <c r="P119" s="321">
        <f>+Mensualizado!K83</f>
        <v>879</v>
      </c>
      <c r="Q119" s="321">
        <f>+Mensualizado!L83</f>
        <v>879</v>
      </c>
      <c r="R119" s="321">
        <f>+Mensualizado!M83</f>
        <v>879</v>
      </c>
      <c r="S119" s="321">
        <f>+Mensualizado!N83</f>
        <v>879</v>
      </c>
      <c r="T119" s="321">
        <f>+Mensualizado!O83</f>
        <v>879</v>
      </c>
    </row>
    <row r="120" spans="1:20">
      <c r="A120" s="121">
        <v>54317</v>
      </c>
      <c r="B120" s="122" t="s">
        <v>212</v>
      </c>
      <c r="C120" s="160">
        <f>99600-3101.16</f>
        <v>96498.84</v>
      </c>
      <c r="D120" s="46"/>
      <c r="E120" s="179">
        <f t="shared" si="17"/>
        <v>88792.999999999985</v>
      </c>
      <c r="F120" s="336" t="e">
        <f>+#REF!</f>
        <v>#REF!</v>
      </c>
      <c r="G120" s="336" t="e">
        <f t="shared" si="18"/>
        <v>#REF!</v>
      </c>
      <c r="I120" s="87">
        <f>SUM(Mensualizado!D84:D85)</f>
        <v>7399.42</v>
      </c>
      <c r="J120" s="87">
        <f>SUM(Mensualizado!E84:E85)</f>
        <v>7399.42</v>
      </c>
      <c r="K120" s="87">
        <f>SUM(Mensualizado!F84:F85)</f>
        <v>7399.42</v>
      </c>
      <c r="L120" s="87">
        <f>SUM(Mensualizado!G84:G85)</f>
        <v>7399.42</v>
      </c>
      <c r="M120" s="87">
        <f>SUM(Mensualizado!H84:H85)</f>
        <v>7399.42</v>
      </c>
      <c r="N120" s="87">
        <f>SUM(Mensualizado!I84:I85)</f>
        <v>7399.42</v>
      </c>
      <c r="O120" s="87">
        <f>SUM(Mensualizado!J84:J85)</f>
        <v>7399.42</v>
      </c>
      <c r="P120" s="87">
        <f>SUM(Mensualizado!K84:K85)</f>
        <v>7399.42</v>
      </c>
      <c r="Q120" s="87">
        <f>SUM(Mensualizado!L84:L85)</f>
        <v>7399.42</v>
      </c>
      <c r="R120" s="87">
        <f>SUM(Mensualizado!M84:M85)</f>
        <v>7399.42</v>
      </c>
      <c r="S120" s="87">
        <f>SUM(Mensualizado!N84:N85)</f>
        <v>7399.4</v>
      </c>
      <c r="T120" s="87">
        <f>SUM(Mensualizado!O84:O85)</f>
        <v>7399.4</v>
      </c>
    </row>
    <row r="121" spans="1:20" ht="13.5" thickBot="1">
      <c r="A121" s="121">
        <v>54399</v>
      </c>
      <c r="B121" s="319" t="s">
        <v>172</v>
      </c>
      <c r="C121" s="322"/>
      <c r="D121" s="46"/>
      <c r="E121" s="179">
        <f t="shared" si="17"/>
        <v>1986</v>
      </c>
      <c r="F121" s="337"/>
      <c r="G121" s="337">
        <f t="shared" si="18"/>
        <v>1986</v>
      </c>
      <c r="I121" s="87">
        <f>SUM(Mensualizado!D86:D87)</f>
        <v>165.5</v>
      </c>
      <c r="J121" s="87">
        <f>SUM(Mensualizado!E86:E87)</f>
        <v>165.5</v>
      </c>
      <c r="K121" s="87">
        <f>SUM(Mensualizado!F86:F87)</f>
        <v>165.5</v>
      </c>
      <c r="L121" s="87">
        <f>SUM(Mensualizado!G86:G87)</f>
        <v>165.5</v>
      </c>
      <c r="M121" s="87">
        <f>SUM(Mensualizado!H86:H87)</f>
        <v>165.5</v>
      </c>
      <c r="N121" s="87">
        <f>SUM(Mensualizado!I86:I87)</f>
        <v>165.5</v>
      </c>
      <c r="O121" s="87">
        <f>SUM(Mensualizado!J86:J87)</f>
        <v>165.5</v>
      </c>
      <c r="P121" s="87">
        <f>SUM(Mensualizado!K86:K87)</f>
        <v>165.5</v>
      </c>
      <c r="Q121" s="87">
        <f>SUM(Mensualizado!L86:L87)</f>
        <v>165.5</v>
      </c>
      <c r="R121" s="87">
        <f>SUM(Mensualizado!M86:M87)</f>
        <v>165.5</v>
      </c>
      <c r="S121" s="87">
        <f>SUM(Mensualizado!N86:N87)</f>
        <v>165.5</v>
      </c>
      <c r="T121" s="87">
        <f>SUM(Mensualizado!O86:O87)</f>
        <v>165.5</v>
      </c>
    </row>
    <row r="122" spans="1:20" ht="13.5" thickBot="1">
      <c r="A122" s="66"/>
      <c r="B122" s="325" t="s">
        <v>204</v>
      </c>
      <c r="C122" s="149">
        <f>SUM(C113:C120)</f>
        <v>148336.84</v>
      </c>
      <c r="D122" s="326"/>
      <c r="E122" s="194">
        <f>SUM(E112:E121)</f>
        <v>155545.99899999998</v>
      </c>
      <c r="F122" s="194" t="e">
        <f>SUM(F112:F121)</f>
        <v>#REF!</v>
      </c>
      <c r="G122" s="194" t="e">
        <f>SUM(G112:G121)</f>
        <v>#REF!</v>
      </c>
      <c r="I122" s="317">
        <f>SUM(I112:I121)</f>
        <v>13338.619999999999</v>
      </c>
      <c r="J122" s="317">
        <f t="shared" ref="J122:T122" si="19">SUM(J112:J121)</f>
        <v>13554.52</v>
      </c>
      <c r="K122" s="317">
        <f t="shared" si="19"/>
        <v>13413.619999999999</v>
      </c>
      <c r="L122" s="317">
        <f t="shared" si="19"/>
        <v>13944.82</v>
      </c>
      <c r="M122" s="317">
        <f t="shared" si="19"/>
        <v>13180.219000000001</v>
      </c>
      <c r="N122" s="317">
        <f t="shared" si="19"/>
        <v>12679.220000000001</v>
      </c>
      <c r="O122" s="317">
        <f t="shared" si="19"/>
        <v>12244.42</v>
      </c>
      <c r="P122" s="317">
        <f t="shared" si="19"/>
        <v>12733.32</v>
      </c>
      <c r="Q122" s="317">
        <f t="shared" si="19"/>
        <v>12219.119999999999</v>
      </c>
      <c r="R122" s="317">
        <f t="shared" si="19"/>
        <v>12774.32</v>
      </c>
      <c r="S122" s="317">
        <f t="shared" si="19"/>
        <v>12782.599999999999</v>
      </c>
      <c r="T122" s="317">
        <f t="shared" si="19"/>
        <v>12681.2</v>
      </c>
    </row>
    <row r="123" spans="1:20">
      <c r="D123" s="35"/>
      <c r="E123" s="190"/>
      <c r="F123" s="190"/>
      <c r="G123" s="190"/>
    </row>
    <row r="124" spans="1:20">
      <c r="D124" s="35"/>
      <c r="E124" s="195"/>
      <c r="F124" s="195"/>
      <c r="G124" s="195"/>
    </row>
    <row r="125" spans="1:20">
      <c r="E125" s="195"/>
      <c r="F125" s="195"/>
      <c r="G125" s="195"/>
    </row>
    <row r="126" spans="1:20">
      <c r="E126" s="195"/>
      <c r="F126" s="195"/>
      <c r="G126" s="195"/>
    </row>
    <row r="127" spans="1:20">
      <c r="E127" s="195"/>
      <c r="F127" s="195"/>
      <c r="G127" s="195"/>
    </row>
    <row r="128" spans="1:20">
      <c r="E128" s="195"/>
      <c r="F128" s="195"/>
      <c r="G128" s="195"/>
    </row>
    <row r="129" spans="5:7">
      <c r="E129" s="195"/>
      <c r="F129" s="195"/>
      <c r="G129" s="195"/>
    </row>
    <row r="130" spans="5:7">
      <c r="E130" s="195"/>
      <c r="F130" s="195"/>
      <c r="G130" s="195"/>
    </row>
    <row r="131" spans="5:7">
      <c r="E131" s="190"/>
      <c r="F131" s="190"/>
      <c r="G131" s="190"/>
    </row>
    <row r="132" spans="5:7">
      <c r="E132" s="190"/>
      <c r="F132" s="190"/>
      <c r="G132" s="190"/>
    </row>
  </sheetData>
  <mergeCells count="5">
    <mergeCell ref="A16:B16"/>
    <mergeCell ref="A6:B6"/>
    <mergeCell ref="A2:E2"/>
    <mergeCell ref="A3:E3"/>
    <mergeCell ref="A4:E4"/>
  </mergeCells>
  <phoneticPr fontId="25" type="noConversion"/>
  <pageMargins left="0.78740157480314965" right="0.59055118110236227" top="0.98425196850393704" bottom="0.78740157480314965" header="0" footer="0"/>
  <pageSetup scale="68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Q130"/>
  <sheetViews>
    <sheetView view="pageBreakPreview" zoomScale="75" workbookViewId="0">
      <pane ySplit="6" topLeftCell="A63" activePane="bottomLeft" state="frozen"/>
      <selection pane="bottomLeft" activeCell="A84" sqref="A84:IV84"/>
    </sheetView>
  </sheetViews>
  <sheetFormatPr baseColWidth="10" defaultRowHeight="11.25"/>
  <cols>
    <col min="1" max="1" width="10.42578125" style="2" bestFit="1" customWidth="1"/>
    <col min="2" max="2" width="51.140625" style="2" bestFit="1" customWidth="1"/>
    <col min="3" max="3" width="14.85546875" style="2" bestFit="1" customWidth="1"/>
    <col min="4" max="4" width="14.42578125" style="318" bestFit="1" customWidth="1"/>
    <col min="5" max="6" width="13.42578125" style="318" bestFit="1" customWidth="1"/>
    <col min="7" max="7" width="13.140625" style="318" bestFit="1" customWidth="1"/>
    <col min="8" max="9" width="13.140625" style="2" bestFit="1" customWidth="1"/>
    <col min="10" max="10" width="14.140625" style="2" bestFit="1" customWidth="1"/>
    <col min="11" max="11" width="15.42578125" style="2" bestFit="1" customWidth="1"/>
    <col min="12" max="13" width="15.5703125" style="2" bestFit="1" customWidth="1"/>
    <col min="14" max="15" width="16.140625" style="2" bestFit="1" customWidth="1"/>
    <col min="16" max="16384" width="11.42578125" style="2"/>
  </cols>
  <sheetData>
    <row r="2" spans="1:15" ht="23.25">
      <c r="A2" s="509" t="s">
        <v>235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</row>
    <row r="5" spans="1:15" ht="12" thickBot="1">
      <c r="B5" s="2" t="s">
        <v>97</v>
      </c>
    </row>
    <row r="6" spans="1:15" s="265" customFormat="1" ht="14.25" thickTop="1" thickBot="1">
      <c r="A6" s="510"/>
      <c r="B6" s="511"/>
      <c r="C6" s="311" t="s">
        <v>18</v>
      </c>
      <c r="D6" s="259" t="s">
        <v>98</v>
      </c>
      <c r="E6" s="260" t="s">
        <v>99</v>
      </c>
      <c r="F6" s="261" t="s">
        <v>100</v>
      </c>
      <c r="G6" s="262" t="s">
        <v>101</v>
      </c>
      <c r="H6" s="260" t="s">
        <v>102</v>
      </c>
      <c r="I6" s="263" t="s">
        <v>103</v>
      </c>
      <c r="J6" s="259" t="s">
        <v>104</v>
      </c>
      <c r="K6" s="260" t="s">
        <v>105</v>
      </c>
      <c r="L6" s="263" t="s">
        <v>106</v>
      </c>
      <c r="M6" s="262" t="s">
        <v>107</v>
      </c>
      <c r="N6" s="260" t="s">
        <v>108</v>
      </c>
      <c r="O6" s="264" t="s">
        <v>109</v>
      </c>
    </row>
    <row r="9" spans="1:15" ht="12">
      <c r="A9" s="282" t="s">
        <v>110</v>
      </c>
    </row>
    <row r="10" spans="1:15" ht="12.75">
      <c r="A10" s="283">
        <v>51</v>
      </c>
      <c r="B10" s="245" t="s">
        <v>111</v>
      </c>
    </row>
    <row r="11" spans="1:15" s="272" customFormat="1" ht="14.25">
      <c r="A11" s="284">
        <v>51105</v>
      </c>
      <c r="B11" s="273" t="s">
        <v>279</v>
      </c>
      <c r="C11" s="349">
        <f t="shared" ref="C11:C19" si="0">SUM(D11:O11)</f>
        <v>48000</v>
      </c>
      <c r="D11" s="274">
        <f>200*5*4</f>
        <v>4000</v>
      </c>
      <c r="E11" s="275">
        <f>+D11</f>
        <v>4000</v>
      </c>
      <c r="F11" s="276">
        <f>+D11</f>
        <v>4000</v>
      </c>
      <c r="G11" s="274">
        <f>+D11</f>
        <v>4000</v>
      </c>
      <c r="H11" s="278">
        <f>+D11</f>
        <v>4000</v>
      </c>
      <c r="I11" s="279">
        <f>+D11</f>
        <v>4000</v>
      </c>
      <c r="J11" s="277">
        <f>+D11</f>
        <v>4000</v>
      </c>
      <c r="K11" s="280">
        <f>+D11</f>
        <v>4000</v>
      </c>
      <c r="L11" s="279">
        <f>+D11</f>
        <v>4000</v>
      </c>
      <c r="M11" s="277">
        <f>+D11</f>
        <v>4000</v>
      </c>
      <c r="N11" s="280">
        <f>+D11</f>
        <v>4000</v>
      </c>
      <c r="O11" s="281">
        <f>+D11</f>
        <v>4000</v>
      </c>
    </row>
    <row r="12" spans="1:15" s="272" customFormat="1" ht="14.25">
      <c r="A12" s="284">
        <v>51201</v>
      </c>
      <c r="B12" s="273" t="s">
        <v>231</v>
      </c>
      <c r="C12" s="349" t="e">
        <f t="shared" si="0"/>
        <v>#REF!</v>
      </c>
      <c r="D12" s="274" t="e">
        <f>+#REF!</f>
        <v>#REF!</v>
      </c>
      <c r="E12" s="275" t="e">
        <f>+D12</f>
        <v>#REF!</v>
      </c>
      <c r="F12" s="276" t="e">
        <f>+D12</f>
        <v>#REF!</v>
      </c>
      <c r="G12" s="274" t="e">
        <f>+D12</f>
        <v>#REF!</v>
      </c>
      <c r="H12" s="278" t="e">
        <f>+D12</f>
        <v>#REF!</v>
      </c>
      <c r="I12" s="279" t="e">
        <f>+D12</f>
        <v>#REF!</v>
      </c>
      <c r="J12" s="277" t="e">
        <f>+D12</f>
        <v>#REF!</v>
      </c>
      <c r="K12" s="280" t="e">
        <f>+D12</f>
        <v>#REF!</v>
      </c>
      <c r="L12" s="279" t="e">
        <f>+D12</f>
        <v>#REF!</v>
      </c>
      <c r="M12" s="277" t="e">
        <f>+D12</f>
        <v>#REF!</v>
      </c>
      <c r="N12" s="280" t="e">
        <f>+D12</f>
        <v>#REF!</v>
      </c>
      <c r="O12" s="281" t="e">
        <f>+D12</f>
        <v>#REF!</v>
      </c>
    </row>
    <row r="13" spans="1:15" s="272" customFormat="1" ht="14.25">
      <c r="A13" s="284">
        <v>51203</v>
      </c>
      <c r="B13" s="273" t="s">
        <v>232</v>
      </c>
      <c r="C13" s="349" t="e">
        <f t="shared" si="0"/>
        <v>#REF!</v>
      </c>
      <c r="D13" s="274">
        <v>0</v>
      </c>
      <c r="E13" s="275">
        <v>0</v>
      </c>
      <c r="F13" s="276">
        <f>+D13*2</f>
        <v>0</v>
      </c>
      <c r="G13" s="274">
        <v>0</v>
      </c>
      <c r="H13" s="275">
        <v>0</v>
      </c>
      <c r="I13" s="276">
        <f>+G13*2</f>
        <v>0</v>
      </c>
      <c r="J13" s="274">
        <v>0</v>
      </c>
      <c r="K13" s="275">
        <v>0</v>
      </c>
      <c r="L13" s="276">
        <f>+J13*2</f>
        <v>0</v>
      </c>
      <c r="M13" s="274">
        <v>0</v>
      </c>
      <c r="N13" s="275">
        <v>0</v>
      </c>
      <c r="O13" s="281" t="e">
        <f>+D12</f>
        <v>#REF!</v>
      </c>
    </row>
    <row r="14" spans="1:15" s="272" customFormat="1" ht="14.25">
      <c r="A14" s="284">
        <v>51207</v>
      </c>
      <c r="B14" s="273" t="s">
        <v>234</v>
      </c>
      <c r="C14" s="349" t="e">
        <f>SUM(D14:O14)</f>
        <v>#REF!</v>
      </c>
      <c r="D14" s="274" t="e">
        <f>+#REF!</f>
        <v>#REF!</v>
      </c>
      <c r="E14" s="275" t="e">
        <f>+#REF!</f>
        <v>#REF!</v>
      </c>
      <c r="F14" s="276" t="e">
        <f>+#REF!</f>
        <v>#REF!</v>
      </c>
      <c r="G14" s="274" t="e">
        <f>+#REF!</f>
        <v>#REF!</v>
      </c>
      <c r="H14" s="330" t="e">
        <f>+D12</f>
        <v>#REF!</v>
      </c>
      <c r="I14" s="279" t="e">
        <f>+#REF!</f>
        <v>#REF!</v>
      </c>
      <c r="J14" s="277" t="e">
        <f>+#REF!</f>
        <v>#REF!</v>
      </c>
      <c r="K14" s="275" t="e">
        <f>+#REF!</f>
        <v>#REF!</v>
      </c>
      <c r="L14" s="279" t="e">
        <f>+#REF!</f>
        <v>#REF!</v>
      </c>
      <c r="M14" s="274">
        <v>0</v>
      </c>
      <c r="N14" s="275">
        <v>0</v>
      </c>
      <c r="O14" s="276">
        <f>+M14*2</f>
        <v>0</v>
      </c>
    </row>
    <row r="15" spans="1:15" s="272" customFormat="1" ht="14.25">
      <c r="A15" s="284">
        <v>51402</v>
      </c>
      <c r="B15" s="273" t="s">
        <v>274</v>
      </c>
      <c r="C15" s="305" t="e">
        <f>SUM(D15:O16)</f>
        <v>#REF!</v>
      </c>
      <c r="D15" s="274">
        <f>22912.72*0.075</f>
        <v>1718.454</v>
      </c>
      <c r="E15" s="275">
        <f>+D15</f>
        <v>1718.454</v>
      </c>
      <c r="F15" s="276">
        <f>+D15</f>
        <v>1718.454</v>
      </c>
      <c r="G15" s="274">
        <f>+D15</f>
        <v>1718.454</v>
      </c>
      <c r="H15" s="278">
        <f>+D15</f>
        <v>1718.454</v>
      </c>
      <c r="I15" s="279">
        <f>+D15</f>
        <v>1718.454</v>
      </c>
      <c r="J15" s="277">
        <f>+D15</f>
        <v>1718.454</v>
      </c>
      <c r="K15" s="280">
        <f>+D15</f>
        <v>1718.454</v>
      </c>
      <c r="L15" s="279">
        <f>+D15</f>
        <v>1718.454</v>
      </c>
      <c r="M15" s="277">
        <f>+D15</f>
        <v>1718.454</v>
      </c>
      <c r="N15" s="280">
        <f>+D15</f>
        <v>1718.454</v>
      </c>
      <c r="O15" s="460">
        <f>+D15+13.8</f>
        <v>1732.2539999999999</v>
      </c>
    </row>
    <row r="16" spans="1:15" s="272" customFormat="1" ht="14.25">
      <c r="A16" s="284"/>
      <c r="B16" s="304"/>
      <c r="C16" s="305"/>
      <c r="D16" s="274" t="e">
        <f>+(D12*0.00647224)+11.68</f>
        <v>#REF!</v>
      </c>
      <c r="E16" s="275" t="e">
        <f>+E12*0.0065</f>
        <v>#REF!</v>
      </c>
      <c r="F16" s="276" t="e">
        <f>+F12*0.0065</f>
        <v>#REF!</v>
      </c>
      <c r="G16" s="274" t="e">
        <f>+G12*0.0065</f>
        <v>#REF!</v>
      </c>
      <c r="H16" s="278" t="e">
        <f>+H12*0.0065</f>
        <v>#REF!</v>
      </c>
      <c r="I16" s="279" t="e">
        <f>+(I12*0.0065)+2.12</f>
        <v>#REF!</v>
      </c>
      <c r="J16" s="277" t="e">
        <f>+J12*0.0065</f>
        <v>#REF!</v>
      </c>
      <c r="K16" s="280" t="e">
        <f>+K12*0.0065</f>
        <v>#REF!</v>
      </c>
      <c r="L16" s="279" t="e">
        <f>+L12*0.0065</f>
        <v>#REF!</v>
      </c>
      <c r="M16" s="277" t="e">
        <f>+M12*0.0065</f>
        <v>#REF!</v>
      </c>
      <c r="N16" s="280" t="e">
        <f>+N12*0.0065</f>
        <v>#REF!</v>
      </c>
      <c r="O16" s="323" t="e">
        <f>+O12*0.0065-11.57</f>
        <v>#REF!</v>
      </c>
    </row>
    <row r="17" spans="1:15" s="272" customFormat="1" ht="14.25">
      <c r="A17" s="284">
        <v>51502</v>
      </c>
      <c r="B17" s="273" t="s">
        <v>275</v>
      </c>
      <c r="C17" s="305" t="e">
        <f>SUM(D17:O18)</f>
        <v>#REF!</v>
      </c>
      <c r="D17" s="274">
        <f>79921.95*0.0675</f>
        <v>5394.7316250000003</v>
      </c>
      <c r="E17" s="275">
        <f>+D17</f>
        <v>5394.7316250000003</v>
      </c>
      <c r="F17" s="276">
        <f>+D17</f>
        <v>5394.7316250000003</v>
      </c>
      <c r="G17" s="274">
        <f>+D17</f>
        <v>5394.7316250000003</v>
      </c>
      <c r="H17" s="278">
        <f>+D17</f>
        <v>5394.7316250000003</v>
      </c>
      <c r="I17" s="279">
        <f>+D17</f>
        <v>5394.7316250000003</v>
      </c>
      <c r="J17" s="277">
        <f>+D17</f>
        <v>5394.7316250000003</v>
      </c>
      <c r="K17" s="280">
        <f>+D17</f>
        <v>5394.7316250000003</v>
      </c>
      <c r="L17" s="279">
        <f>+D17</f>
        <v>5394.7316250000003</v>
      </c>
      <c r="M17" s="277">
        <f>+D17</f>
        <v>5394.7316250000003</v>
      </c>
      <c r="N17" s="280">
        <f>+D17</f>
        <v>5394.7316250000003</v>
      </c>
      <c r="O17" s="281">
        <f>+D17</f>
        <v>5394.7316250000003</v>
      </c>
    </row>
    <row r="18" spans="1:15" s="272" customFormat="1" ht="14.25">
      <c r="A18" s="284"/>
      <c r="B18" s="273"/>
      <c r="C18" s="305"/>
      <c r="D18" s="274" t="e">
        <f>+#REF!</f>
        <v>#REF!</v>
      </c>
      <c r="E18" s="275" t="e">
        <f>+#REF!</f>
        <v>#REF!</v>
      </c>
      <c r="F18" s="276" t="e">
        <f>+#REF!</f>
        <v>#REF!</v>
      </c>
      <c r="G18" s="274" t="e">
        <f>+#REF!</f>
        <v>#REF!</v>
      </c>
      <c r="H18" s="275">
        <v>0</v>
      </c>
      <c r="I18" s="276" t="e">
        <f>+#REF!</f>
        <v>#REF!</v>
      </c>
      <c r="J18" s="277" t="e">
        <f>+#REF!</f>
        <v>#REF!</v>
      </c>
      <c r="K18" s="275" t="e">
        <f>+#REF!</f>
        <v>#REF!</v>
      </c>
      <c r="L18" s="324" t="e">
        <f>+#REF!+0.44</f>
        <v>#REF!</v>
      </c>
      <c r="M18" s="274">
        <v>0</v>
      </c>
      <c r="N18" s="275">
        <v>0</v>
      </c>
      <c r="O18" s="276">
        <f>+M18*2</f>
        <v>0</v>
      </c>
    </row>
    <row r="19" spans="1:15" s="272" customFormat="1" ht="14.25">
      <c r="A19" s="284">
        <v>51999</v>
      </c>
      <c r="B19" s="273" t="s">
        <v>113</v>
      </c>
      <c r="C19" s="305">
        <f t="shared" si="0"/>
        <v>5833</v>
      </c>
      <c r="D19" s="274"/>
      <c r="E19" s="275">
        <v>1897</v>
      </c>
      <c r="F19" s="276"/>
      <c r="G19" s="274">
        <v>535</v>
      </c>
      <c r="H19" s="331">
        <v>835</v>
      </c>
      <c r="I19" s="279">
        <v>145</v>
      </c>
      <c r="J19" s="277">
        <v>835</v>
      </c>
      <c r="K19" s="280">
        <v>805</v>
      </c>
      <c r="L19" s="279"/>
      <c r="M19" s="277"/>
      <c r="N19" s="280"/>
      <c r="O19" s="281">
        <v>781</v>
      </c>
    </row>
    <row r="20" spans="1:15" s="272" customFormat="1" ht="12.75">
      <c r="A20" s="266"/>
      <c r="B20" s="267" t="s">
        <v>114</v>
      </c>
      <c r="C20" s="268" t="e">
        <f t="shared" ref="C20:O20" si="1">SUM(C11:C19)</f>
        <v>#REF!</v>
      </c>
      <c r="D20" s="269" t="e">
        <f t="shared" si="1"/>
        <v>#REF!</v>
      </c>
      <c r="E20" s="270" t="e">
        <f t="shared" si="1"/>
        <v>#REF!</v>
      </c>
      <c r="F20" s="271" t="e">
        <f t="shared" si="1"/>
        <v>#REF!</v>
      </c>
      <c r="G20" s="269" t="e">
        <f t="shared" si="1"/>
        <v>#REF!</v>
      </c>
      <c r="H20" s="270" t="e">
        <f t="shared" si="1"/>
        <v>#REF!</v>
      </c>
      <c r="I20" s="271" t="e">
        <f t="shared" si="1"/>
        <v>#REF!</v>
      </c>
      <c r="J20" s="269" t="e">
        <f t="shared" si="1"/>
        <v>#REF!</v>
      </c>
      <c r="K20" s="270" t="e">
        <f t="shared" si="1"/>
        <v>#REF!</v>
      </c>
      <c r="L20" s="271" t="e">
        <f t="shared" si="1"/>
        <v>#REF!</v>
      </c>
      <c r="M20" s="269" t="e">
        <f t="shared" si="1"/>
        <v>#REF!</v>
      </c>
      <c r="N20" s="270" t="e">
        <f t="shared" si="1"/>
        <v>#REF!</v>
      </c>
      <c r="O20" s="271" t="e">
        <f t="shared" si="1"/>
        <v>#REF!</v>
      </c>
    </row>
    <row r="22" spans="1:15" ht="12.75">
      <c r="A22" s="283">
        <v>54</v>
      </c>
      <c r="B22" s="245" t="s">
        <v>115</v>
      </c>
    </row>
    <row r="23" spans="1:15" ht="14.25">
      <c r="B23" s="306" t="s">
        <v>79</v>
      </c>
    </row>
    <row r="24" spans="1:15" s="272" customFormat="1" ht="14.25">
      <c r="A24" s="284">
        <v>54105</v>
      </c>
      <c r="B24" s="273" t="s">
        <v>119</v>
      </c>
      <c r="C24" s="305">
        <f t="shared" ref="C24:C31" si="2">SUM(D24:O24)</f>
        <v>4500</v>
      </c>
      <c r="D24" s="274">
        <v>0</v>
      </c>
      <c r="E24" s="275">
        <v>559.33000000000004</v>
      </c>
      <c r="F24" s="276">
        <v>8.5</v>
      </c>
      <c r="G24" s="274">
        <v>2277.5700000000002</v>
      </c>
      <c r="H24" s="278">
        <v>0</v>
      </c>
      <c r="I24" s="279">
        <v>1042.68</v>
      </c>
      <c r="J24" s="277">
        <v>21.21</v>
      </c>
      <c r="K24" s="280">
        <v>61.15</v>
      </c>
      <c r="L24" s="279">
        <v>64.25</v>
      </c>
      <c r="M24" s="277">
        <v>357.96</v>
      </c>
      <c r="N24" s="280">
        <v>82.84</v>
      </c>
      <c r="O24" s="281">
        <v>24.51</v>
      </c>
    </row>
    <row r="25" spans="1:15" s="272" customFormat="1" ht="14.25">
      <c r="A25" s="284">
        <v>54114</v>
      </c>
      <c r="B25" s="273" t="s">
        <v>123</v>
      </c>
      <c r="C25" s="305">
        <f t="shared" si="2"/>
        <v>2828</v>
      </c>
      <c r="D25" s="274">
        <v>0</v>
      </c>
      <c r="E25" s="275">
        <v>0</v>
      </c>
      <c r="F25" s="276">
        <f>+D25*2</f>
        <v>0</v>
      </c>
      <c r="G25" s="274">
        <v>690.4</v>
      </c>
      <c r="H25" s="278">
        <f>+D25*2</f>
        <v>0</v>
      </c>
      <c r="I25" s="279">
        <v>765</v>
      </c>
      <c r="J25" s="277">
        <v>567.79999999999995</v>
      </c>
      <c r="K25" s="280"/>
      <c r="L25" s="279">
        <v>459.3</v>
      </c>
      <c r="M25" s="277">
        <v>81.45</v>
      </c>
      <c r="N25" s="280"/>
      <c r="O25" s="281">
        <v>264.05</v>
      </c>
    </row>
    <row r="26" spans="1:15" s="272" customFormat="1" ht="14.25">
      <c r="A26" s="284">
        <v>54199</v>
      </c>
      <c r="B26" s="273" t="s">
        <v>127</v>
      </c>
      <c r="C26" s="305">
        <f t="shared" si="2"/>
        <v>17672</v>
      </c>
      <c r="D26" s="274">
        <v>0</v>
      </c>
      <c r="E26" s="275">
        <v>0</v>
      </c>
      <c r="F26" s="276">
        <f>+D26*2</f>
        <v>0</v>
      </c>
      <c r="G26" s="274">
        <v>7660</v>
      </c>
      <c r="H26" s="278">
        <f>+D26*2</f>
        <v>0</v>
      </c>
      <c r="I26" s="279">
        <v>2515.4</v>
      </c>
      <c r="J26" s="277">
        <v>147.63999999999999</v>
      </c>
      <c r="K26" s="280">
        <v>33.08</v>
      </c>
      <c r="L26" s="279">
        <v>172.8</v>
      </c>
      <c r="M26" s="277">
        <v>172.4</v>
      </c>
      <c r="N26" s="280">
        <v>172.41</v>
      </c>
      <c r="O26" s="281">
        <v>6798.27</v>
      </c>
    </row>
    <row r="27" spans="1:15" s="272" customFormat="1" ht="14.25">
      <c r="A27" s="284">
        <v>54305</v>
      </c>
      <c r="B27" s="273" t="s">
        <v>137</v>
      </c>
      <c r="C27" s="305">
        <f t="shared" si="2"/>
        <v>25695.999999999996</v>
      </c>
      <c r="D27" s="274">
        <v>0</v>
      </c>
      <c r="E27" s="275">
        <f>169.5+259.5</f>
        <v>429</v>
      </c>
      <c r="F27" s="276">
        <f>600+90+598</f>
        <v>1288</v>
      </c>
      <c r="G27" s="274">
        <v>2398</v>
      </c>
      <c r="H27" s="278">
        <v>2398</v>
      </c>
      <c r="I27" s="279">
        <v>7560.3</v>
      </c>
      <c r="J27" s="277">
        <v>5272.7</v>
      </c>
      <c r="K27" s="280">
        <v>0</v>
      </c>
      <c r="L27" s="279">
        <v>1713.6</v>
      </c>
      <c r="M27" s="277">
        <v>2616.8000000000002</v>
      </c>
      <c r="N27" s="280">
        <v>285</v>
      </c>
      <c r="O27" s="281">
        <v>1734.6</v>
      </c>
    </row>
    <row r="28" spans="1:15" s="272" customFormat="1" ht="14.25">
      <c r="A28" s="284">
        <v>54313</v>
      </c>
      <c r="B28" s="273" t="s">
        <v>132</v>
      </c>
      <c r="C28" s="305">
        <f t="shared" si="2"/>
        <v>16768</v>
      </c>
      <c r="D28" s="274">
        <v>130.5</v>
      </c>
      <c r="E28" s="275">
        <v>4411</v>
      </c>
      <c r="F28" s="276">
        <v>303.25</v>
      </c>
      <c r="G28" s="274">
        <v>6276.2</v>
      </c>
      <c r="H28" s="278">
        <v>0</v>
      </c>
      <c r="I28" s="279">
        <v>0</v>
      </c>
      <c r="J28" s="277">
        <v>56.5</v>
      </c>
      <c r="K28" s="280">
        <v>0</v>
      </c>
      <c r="L28" s="279">
        <v>1504.65</v>
      </c>
      <c r="M28" s="277">
        <v>0</v>
      </c>
      <c r="N28" s="280">
        <v>1000</v>
      </c>
      <c r="O28" s="281">
        <v>3085.9</v>
      </c>
    </row>
    <row r="29" spans="1:15" s="272" customFormat="1" ht="14.25">
      <c r="A29" s="284">
        <v>54314</v>
      </c>
      <c r="B29" s="273" t="s">
        <v>133</v>
      </c>
      <c r="C29" s="305">
        <f t="shared" si="2"/>
        <v>24378</v>
      </c>
      <c r="D29" s="274">
        <v>332.5</v>
      </c>
      <c r="E29" s="275">
        <f>55.75+4055+{378.37}</f>
        <v>4489.12</v>
      </c>
      <c r="F29" s="276">
        <v>1466.43</v>
      </c>
      <c r="G29" s="274">
        <v>5800</v>
      </c>
      <c r="H29" s="278">
        <v>0</v>
      </c>
      <c r="I29" s="279">
        <v>5250</v>
      </c>
      <c r="J29" s="277">
        <v>4000</v>
      </c>
      <c r="K29" s="280">
        <v>49.95</v>
      </c>
      <c r="L29" s="279">
        <v>190</v>
      </c>
      <c r="M29" s="277">
        <v>870</v>
      </c>
      <c r="N29" s="280">
        <v>1060</v>
      </c>
      <c r="O29" s="281">
        <v>870</v>
      </c>
    </row>
    <row r="30" spans="1:15" s="272" customFormat="1" ht="14.25">
      <c r="A30" s="284">
        <v>54399</v>
      </c>
      <c r="B30" s="273" t="s">
        <v>135</v>
      </c>
      <c r="C30" s="305">
        <f t="shared" si="2"/>
        <v>0</v>
      </c>
      <c r="D30" s="274">
        <v>0</v>
      </c>
      <c r="E30" s="275">
        <v>0</v>
      </c>
      <c r="F30" s="276">
        <f>+D30*2</f>
        <v>0</v>
      </c>
      <c r="G30" s="274">
        <v>0</v>
      </c>
      <c r="H30" s="278">
        <f>+D30*2</f>
        <v>0</v>
      </c>
      <c r="I30" s="279">
        <v>0</v>
      </c>
      <c r="J30" s="277">
        <v>0</v>
      </c>
      <c r="K30" s="278">
        <f>+G30*2</f>
        <v>0</v>
      </c>
      <c r="L30" s="279">
        <v>0</v>
      </c>
      <c r="M30" s="277">
        <v>0</v>
      </c>
      <c r="N30" s="278">
        <f>+J30*2</f>
        <v>0</v>
      </c>
      <c r="O30" s="279">
        <v>0</v>
      </c>
    </row>
    <row r="31" spans="1:15" s="272" customFormat="1" ht="14.25">
      <c r="A31" s="284">
        <v>54599</v>
      </c>
      <c r="B31" s="273" t="s">
        <v>141</v>
      </c>
      <c r="C31" s="305">
        <f t="shared" si="2"/>
        <v>0</v>
      </c>
      <c r="D31" s="274">
        <v>0</v>
      </c>
      <c r="E31" s="275">
        <v>0</v>
      </c>
      <c r="F31" s="276">
        <f>+D31*2</f>
        <v>0</v>
      </c>
      <c r="G31" s="274">
        <v>0</v>
      </c>
      <c r="H31" s="278">
        <f>+D31*2</f>
        <v>0</v>
      </c>
      <c r="I31" s="279">
        <v>0</v>
      </c>
      <c r="J31" s="277">
        <v>0</v>
      </c>
      <c r="K31" s="278">
        <f>+G31*2</f>
        <v>0</v>
      </c>
      <c r="L31" s="279">
        <v>0</v>
      </c>
      <c r="M31" s="277">
        <v>0</v>
      </c>
      <c r="N31" s="278">
        <f>+J31*2</f>
        <v>0</v>
      </c>
      <c r="O31" s="279">
        <v>0</v>
      </c>
    </row>
    <row r="32" spans="1:15" ht="14.25">
      <c r="B32" s="306" t="s">
        <v>165</v>
      </c>
    </row>
    <row r="33" spans="1:15" s="272" customFormat="1" ht="14.25">
      <c r="A33" s="284">
        <v>54402</v>
      </c>
      <c r="B33" s="273" t="s">
        <v>138</v>
      </c>
      <c r="C33" s="305">
        <f>SUM(D33:O33)</f>
        <v>27475</v>
      </c>
      <c r="D33" s="274">
        <v>367.88</v>
      </c>
      <c r="E33" s="275">
        <v>4279.88</v>
      </c>
      <c r="F33" s="276">
        <v>8884.3700000000008</v>
      </c>
      <c r="G33" s="274"/>
      <c r="H33" s="278"/>
      <c r="I33" s="279">
        <v>8295.09</v>
      </c>
      <c r="J33" s="277"/>
      <c r="K33" s="280">
        <v>0</v>
      </c>
      <c r="L33" s="279">
        <v>1563.9</v>
      </c>
      <c r="M33" s="277">
        <f>436.89+126.5</f>
        <v>563.39</v>
      </c>
      <c r="N33" s="280">
        <v>3520.49</v>
      </c>
      <c r="O33" s="281"/>
    </row>
    <row r="34" spans="1:15" s="272" customFormat="1" ht="14.25">
      <c r="A34" s="284">
        <v>54404</v>
      </c>
      <c r="B34" s="273" t="s">
        <v>139</v>
      </c>
      <c r="C34" s="305">
        <f>SUM(D34:O34)</f>
        <v>33513</v>
      </c>
      <c r="D34" s="274">
        <v>525</v>
      </c>
      <c r="E34" s="275">
        <v>7368</v>
      </c>
      <c r="F34" s="276">
        <v>8575</v>
      </c>
      <c r="G34" s="274"/>
      <c r="H34" s="278">
        <v>8040</v>
      </c>
      <c r="I34" s="279">
        <v>1035</v>
      </c>
      <c r="J34" s="277">
        <v>945</v>
      </c>
      <c r="K34" s="280">
        <v>1095</v>
      </c>
      <c r="L34" s="279">
        <v>165</v>
      </c>
      <c r="M34" s="277">
        <v>1270</v>
      </c>
      <c r="N34" s="280">
        <v>4255</v>
      </c>
      <c r="O34" s="281">
        <v>240</v>
      </c>
    </row>
    <row r="35" spans="1:15" ht="14.25">
      <c r="B35" s="306" t="s">
        <v>81</v>
      </c>
    </row>
    <row r="36" spans="1:15" s="272" customFormat="1" ht="14.25">
      <c r="A36" s="284">
        <v>54116</v>
      </c>
      <c r="B36" s="273" t="s">
        <v>125</v>
      </c>
      <c r="C36" s="305">
        <f>SUM(D36:O36)</f>
        <v>1000</v>
      </c>
      <c r="D36" s="274">
        <v>0</v>
      </c>
      <c r="E36" s="275">
        <v>180</v>
      </c>
      <c r="F36" s="276">
        <v>40</v>
      </c>
      <c r="G36" s="274">
        <v>168</v>
      </c>
      <c r="H36" s="278">
        <f>+D36*2</f>
        <v>0</v>
      </c>
      <c r="I36" s="279">
        <v>0</v>
      </c>
      <c r="J36" s="277">
        <v>20.58</v>
      </c>
      <c r="K36" s="280">
        <v>60</v>
      </c>
      <c r="L36" s="279">
        <v>133.5</v>
      </c>
      <c r="M36" s="277">
        <v>0</v>
      </c>
      <c r="N36" s="280">
        <v>17.5</v>
      </c>
      <c r="O36" s="281">
        <v>380.42</v>
      </c>
    </row>
    <row r="37" spans="1:15" ht="14.25">
      <c r="B37" s="306" t="s">
        <v>82</v>
      </c>
    </row>
    <row r="38" spans="1:15" s="272" customFormat="1" ht="14.25">
      <c r="A38" s="284">
        <v>54599</v>
      </c>
      <c r="B38" s="273" t="s">
        <v>141</v>
      </c>
      <c r="C38" s="305">
        <f>SUM(D38:O38)</f>
        <v>148235</v>
      </c>
      <c r="D38" s="274">
        <v>6613</v>
      </c>
      <c r="E38" s="275">
        <v>5800</v>
      </c>
      <c r="F38" s="276">
        <v>12200</v>
      </c>
      <c r="G38" s="274">
        <v>6600</v>
      </c>
      <c r="H38" s="331">
        <v>6600</v>
      </c>
      <c r="I38" s="279">
        <v>52400</v>
      </c>
      <c r="J38" s="277">
        <v>6600</v>
      </c>
      <c r="K38" s="280"/>
      <c r="L38" s="279">
        <v>27842</v>
      </c>
      <c r="M38" s="277">
        <f>300+9680</f>
        <v>9980</v>
      </c>
      <c r="N38" s="280"/>
      <c r="O38" s="323">
        <v>13600</v>
      </c>
    </row>
    <row r="39" spans="1:15" ht="14.25">
      <c r="B39" s="306" t="s">
        <v>83</v>
      </c>
    </row>
    <row r="40" spans="1:15" s="272" customFormat="1" ht="14.25">
      <c r="A40" s="284">
        <v>54101</v>
      </c>
      <c r="B40" s="273" t="s">
        <v>116</v>
      </c>
      <c r="C40" s="305">
        <f t="shared" ref="C40:C53" si="3">SUM(D40:O40)</f>
        <v>350</v>
      </c>
      <c r="D40" s="274">
        <v>0</v>
      </c>
      <c r="E40" s="275">
        <f>9.03+4.95+46.32</f>
        <v>60.3</v>
      </c>
      <c r="F40" s="276">
        <f>8+77.5</f>
        <v>85.5</v>
      </c>
      <c r="G40" s="274">
        <v>0</v>
      </c>
      <c r="H40" s="278">
        <v>4.25</v>
      </c>
      <c r="I40" s="279">
        <v>76.2</v>
      </c>
      <c r="J40" s="277">
        <v>43.2</v>
      </c>
      <c r="K40" s="280">
        <v>0</v>
      </c>
      <c r="L40" s="279">
        <v>0</v>
      </c>
      <c r="M40" s="277">
        <v>0</v>
      </c>
      <c r="N40" s="280">
        <v>80.55</v>
      </c>
      <c r="O40" s="279">
        <v>0</v>
      </c>
    </row>
    <row r="41" spans="1:15" s="272" customFormat="1" ht="14.25">
      <c r="A41" s="284">
        <v>54103</v>
      </c>
      <c r="B41" s="273" t="s">
        <v>117</v>
      </c>
      <c r="C41" s="305">
        <f t="shared" si="3"/>
        <v>279</v>
      </c>
      <c r="D41" s="274">
        <v>0</v>
      </c>
      <c r="E41" s="275">
        <v>0</v>
      </c>
      <c r="F41" s="276">
        <f>+D41*2</f>
        <v>0</v>
      </c>
      <c r="G41" s="274">
        <v>0</v>
      </c>
      <c r="H41" s="278">
        <v>9</v>
      </c>
      <c r="I41" s="279">
        <v>0</v>
      </c>
      <c r="J41" s="277">
        <v>0</v>
      </c>
      <c r="K41" s="280">
        <v>120</v>
      </c>
      <c r="L41" s="279">
        <v>0</v>
      </c>
      <c r="M41" s="277">
        <v>0</v>
      </c>
      <c r="N41" s="280">
        <v>150</v>
      </c>
      <c r="O41" s="279">
        <v>0</v>
      </c>
    </row>
    <row r="42" spans="1:15" s="272" customFormat="1" ht="14.25">
      <c r="A42" s="284">
        <v>54104</v>
      </c>
      <c r="B42" s="273" t="s">
        <v>118</v>
      </c>
      <c r="C42" s="305">
        <f t="shared" si="3"/>
        <v>1056</v>
      </c>
      <c r="D42" s="274">
        <v>0</v>
      </c>
      <c r="E42" s="275">
        <f>135.6+7.4</f>
        <v>143</v>
      </c>
      <c r="F42" s="276">
        <f>+D42*2</f>
        <v>0</v>
      </c>
      <c r="G42" s="274">
        <v>170.3</v>
      </c>
      <c r="H42" s="278">
        <f>+D42*2</f>
        <v>0</v>
      </c>
      <c r="I42" s="279">
        <v>406.95</v>
      </c>
      <c r="J42" s="277">
        <v>59.45</v>
      </c>
      <c r="K42" s="280">
        <v>0</v>
      </c>
      <c r="L42" s="279">
        <v>10</v>
      </c>
      <c r="M42" s="277">
        <v>24.13</v>
      </c>
      <c r="N42" s="280">
        <v>26.62</v>
      </c>
      <c r="O42" s="281">
        <v>215.55</v>
      </c>
    </row>
    <row r="43" spans="1:15" s="272" customFormat="1" ht="14.25">
      <c r="A43" s="284">
        <v>54106</v>
      </c>
      <c r="B43" s="273" t="s">
        <v>166</v>
      </c>
      <c r="C43" s="305">
        <f t="shared" si="3"/>
        <v>1464</v>
      </c>
      <c r="D43" s="274">
        <v>0</v>
      </c>
      <c r="E43" s="275">
        <v>500</v>
      </c>
      <c r="F43" s="276">
        <f>+D43*2</f>
        <v>0</v>
      </c>
      <c r="G43" s="274">
        <v>0</v>
      </c>
      <c r="H43" s="278">
        <v>150</v>
      </c>
      <c r="I43" s="279">
        <v>0</v>
      </c>
      <c r="J43" s="277">
        <v>0</v>
      </c>
      <c r="K43" s="280">
        <v>0</v>
      </c>
      <c r="L43" s="279">
        <v>793.3</v>
      </c>
      <c r="M43" s="277"/>
      <c r="N43" s="280">
        <v>20.7</v>
      </c>
      <c r="O43" s="281"/>
    </row>
    <row r="44" spans="1:15" s="272" customFormat="1" ht="14.25">
      <c r="A44" s="284">
        <v>54107</v>
      </c>
      <c r="B44" s="273" t="s">
        <v>167</v>
      </c>
      <c r="C44" s="305">
        <f t="shared" si="3"/>
        <v>706</v>
      </c>
      <c r="D44" s="274">
        <v>37.950000000000003</v>
      </c>
      <c r="E44" s="275">
        <v>64.400000000000006</v>
      </c>
      <c r="F44" s="276">
        <v>28</v>
      </c>
      <c r="G44" s="274">
        <v>0</v>
      </c>
      <c r="H44" s="278">
        <v>52</v>
      </c>
      <c r="I44" s="279">
        <v>0</v>
      </c>
      <c r="J44" s="277">
        <v>34</v>
      </c>
      <c r="K44" s="280">
        <v>0</v>
      </c>
      <c r="L44" s="279">
        <v>153.63</v>
      </c>
      <c r="M44" s="277">
        <v>37.020000000000003</v>
      </c>
      <c r="N44" s="280">
        <v>191.03</v>
      </c>
      <c r="O44" s="281">
        <v>107.97</v>
      </c>
    </row>
    <row r="45" spans="1:15" s="272" customFormat="1" ht="14.25">
      <c r="A45" s="284">
        <v>54108</v>
      </c>
      <c r="B45" s="273" t="s">
        <v>120</v>
      </c>
      <c r="C45" s="305">
        <f t="shared" si="3"/>
        <v>52</v>
      </c>
      <c r="D45" s="274">
        <v>0</v>
      </c>
      <c r="E45" s="275">
        <v>12</v>
      </c>
      <c r="F45" s="276">
        <v>24</v>
      </c>
      <c r="G45" s="274">
        <v>0</v>
      </c>
      <c r="H45" s="278">
        <f>+D45*2</f>
        <v>0</v>
      </c>
      <c r="I45" s="279">
        <v>0</v>
      </c>
      <c r="J45" s="277">
        <v>0</v>
      </c>
      <c r="K45" s="280">
        <v>16</v>
      </c>
      <c r="L45" s="279">
        <v>0</v>
      </c>
      <c r="M45" s="277">
        <v>0</v>
      </c>
      <c r="N45" s="280">
        <v>0</v>
      </c>
      <c r="O45" s="279">
        <v>0</v>
      </c>
    </row>
    <row r="46" spans="1:15" s="272" customFormat="1" ht="14.25">
      <c r="A46" s="284">
        <v>54109</v>
      </c>
      <c r="B46" s="273" t="s">
        <v>121</v>
      </c>
      <c r="C46" s="305">
        <f t="shared" si="3"/>
        <v>1094</v>
      </c>
      <c r="D46" s="274">
        <v>0</v>
      </c>
      <c r="E46" s="275">
        <v>797</v>
      </c>
      <c r="F46" s="276">
        <f>+D46*2</f>
        <v>0</v>
      </c>
      <c r="G46" s="274">
        <v>0</v>
      </c>
      <c r="H46" s="278">
        <v>0</v>
      </c>
      <c r="I46" s="279">
        <v>297</v>
      </c>
      <c r="J46" s="277">
        <v>0</v>
      </c>
      <c r="K46" s="280">
        <v>0</v>
      </c>
      <c r="L46" s="279">
        <v>0</v>
      </c>
      <c r="M46" s="277">
        <v>0</v>
      </c>
      <c r="N46" s="280">
        <v>0</v>
      </c>
      <c r="O46" s="281">
        <v>0</v>
      </c>
    </row>
    <row r="47" spans="1:15" s="272" customFormat="1" ht="14.25">
      <c r="A47" s="284">
        <v>54110</v>
      </c>
      <c r="B47" s="273" t="s">
        <v>122</v>
      </c>
      <c r="C47" s="305">
        <f t="shared" si="3"/>
        <v>6821</v>
      </c>
      <c r="D47" s="274">
        <v>0</v>
      </c>
      <c r="E47" s="275"/>
      <c r="F47" s="276">
        <v>1714</v>
      </c>
      <c r="G47" s="274">
        <v>0</v>
      </c>
      <c r="H47" s="278">
        <v>1695</v>
      </c>
      <c r="I47" s="279">
        <v>0</v>
      </c>
      <c r="J47" s="277">
        <v>0</v>
      </c>
      <c r="K47" s="280">
        <v>1695</v>
      </c>
      <c r="L47" s="279">
        <v>2.9</v>
      </c>
      <c r="M47" s="277">
        <v>0</v>
      </c>
      <c r="N47" s="280">
        <v>1714.1</v>
      </c>
      <c r="O47" s="279">
        <v>0</v>
      </c>
    </row>
    <row r="48" spans="1:15" s="272" customFormat="1" ht="14.25">
      <c r="A48" s="284">
        <v>54111</v>
      </c>
      <c r="B48" s="273" t="s">
        <v>180</v>
      </c>
      <c r="C48" s="305">
        <f t="shared" si="3"/>
        <v>215</v>
      </c>
      <c r="D48" s="274">
        <v>0</v>
      </c>
      <c r="E48" s="275">
        <v>0</v>
      </c>
      <c r="F48" s="276">
        <f>+D48*2</f>
        <v>0</v>
      </c>
      <c r="G48" s="274">
        <v>0</v>
      </c>
      <c r="H48" s="280">
        <v>0</v>
      </c>
      <c r="I48" s="279">
        <v>0</v>
      </c>
      <c r="J48" s="277">
        <v>0</v>
      </c>
      <c r="K48" s="280">
        <v>0</v>
      </c>
      <c r="L48" s="279">
        <v>199</v>
      </c>
      <c r="M48" s="277">
        <v>0</v>
      </c>
      <c r="N48" s="280">
        <v>0</v>
      </c>
      <c r="O48" s="281">
        <v>16</v>
      </c>
    </row>
    <row r="49" spans="1:15" s="272" customFormat="1" ht="14.25">
      <c r="A49" s="284">
        <v>54112</v>
      </c>
      <c r="B49" s="273" t="s">
        <v>168</v>
      </c>
      <c r="C49" s="305">
        <f t="shared" si="3"/>
        <v>128</v>
      </c>
      <c r="D49" s="274">
        <v>0</v>
      </c>
      <c r="E49" s="275">
        <v>59</v>
      </c>
      <c r="F49" s="276">
        <v>7.8</v>
      </c>
      <c r="G49" s="274">
        <v>0</v>
      </c>
      <c r="H49" s="280">
        <v>0</v>
      </c>
      <c r="I49" s="279">
        <v>0</v>
      </c>
      <c r="J49" s="277">
        <v>54</v>
      </c>
      <c r="K49" s="280">
        <v>0</v>
      </c>
      <c r="L49" s="279">
        <v>0</v>
      </c>
      <c r="M49" s="277">
        <v>3</v>
      </c>
      <c r="N49" s="280">
        <v>4.2</v>
      </c>
      <c r="O49" s="279">
        <v>0</v>
      </c>
    </row>
    <row r="50" spans="1:15" s="272" customFormat="1" ht="14.25">
      <c r="A50" s="284">
        <v>54115</v>
      </c>
      <c r="B50" s="273" t="s">
        <v>124</v>
      </c>
      <c r="C50" s="305">
        <f t="shared" si="3"/>
        <v>3978</v>
      </c>
      <c r="D50" s="274">
        <v>0</v>
      </c>
      <c r="E50" s="275">
        <v>446.5</v>
      </c>
      <c r="F50" s="276">
        <v>147.5</v>
      </c>
      <c r="G50" s="274">
        <v>0</v>
      </c>
      <c r="H50" s="278">
        <v>54.5</v>
      </c>
      <c r="I50" s="279">
        <v>309.39</v>
      </c>
      <c r="J50" s="277">
        <v>44.74</v>
      </c>
      <c r="K50" s="280">
        <v>240.06</v>
      </c>
      <c r="L50" s="279">
        <v>53.4</v>
      </c>
      <c r="M50" s="277">
        <v>217.7</v>
      </c>
      <c r="N50" s="280">
        <v>1124.47</v>
      </c>
      <c r="O50" s="281">
        <v>1339.74</v>
      </c>
    </row>
    <row r="51" spans="1:15" s="272" customFormat="1" ht="14.25">
      <c r="A51" s="284">
        <v>54118</v>
      </c>
      <c r="B51" s="273" t="s">
        <v>70</v>
      </c>
      <c r="C51" s="305">
        <f t="shared" si="3"/>
        <v>727</v>
      </c>
      <c r="D51" s="274">
        <v>0</v>
      </c>
      <c r="E51" s="275">
        <v>0</v>
      </c>
      <c r="F51" s="276">
        <v>522</v>
      </c>
      <c r="G51" s="274">
        <v>0</v>
      </c>
      <c r="H51" s="280">
        <v>0</v>
      </c>
      <c r="I51" s="279">
        <v>0</v>
      </c>
      <c r="J51" s="277">
        <v>31</v>
      </c>
      <c r="K51" s="280">
        <v>166</v>
      </c>
      <c r="L51" s="279">
        <v>0</v>
      </c>
      <c r="M51" s="277"/>
      <c r="N51" s="280"/>
      <c r="O51" s="281">
        <v>8</v>
      </c>
    </row>
    <row r="52" spans="1:15" s="272" customFormat="1" ht="14.25">
      <c r="A52" s="284">
        <v>54119</v>
      </c>
      <c r="B52" s="273" t="s">
        <v>126</v>
      </c>
      <c r="C52" s="305">
        <f t="shared" si="3"/>
        <v>300</v>
      </c>
      <c r="D52" s="274">
        <v>93</v>
      </c>
      <c r="E52" s="275">
        <v>30</v>
      </c>
      <c r="F52" s="276">
        <v>9.6</v>
      </c>
      <c r="G52" s="274"/>
      <c r="H52" s="278">
        <v>26</v>
      </c>
      <c r="I52" s="279">
        <v>126</v>
      </c>
      <c r="J52" s="277">
        <v>11</v>
      </c>
      <c r="K52" s="280">
        <v>4.4000000000000004</v>
      </c>
      <c r="L52" s="279">
        <v>0</v>
      </c>
      <c r="M52" s="277"/>
      <c r="N52" s="280"/>
      <c r="O52" s="281"/>
    </row>
    <row r="53" spans="1:15" s="272" customFormat="1" ht="14.25">
      <c r="A53" s="284">
        <v>54199</v>
      </c>
      <c r="B53" s="273" t="s">
        <v>127</v>
      </c>
      <c r="C53" s="305">
        <f t="shared" si="3"/>
        <v>3459</v>
      </c>
      <c r="D53" s="274">
        <v>0</v>
      </c>
      <c r="E53" s="275">
        <v>963.5</v>
      </c>
      <c r="F53" s="276">
        <v>113</v>
      </c>
      <c r="G53" s="274">
        <v>16</v>
      </c>
      <c r="H53" s="278">
        <v>113.5</v>
      </c>
      <c r="I53" s="279">
        <v>18.5</v>
      </c>
      <c r="J53" s="277">
        <v>42.5</v>
      </c>
      <c r="K53" s="280">
        <v>85</v>
      </c>
      <c r="L53" s="279">
        <v>169</v>
      </c>
      <c r="M53" s="277">
        <v>516</v>
      </c>
      <c r="N53" s="280">
        <v>91</v>
      </c>
      <c r="O53" s="281">
        <v>1331</v>
      </c>
    </row>
    <row r="54" spans="1:15" s="272" customFormat="1" ht="14.25">
      <c r="A54" s="284"/>
      <c r="B54" s="273"/>
      <c r="C54" s="305"/>
      <c r="D54" s="274"/>
      <c r="E54" s="275"/>
      <c r="F54" s="276"/>
      <c r="G54" s="274"/>
      <c r="H54" s="278"/>
      <c r="I54" s="279"/>
      <c r="J54" s="277"/>
      <c r="K54" s="280"/>
      <c r="L54" s="279"/>
      <c r="M54" s="277"/>
      <c r="N54" s="280"/>
      <c r="O54" s="281"/>
    </row>
    <row r="55" spans="1:15" s="272" customFormat="1" ht="14.25">
      <c r="A55" s="284">
        <v>54204</v>
      </c>
      <c r="B55" s="273" t="s">
        <v>129</v>
      </c>
      <c r="C55" s="305">
        <f>SUM(D55:O55)</f>
        <v>571</v>
      </c>
      <c r="D55" s="274">
        <v>0</v>
      </c>
      <c r="E55" s="275">
        <v>219</v>
      </c>
      <c r="F55" s="276">
        <v>129</v>
      </c>
      <c r="G55" s="274">
        <v>0</v>
      </c>
      <c r="H55" s="280">
        <v>0</v>
      </c>
      <c r="I55" s="279">
        <v>0</v>
      </c>
      <c r="J55" s="277">
        <v>63</v>
      </c>
      <c r="K55" s="280">
        <v>155</v>
      </c>
      <c r="L55" s="279">
        <v>0</v>
      </c>
      <c r="M55" s="277"/>
      <c r="N55" s="280">
        <v>5</v>
      </c>
      <c r="O55" s="281"/>
    </row>
    <row r="56" spans="1:15" s="272" customFormat="1" ht="14.25">
      <c r="A56" s="284"/>
      <c r="B56" s="273"/>
      <c r="C56" s="305"/>
      <c r="D56" s="274"/>
      <c r="E56" s="275"/>
      <c r="F56" s="276"/>
      <c r="G56" s="274"/>
      <c r="H56" s="278"/>
      <c r="I56" s="279"/>
      <c r="J56" s="277"/>
      <c r="K56" s="280"/>
      <c r="L56" s="279"/>
      <c r="M56" s="277"/>
      <c r="N56" s="280"/>
      <c r="O56" s="281"/>
    </row>
    <row r="57" spans="1:15" s="272" customFormat="1" ht="14.25">
      <c r="A57" s="284">
        <v>54301</v>
      </c>
      <c r="B57" s="273" t="s">
        <v>247</v>
      </c>
      <c r="C57" s="305">
        <f>SUM(D57:O57)</f>
        <v>859</v>
      </c>
      <c r="D57" s="274">
        <v>0</v>
      </c>
      <c r="E57" s="275">
        <v>0</v>
      </c>
      <c r="F57" s="276">
        <v>256</v>
      </c>
      <c r="G57" s="274">
        <v>500</v>
      </c>
      <c r="H57" s="278">
        <v>103</v>
      </c>
      <c r="I57" s="279">
        <v>0</v>
      </c>
      <c r="J57" s="277">
        <v>0</v>
      </c>
      <c r="K57" s="280">
        <v>0</v>
      </c>
      <c r="L57" s="279">
        <v>0</v>
      </c>
      <c r="M57" s="277"/>
      <c r="N57" s="280"/>
      <c r="O57" s="281"/>
    </row>
    <row r="58" spans="1:15" s="272" customFormat="1" ht="14.25">
      <c r="A58" s="284">
        <v>54302</v>
      </c>
      <c r="B58" s="273" t="s">
        <v>170</v>
      </c>
      <c r="C58" s="305">
        <f>SUM(D58:O58)</f>
        <v>4004</v>
      </c>
      <c r="D58" s="274">
        <v>687.25</v>
      </c>
      <c r="E58" s="275">
        <v>367.8</v>
      </c>
      <c r="F58" s="276">
        <v>1218.23</v>
      </c>
      <c r="G58" s="274">
        <v>481.38</v>
      </c>
      <c r="H58" s="278">
        <v>246.34</v>
      </c>
      <c r="I58" s="279">
        <v>652</v>
      </c>
      <c r="J58" s="277"/>
      <c r="K58" s="280">
        <v>80</v>
      </c>
      <c r="L58" s="279">
        <v>0</v>
      </c>
      <c r="M58" s="277">
        <v>241</v>
      </c>
      <c r="N58" s="280"/>
      <c r="O58" s="281">
        <v>30</v>
      </c>
    </row>
    <row r="59" spans="1:15" s="272" customFormat="1" ht="14.25">
      <c r="A59" s="284">
        <v>54303</v>
      </c>
      <c r="B59" s="273" t="s">
        <v>171</v>
      </c>
      <c r="C59" s="305">
        <f>SUM(D59:O59)</f>
        <v>0</v>
      </c>
      <c r="D59" s="274">
        <v>0</v>
      </c>
      <c r="E59" s="275">
        <v>0</v>
      </c>
      <c r="F59" s="276">
        <v>0</v>
      </c>
      <c r="G59" s="274">
        <v>0</v>
      </c>
      <c r="H59" s="280">
        <v>0</v>
      </c>
      <c r="I59" s="279">
        <v>0</v>
      </c>
      <c r="J59" s="277">
        <v>0</v>
      </c>
      <c r="K59" s="280">
        <v>0</v>
      </c>
      <c r="L59" s="279">
        <v>0</v>
      </c>
      <c r="M59" s="277"/>
      <c r="N59" s="280"/>
      <c r="O59" s="281"/>
    </row>
    <row r="60" spans="1:15" s="272" customFormat="1" ht="14.25">
      <c r="A60" s="284">
        <v>54304</v>
      </c>
      <c r="B60" s="273" t="s">
        <v>130</v>
      </c>
      <c r="C60" s="305">
        <f>SUM(D60:O60)</f>
        <v>45</v>
      </c>
      <c r="D60" s="274">
        <v>0</v>
      </c>
      <c r="E60" s="275">
        <v>0</v>
      </c>
      <c r="F60" s="276">
        <v>45</v>
      </c>
      <c r="G60" s="274">
        <v>0</v>
      </c>
      <c r="H60" s="280">
        <v>0</v>
      </c>
      <c r="I60" s="279">
        <v>0</v>
      </c>
      <c r="J60" s="277"/>
      <c r="K60" s="280"/>
      <c r="L60" s="279"/>
      <c r="M60" s="277"/>
      <c r="N60" s="280"/>
      <c r="O60" s="281"/>
    </row>
    <row r="61" spans="1:15" s="272" customFormat="1" ht="14.25">
      <c r="A61" s="284">
        <v>54316</v>
      </c>
      <c r="B61" s="273" t="s">
        <v>179</v>
      </c>
      <c r="C61" s="305">
        <f>SUM(D61:O61)</f>
        <v>4702</v>
      </c>
      <c r="D61" s="274">
        <v>0</v>
      </c>
      <c r="E61" s="275">
        <v>135.6</v>
      </c>
      <c r="F61" s="276">
        <v>0</v>
      </c>
      <c r="G61" s="274">
        <v>0</v>
      </c>
      <c r="H61" s="280">
        <v>0</v>
      </c>
      <c r="I61" s="279">
        <v>0</v>
      </c>
      <c r="J61" s="277">
        <v>0</v>
      </c>
      <c r="K61" s="280">
        <v>4248</v>
      </c>
      <c r="L61" s="279">
        <v>0</v>
      </c>
      <c r="M61" s="277"/>
      <c r="N61" s="280">
        <v>318.39999999999998</v>
      </c>
      <c r="O61" s="281"/>
    </row>
    <row r="62" spans="1:15" s="272" customFormat="1" ht="14.25">
      <c r="A62" s="284">
        <v>54399</v>
      </c>
      <c r="B62" s="273" t="s">
        <v>172</v>
      </c>
      <c r="C62" s="305">
        <f>SUM(D62:O64)</f>
        <v>42490.999999999993</v>
      </c>
      <c r="D62" s="274">
        <v>1305.08</v>
      </c>
      <c r="E62" s="275">
        <v>9338.2999999999993</v>
      </c>
      <c r="F62" s="276">
        <v>5118</v>
      </c>
      <c r="G62" s="274">
        <v>250</v>
      </c>
      <c r="H62" s="278">
        <v>301.49</v>
      </c>
      <c r="I62" s="279">
        <v>1901</v>
      </c>
      <c r="J62" s="277">
        <v>150</v>
      </c>
      <c r="K62" s="280">
        <v>8194.5499999999993</v>
      </c>
      <c r="L62" s="279">
        <v>5901</v>
      </c>
      <c r="M62" s="277">
        <v>96.05</v>
      </c>
      <c r="N62" s="280">
        <v>4048.22</v>
      </c>
      <c r="O62" s="281">
        <v>3355.91</v>
      </c>
    </row>
    <row r="63" spans="1:15">
      <c r="B63" s="307" t="s">
        <v>169</v>
      </c>
      <c r="D63" s="318">
        <v>1331.4</v>
      </c>
    </row>
    <row r="64" spans="1:15">
      <c r="B64" s="307" t="s">
        <v>173</v>
      </c>
      <c r="D64" s="318">
        <f>200*4</f>
        <v>800</v>
      </c>
      <c r="E64" s="318">
        <v>400</v>
      </c>
    </row>
    <row r="65" spans="1:17" s="272" customFormat="1" ht="14.25">
      <c r="A65" s="284">
        <v>54401</v>
      </c>
      <c r="B65" s="273" t="s">
        <v>174</v>
      </c>
      <c r="C65" s="305">
        <f>SUM(D65:O65)</f>
        <v>0</v>
      </c>
      <c r="D65" s="274">
        <v>0</v>
      </c>
      <c r="E65" s="275">
        <v>0</v>
      </c>
      <c r="F65" s="276">
        <v>0</v>
      </c>
      <c r="G65" s="274">
        <v>0</v>
      </c>
      <c r="H65" s="280">
        <v>0</v>
      </c>
      <c r="I65" s="279">
        <v>0</v>
      </c>
      <c r="J65" s="277">
        <v>0</v>
      </c>
      <c r="K65" s="280">
        <v>0</v>
      </c>
      <c r="L65" s="279">
        <v>0</v>
      </c>
      <c r="M65" s="277"/>
      <c r="N65" s="280"/>
      <c r="O65" s="281"/>
    </row>
    <row r="66" spans="1:17" s="272" customFormat="1" ht="14.25">
      <c r="A66" s="284">
        <v>54403</v>
      </c>
      <c r="B66" s="273" t="s">
        <v>175</v>
      </c>
      <c r="C66" s="305">
        <f>SUM(D66:O66)</f>
        <v>96</v>
      </c>
      <c r="D66" s="274">
        <v>0</v>
      </c>
      <c r="E66" s="275">
        <v>55</v>
      </c>
      <c r="F66" s="276">
        <v>21</v>
      </c>
      <c r="G66" s="274"/>
      <c r="H66" s="278">
        <v>7</v>
      </c>
      <c r="I66" s="279">
        <v>5</v>
      </c>
      <c r="J66" s="277">
        <v>0</v>
      </c>
      <c r="K66" s="280">
        <v>0</v>
      </c>
      <c r="L66" s="279">
        <v>0</v>
      </c>
      <c r="M66" s="277">
        <v>5</v>
      </c>
      <c r="N66" s="280">
        <v>3</v>
      </c>
      <c r="O66" s="281"/>
    </row>
    <row r="68" spans="1:17" s="272" customFormat="1" ht="14.25">
      <c r="A68" s="284">
        <v>54504</v>
      </c>
      <c r="B68" s="273" t="s">
        <v>136</v>
      </c>
      <c r="C68" s="305">
        <f>SUM(D68:O68)</f>
        <v>2600</v>
      </c>
      <c r="D68" s="274">
        <v>0</v>
      </c>
      <c r="E68" s="275">
        <v>0</v>
      </c>
      <c r="F68" s="276">
        <v>0</v>
      </c>
      <c r="G68" s="274">
        <v>0</v>
      </c>
      <c r="H68" s="280">
        <v>0</v>
      </c>
      <c r="I68" s="279">
        <v>0</v>
      </c>
      <c r="J68" s="277">
        <v>0</v>
      </c>
      <c r="K68" s="280">
        <v>0</v>
      </c>
      <c r="L68" s="279">
        <v>0</v>
      </c>
      <c r="M68" s="277"/>
      <c r="N68" s="280">
        <v>2600</v>
      </c>
      <c r="O68" s="281"/>
    </row>
    <row r="69" spans="1:17" s="272" customFormat="1" ht="14.25">
      <c r="A69" s="284">
        <v>54505</v>
      </c>
      <c r="B69" s="273" t="s">
        <v>140</v>
      </c>
      <c r="C69" s="305">
        <f>SUM(D69:O69)</f>
        <v>2821</v>
      </c>
      <c r="D69" s="274">
        <v>0</v>
      </c>
      <c r="E69" s="275">
        <v>472</v>
      </c>
      <c r="F69" s="276">
        <v>102</v>
      </c>
      <c r="G69" s="274"/>
      <c r="H69" s="278">
        <v>135</v>
      </c>
      <c r="I69" s="279"/>
      <c r="J69" s="277">
        <v>0</v>
      </c>
      <c r="K69" s="280">
        <v>0</v>
      </c>
      <c r="L69" s="279">
        <v>0</v>
      </c>
      <c r="M69" s="277">
        <v>2112</v>
      </c>
      <c r="N69" s="280"/>
      <c r="O69" s="281"/>
    </row>
    <row r="70" spans="1:17" s="272" customFormat="1" ht="14.25">
      <c r="A70" s="284">
        <v>54599</v>
      </c>
      <c r="B70" s="273" t="s">
        <v>141</v>
      </c>
      <c r="C70" s="305">
        <f>SUM(D70:O70)</f>
        <v>0</v>
      </c>
      <c r="D70" s="274">
        <v>0</v>
      </c>
      <c r="E70" s="275">
        <v>0</v>
      </c>
      <c r="F70" s="276">
        <v>0</v>
      </c>
      <c r="G70" s="274">
        <v>0</v>
      </c>
      <c r="H70" s="280">
        <v>0</v>
      </c>
      <c r="I70" s="279">
        <v>0</v>
      </c>
      <c r="J70" s="277">
        <v>0</v>
      </c>
      <c r="K70" s="280">
        <v>0</v>
      </c>
      <c r="L70" s="279">
        <v>0</v>
      </c>
      <c r="M70" s="277"/>
      <c r="N70" s="280"/>
      <c r="O70" s="281"/>
    </row>
    <row r="72" spans="1:17" ht="14.25">
      <c r="B72" s="306" t="s">
        <v>176</v>
      </c>
      <c r="M72" s="272"/>
      <c r="N72" s="265"/>
      <c r="O72" s="272"/>
    </row>
    <row r="73" spans="1:17" s="272" customFormat="1" ht="14.25">
      <c r="A73" s="284">
        <v>54101</v>
      </c>
      <c r="B73" s="273" t="s">
        <v>244</v>
      </c>
      <c r="C73" s="308">
        <f>SUM(D73:O73)</f>
        <v>1256</v>
      </c>
      <c r="D73" s="274">
        <f>39.9+100.7</f>
        <v>140.6</v>
      </c>
      <c r="E73" s="275">
        <v>102.6</v>
      </c>
      <c r="F73" s="276">
        <v>72</v>
      </c>
      <c r="G73" s="274">
        <v>130.4</v>
      </c>
      <c r="H73" s="278">
        <v>75</v>
      </c>
      <c r="I73" s="279">
        <v>75</v>
      </c>
      <c r="J73" s="277">
        <v>113</v>
      </c>
      <c r="K73" s="280">
        <v>108</v>
      </c>
      <c r="L73" s="279">
        <v>95.5</v>
      </c>
      <c r="M73" s="313">
        <v>87.4</v>
      </c>
      <c r="N73" s="313">
        <v>114</v>
      </c>
      <c r="O73" s="313">
        <v>142.5</v>
      </c>
    </row>
    <row r="74" spans="1:17" s="272" customFormat="1" ht="14.25">
      <c r="A74" s="284">
        <v>54103</v>
      </c>
      <c r="B74" s="273" t="s">
        <v>243</v>
      </c>
      <c r="C74" s="308">
        <f>SUM(D74:O74)</f>
        <v>151</v>
      </c>
      <c r="D74" s="274">
        <f>9.5+3</f>
        <v>12.5</v>
      </c>
      <c r="E74" s="275">
        <f>9+8.5</f>
        <v>17.5</v>
      </c>
      <c r="F74" s="276">
        <v>10</v>
      </c>
      <c r="G74" s="274">
        <f>10.5+5+3</f>
        <v>18.5</v>
      </c>
      <c r="H74" s="312">
        <v>12</v>
      </c>
      <c r="I74" s="279">
        <v>8.5</v>
      </c>
      <c r="J74" s="277">
        <v>5</v>
      </c>
      <c r="K74" s="280">
        <f>4.5+9</f>
        <v>13.5</v>
      </c>
      <c r="L74" s="279">
        <v>9.5</v>
      </c>
      <c r="M74" s="277">
        <f>12+7.5</f>
        <v>19.5</v>
      </c>
      <c r="N74" s="280">
        <v>15.5</v>
      </c>
      <c r="O74" s="281">
        <v>9</v>
      </c>
    </row>
    <row r="75" spans="1:17" s="494" customFormat="1" ht="14.25">
      <c r="A75" s="487">
        <v>54201</v>
      </c>
      <c r="B75" s="488" t="s">
        <v>241</v>
      </c>
      <c r="C75" s="489">
        <f>SUM(D75:O75)</f>
        <v>9212</v>
      </c>
      <c r="D75" s="490">
        <v>747.5</v>
      </c>
      <c r="E75" s="491">
        <v>750</v>
      </c>
      <c r="F75" s="492">
        <v>766</v>
      </c>
      <c r="G75" s="490">
        <v>728</v>
      </c>
      <c r="H75" s="491">
        <v>708</v>
      </c>
      <c r="I75" s="492">
        <v>802.5</v>
      </c>
      <c r="J75" s="490">
        <v>792</v>
      </c>
      <c r="K75" s="491">
        <v>776</v>
      </c>
      <c r="L75" s="492">
        <v>690</v>
      </c>
      <c r="M75" s="490">
        <v>743</v>
      </c>
      <c r="N75" s="491">
        <v>863</v>
      </c>
      <c r="O75" s="493">
        <v>846</v>
      </c>
    </row>
    <row r="76" spans="1:17" s="272" customFormat="1" ht="14.25">
      <c r="A76" s="284">
        <v>54202</v>
      </c>
      <c r="B76" s="273" t="s">
        <v>245</v>
      </c>
      <c r="C76" s="308">
        <f>SUM(D76:O76)</f>
        <v>389.00000000000006</v>
      </c>
      <c r="D76" s="274">
        <v>28.6</v>
      </c>
      <c r="E76" s="275">
        <v>41</v>
      </c>
      <c r="F76" s="276">
        <v>37.200000000000003</v>
      </c>
      <c r="G76" s="274">
        <v>28.5</v>
      </c>
      <c r="H76" s="278">
        <v>25.3</v>
      </c>
      <c r="I76" s="279">
        <v>30.8</v>
      </c>
      <c r="J76" s="277">
        <v>22</v>
      </c>
      <c r="K76" s="280">
        <f>44.2+6.2</f>
        <v>50.400000000000006</v>
      </c>
      <c r="L76" s="279">
        <v>25.3</v>
      </c>
      <c r="M76" s="277">
        <v>33</v>
      </c>
      <c r="N76" s="280">
        <v>37.200000000000003</v>
      </c>
      <c r="O76" s="281">
        <v>29.7</v>
      </c>
    </row>
    <row r="77" spans="1:17" s="272" customFormat="1" ht="14.25">
      <c r="A77" s="284">
        <v>54203</v>
      </c>
      <c r="B77" s="273" t="s">
        <v>128</v>
      </c>
      <c r="C77" s="308">
        <f>SUM(D78:O81)</f>
        <v>34398.998999999996</v>
      </c>
      <c r="D77" s="274"/>
      <c r="E77" s="275">
        <f>+D77</f>
        <v>0</v>
      </c>
      <c r="F77" s="276">
        <f>+D77</f>
        <v>0</v>
      </c>
      <c r="G77" s="274">
        <f>+D77</f>
        <v>0</v>
      </c>
      <c r="H77" s="278"/>
      <c r="I77" s="279"/>
      <c r="J77" s="277"/>
      <c r="K77" s="280"/>
      <c r="L77" s="279"/>
      <c r="M77" s="277"/>
      <c r="N77" s="280"/>
      <c r="O77" s="281"/>
    </row>
    <row r="78" spans="1:17" s="309" customFormat="1" ht="12">
      <c r="B78" s="310" t="s">
        <v>238</v>
      </c>
      <c r="D78" s="314">
        <v>1017</v>
      </c>
      <c r="E78" s="275">
        <f>+D78</f>
        <v>1017</v>
      </c>
      <c r="F78" s="276">
        <f>+D78</f>
        <v>1017</v>
      </c>
      <c r="G78" s="274">
        <f>+D78</f>
        <v>1017</v>
      </c>
      <c r="H78" s="312">
        <f>+D78</f>
        <v>1017</v>
      </c>
      <c r="I78" s="276">
        <f>+D78</f>
        <v>1017</v>
      </c>
      <c r="J78" s="274">
        <f>+D78</f>
        <v>1017</v>
      </c>
      <c r="K78" s="275">
        <f>+D78</f>
        <v>1017</v>
      </c>
      <c r="L78" s="276">
        <f>+D78</f>
        <v>1017</v>
      </c>
      <c r="M78" s="274">
        <f>+D78</f>
        <v>1017</v>
      </c>
      <c r="N78" s="275">
        <f>+D78</f>
        <v>1017</v>
      </c>
      <c r="O78" s="315">
        <f>+D78</f>
        <v>1017</v>
      </c>
    </row>
    <row r="79" spans="1:17" s="309" customFormat="1" ht="12">
      <c r="B79" s="310" t="s">
        <v>251</v>
      </c>
      <c r="D79" s="314">
        <v>221.5</v>
      </c>
      <c r="E79" s="275">
        <f>+D79</f>
        <v>221.5</v>
      </c>
      <c r="F79" s="276">
        <f>+D79</f>
        <v>221.5</v>
      </c>
      <c r="G79" s="274">
        <f>+D79</f>
        <v>221.5</v>
      </c>
      <c r="H79" s="312">
        <f>+D79</f>
        <v>221.5</v>
      </c>
      <c r="I79" s="276">
        <f>+D79</f>
        <v>221.5</v>
      </c>
      <c r="J79" s="274">
        <f>+D79</f>
        <v>221.5</v>
      </c>
      <c r="K79" s="275">
        <f>+D79</f>
        <v>221.5</v>
      </c>
      <c r="L79" s="276">
        <f>+D79</f>
        <v>221.5</v>
      </c>
      <c r="M79" s="274">
        <f>+D79</f>
        <v>221.5</v>
      </c>
      <c r="N79" s="275">
        <f>+D79</f>
        <v>221.5</v>
      </c>
      <c r="O79" s="315">
        <f>+D79</f>
        <v>221.5</v>
      </c>
    </row>
    <row r="80" spans="1:17" ht="12">
      <c r="B80" s="310" t="s">
        <v>242</v>
      </c>
      <c r="C80" s="309"/>
      <c r="D80" s="314">
        <v>1899</v>
      </c>
      <c r="E80" s="314">
        <v>2133</v>
      </c>
      <c r="F80" s="314">
        <v>2018</v>
      </c>
      <c r="G80" s="314">
        <v>2029</v>
      </c>
      <c r="H80" s="314">
        <v>1849.499</v>
      </c>
      <c r="I80" s="314">
        <v>1252</v>
      </c>
      <c r="J80" s="314">
        <v>802</v>
      </c>
      <c r="K80" s="314">
        <v>1275</v>
      </c>
      <c r="L80" s="314">
        <v>888.4</v>
      </c>
      <c r="M80" s="314">
        <v>881</v>
      </c>
      <c r="N80" s="314">
        <f>340.5+902</f>
        <v>1242.5</v>
      </c>
      <c r="O80" s="314">
        <v>1143.5999999999999</v>
      </c>
      <c r="P80" s="309"/>
      <c r="Q80" s="309"/>
    </row>
    <row r="81" spans="1:15" s="309" customFormat="1" ht="12">
      <c r="B81" s="310" t="s">
        <v>239</v>
      </c>
      <c r="D81" s="314">
        <v>177</v>
      </c>
      <c r="E81" s="275">
        <f t="shared" ref="E81:E87" si="4">+D81</f>
        <v>177</v>
      </c>
      <c r="F81" s="276">
        <f>+D81</f>
        <v>177</v>
      </c>
      <c r="G81" s="274">
        <f>+D81</f>
        <v>177</v>
      </c>
      <c r="H81" s="312">
        <f>+D81</f>
        <v>177</v>
      </c>
      <c r="I81" s="276">
        <f>+D81</f>
        <v>177</v>
      </c>
      <c r="J81" s="274">
        <f>+D81</f>
        <v>177</v>
      </c>
      <c r="K81" s="275">
        <f>+D81</f>
        <v>177</v>
      </c>
      <c r="L81" s="276">
        <f>+D81</f>
        <v>177</v>
      </c>
      <c r="M81" s="274">
        <f>+D81</f>
        <v>177</v>
      </c>
      <c r="N81" s="275">
        <f>+D81</f>
        <v>177</v>
      </c>
      <c r="O81" s="315">
        <f>+D81</f>
        <v>177</v>
      </c>
    </row>
    <row r="82" spans="1:15" s="494" customFormat="1" ht="14.25">
      <c r="A82" s="487">
        <v>54301</v>
      </c>
      <c r="B82" s="488" t="s">
        <v>236</v>
      </c>
      <c r="C82" s="489">
        <f>SUM(D82:O82)</f>
        <v>8812</v>
      </c>
      <c r="D82" s="490">
        <f>201+450</f>
        <v>651</v>
      </c>
      <c r="E82" s="491">
        <f t="shared" si="4"/>
        <v>651</v>
      </c>
      <c r="F82" s="492">
        <f t="shared" ref="F82:F87" si="5">+D82</f>
        <v>651</v>
      </c>
      <c r="G82" s="490">
        <f>+D82+500</f>
        <v>1151</v>
      </c>
      <c r="H82" s="495">
        <f t="shared" ref="H82:H87" si="6">+D82</f>
        <v>651</v>
      </c>
      <c r="I82" s="492">
        <f t="shared" ref="I82:I87" si="7">+D82</f>
        <v>651</v>
      </c>
      <c r="J82" s="490">
        <f t="shared" ref="J82:J87" si="8">+D82</f>
        <v>651</v>
      </c>
      <c r="K82" s="491">
        <f t="shared" ref="K82:K87" si="9">+D82</f>
        <v>651</v>
      </c>
      <c r="L82" s="492">
        <f t="shared" ref="L82:L87" si="10">+D82</f>
        <v>651</v>
      </c>
      <c r="M82" s="490">
        <f>+D82+500</f>
        <v>1151</v>
      </c>
      <c r="N82" s="491">
        <f t="shared" ref="N82:N87" si="11">+D82</f>
        <v>651</v>
      </c>
      <c r="O82" s="493">
        <f t="shared" ref="O82:O87" si="12">+D82</f>
        <v>651</v>
      </c>
    </row>
    <row r="83" spans="1:15" s="272" customFormat="1" ht="14.25">
      <c r="A83" s="284">
        <v>54307</v>
      </c>
      <c r="B83" s="273" t="s">
        <v>131</v>
      </c>
      <c r="C83" s="308">
        <f>SUM(D83:O83)</f>
        <v>10548</v>
      </c>
      <c r="D83" s="274">
        <v>879</v>
      </c>
      <c r="E83" s="275">
        <f t="shared" si="4"/>
        <v>879</v>
      </c>
      <c r="F83" s="276">
        <f t="shared" si="5"/>
        <v>879</v>
      </c>
      <c r="G83" s="274">
        <f>+D83</f>
        <v>879</v>
      </c>
      <c r="H83" s="312">
        <f t="shared" si="6"/>
        <v>879</v>
      </c>
      <c r="I83" s="276">
        <f t="shared" si="7"/>
        <v>879</v>
      </c>
      <c r="J83" s="274">
        <f t="shared" si="8"/>
        <v>879</v>
      </c>
      <c r="K83" s="275">
        <f t="shared" si="9"/>
        <v>879</v>
      </c>
      <c r="L83" s="276">
        <f t="shared" si="10"/>
        <v>879</v>
      </c>
      <c r="M83" s="274">
        <f>+D83</f>
        <v>879</v>
      </c>
      <c r="N83" s="275">
        <v>879</v>
      </c>
      <c r="O83" s="315">
        <v>879</v>
      </c>
    </row>
    <row r="84" spans="1:15" s="494" customFormat="1" ht="14.25">
      <c r="A84" s="487">
        <v>54317</v>
      </c>
      <c r="B84" s="488" t="s">
        <v>134</v>
      </c>
      <c r="C84" s="489">
        <f>SUM(D84:O85)</f>
        <v>88792.999999999971</v>
      </c>
      <c r="D84" s="490">
        <v>7000</v>
      </c>
      <c r="E84" s="491">
        <f t="shared" si="4"/>
        <v>7000</v>
      </c>
      <c r="F84" s="492">
        <f t="shared" si="5"/>
        <v>7000</v>
      </c>
      <c r="G84" s="490">
        <f>+D84</f>
        <v>7000</v>
      </c>
      <c r="H84" s="495">
        <f t="shared" si="6"/>
        <v>7000</v>
      </c>
      <c r="I84" s="492">
        <f t="shared" si="7"/>
        <v>7000</v>
      </c>
      <c r="J84" s="490">
        <f t="shared" si="8"/>
        <v>7000</v>
      </c>
      <c r="K84" s="491">
        <f t="shared" si="9"/>
        <v>7000</v>
      </c>
      <c r="L84" s="492">
        <f t="shared" si="10"/>
        <v>7000</v>
      </c>
      <c r="M84" s="490">
        <f>+D84</f>
        <v>7000</v>
      </c>
      <c r="N84" s="491">
        <f t="shared" si="11"/>
        <v>7000</v>
      </c>
      <c r="O84" s="493">
        <f t="shared" si="12"/>
        <v>7000</v>
      </c>
    </row>
    <row r="85" spans="1:15" s="309" customFormat="1" ht="12">
      <c r="B85" s="310" t="s">
        <v>237</v>
      </c>
      <c r="D85" s="316">
        <v>399.42</v>
      </c>
      <c r="E85" s="316">
        <f t="shared" si="4"/>
        <v>399.42</v>
      </c>
      <c r="F85" s="316">
        <f t="shared" si="5"/>
        <v>399.42</v>
      </c>
      <c r="G85" s="316">
        <f>+D85</f>
        <v>399.42</v>
      </c>
      <c r="H85" s="316">
        <f t="shared" si="6"/>
        <v>399.42</v>
      </c>
      <c r="I85" s="316">
        <f t="shared" si="7"/>
        <v>399.42</v>
      </c>
      <c r="J85" s="316">
        <f t="shared" si="8"/>
        <v>399.42</v>
      </c>
      <c r="K85" s="316">
        <f t="shared" si="9"/>
        <v>399.42</v>
      </c>
      <c r="L85" s="316">
        <f t="shared" si="10"/>
        <v>399.42</v>
      </c>
      <c r="M85" s="316">
        <f>+D85</f>
        <v>399.42</v>
      </c>
      <c r="N85" s="316">
        <v>399.4</v>
      </c>
      <c r="O85" s="316">
        <v>399.4</v>
      </c>
    </row>
    <row r="86" spans="1:15" s="272" customFormat="1" ht="14.25">
      <c r="A86" s="284">
        <v>54399</v>
      </c>
      <c r="B86" s="273" t="s">
        <v>172</v>
      </c>
      <c r="C86" s="308">
        <f>SUM(D86:O87)</f>
        <v>1986</v>
      </c>
      <c r="D86" s="274">
        <v>30.5</v>
      </c>
      <c r="E86" s="275">
        <f t="shared" si="4"/>
        <v>30.5</v>
      </c>
      <c r="F86" s="276">
        <f t="shared" si="5"/>
        <v>30.5</v>
      </c>
      <c r="G86" s="274">
        <f>+D86</f>
        <v>30.5</v>
      </c>
      <c r="H86" s="312">
        <f t="shared" si="6"/>
        <v>30.5</v>
      </c>
      <c r="I86" s="276">
        <f t="shared" si="7"/>
        <v>30.5</v>
      </c>
      <c r="J86" s="274">
        <f t="shared" si="8"/>
        <v>30.5</v>
      </c>
      <c r="K86" s="275">
        <f t="shared" si="9"/>
        <v>30.5</v>
      </c>
      <c r="L86" s="276">
        <f t="shared" si="10"/>
        <v>30.5</v>
      </c>
      <c r="M86" s="274">
        <f>+D86</f>
        <v>30.5</v>
      </c>
      <c r="N86" s="275">
        <f t="shared" si="11"/>
        <v>30.5</v>
      </c>
      <c r="O86" s="315">
        <f t="shared" si="12"/>
        <v>30.5</v>
      </c>
    </row>
    <row r="87" spans="1:15" s="309" customFormat="1" ht="12">
      <c r="B87" s="310" t="s">
        <v>240</v>
      </c>
      <c r="D87" s="314">
        <v>135</v>
      </c>
      <c r="E87" s="314">
        <f t="shared" si="4"/>
        <v>135</v>
      </c>
      <c r="F87" s="314">
        <f t="shared" si="5"/>
        <v>135</v>
      </c>
      <c r="G87" s="314">
        <f>+D87</f>
        <v>135</v>
      </c>
      <c r="H87" s="314">
        <f t="shared" si="6"/>
        <v>135</v>
      </c>
      <c r="I87" s="314">
        <f t="shared" si="7"/>
        <v>135</v>
      </c>
      <c r="J87" s="314">
        <f t="shared" si="8"/>
        <v>135</v>
      </c>
      <c r="K87" s="314">
        <f t="shared" si="9"/>
        <v>135</v>
      </c>
      <c r="L87" s="314">
        <f t="shared" si="10"/>
        <v>135</v>
      </c>
      <c r="M87" s="314">
        <f>+D87</f>
        <v>135</v>
      </c>
      <c r="N87" s="314">
        <f t="shared" si="11"/>
        <v>135</v>
      </c>
      <c r="O87" s="314">
        <f t="shared" si="12"/>
        <v>135</v>
      </c>
    </row>
    <row r="89" spans="1:15" s="272" customFormat="1" ht="12.75">
      <c r="A89" s="266"/>
      <c r="B89" s="267" t="s">
        <v>142</v>
      </c>
      <c r="C89" s="268">
        <f>SUM(C24:C86)</f>
        <v>536428.99899999995</v>
      </c>
      <c r="D89" s="269">
        <f>SUM(D27:D84)</f>
        <v>24997.260000000002</v>
      </c>
      <c r="E89" s="270">
        <f>SUM(E24:E84)</f>
        <v>54569.329999999994</v>
      </c>
      <c r="F89" s="271">
        <f t="shared" ref="F89:O89" si="13">SUM(F27:F84)</f>
        <v>55146.380000000005</v>
      </c>
      <c r="G89" s="269">
        <f t="shared" si="13"/>
        <v>36039.78</v>
      </c>
      <c r="H89" s="270">
        <f t="shared" si="13"/>
        <v>32550.379000000001</v>
      </c>
      <c r="I89" s="271">
        <f t="shared" si="13"/>
        <v>90446.73</v>
      </c>
      <c r="J89" s="269">
        <f t="shared" si="13"/>
        <v>29107.170000000002</v>
      </c>
      <c r="K89" s="270">
        <f t="shared" si="13"/>
        <v>28377.360000000001</v>
      </c>
      <c r="L89" s="271">
        <f t="shared" si="13"/>
        <v>52049.080000000009</v>
      </c>
      <c r="M89" s="269">
        <f t="shared" si="13"/>
        <v>30761.49</v>
      </c>
      <c r="N89" s="270">
        <f t="shared" si="13"/>
        <v>32732.980000000003</v>
      </c>
      <c r="O89" s="271">
        <f t="shared" si="13"/>
        <v>38431.39</v>
      </c>
    </row>
    <row r="91" spans="1:15" ht="12.75">
      <c r="A91" s="283">
        <v>55</v>
      </c>
      <c r="B91" s="245" t="s">
        <v>143</v>
      </c>
    </row>
    <row r="92" spans="1:15">
      <c r="A92" s="2">
        <v>55507</v>
      </c>
      <c r="B92" s="2" t="s">
        <v>144</v>
      </c>
      <c r="C92" s="2">
        <f t="shared" ref="C92:C98" si="14">SUM(D92:O92)</f>
        <v>0</v>
      </c>
    </row>
    <row r="93" spans="1:15">
      <c r="A93" s="2">
        <v>55508</v>
      </c>
      <c r="B93" s="2" t="s">
        <v>145</v>
      </c>
      <c r="C93" s="2">
        <f t="shared" si="14"/>
        <v>0</v>
      </c>
    </row>
    <row r="94" spans="1:15" s="272" customFormat="1" ht="14.25">
      <c r="A94" s="284">
        <v>55599</v>
      </c>
      <c r="B94" s="273" t="s">
        <v>146</v>
      </c>
      <c r="C94" s="305">
        <f t="shared" si="14"/>
        <v>464</v>
      </c>
      <c r="D94" s="274">
        <v>0</v>
      </c>
      <c r="E94" s="275">
        <v>0</v>
      </c>
      <c r="F94" s="276">
        <v>0</v>
      </c>
      <c r="G94" s="274">
        <v>0</v>
      </c>
      <c r="H94" s="280">
        <v>0</v>
      </c>
      <c r="I94" s="279">
        <v>0</v>
      </c>
      <c r="J94" s="277">
        <v>0</v>
      </c>
      <c r="K94" s="280">
        <v>0</v>
      </c>
      <c r="L94" s="279">
        <v>0</v>
      </c>
      <c r="M94" s="277">
        <v>40</v>
      </c>
      <c r="N94" s="280">
        <v>424</v>
      </c>
      <c r="O94" s="281"/>
    </row>
    <row r="95" spans="1:15" s="272" customFormat="1" ht="14.25">
      <c r="A95" s="284">
        <v>55601</v>
      </c>
      <c r="B95" s="273" t="s">
        <v>147</v>
      </c>
      <c r="C95" s="305">
        <f t="shared" si="14"/>
        <v>40104</v>
      </c>
      <c r="D95" s="274">
        <v>0</v>
      </c>
      <c r="E95" s="275">
        <v>0</v>
      </c>
      <c r="F95" s="276">
        <v>0</v>
      </c>
      <c r="G95" s="274">
        <v>53.6</v>
      </c>
      <c r="H95" s="280">
        <v>0</v>
      </c>
      <c r="I95" s="279">
        <v>38351</v>
      </c>
      <c r="J95" s="277">
        <v>0</v>
      </c>
      <c r="K95" s="280">
        <v>0</v>
      </c>
      <c r="L95" s="279">
        <v>316</v>
      </c>
      <c r="M95" s="277"/>
      <c r="N95" s="280">
        <v>0</v>
      </c>
      <c r="O95" s="281">
        <f>271+1112.4</f>
        <v>1383.4</v>
      </c>
    </row>
    <row r="96" spans="1:15" s="272" customFormat="1" ht="14.25">
      <c r="A96" s="284">
        <v>55602</v>
      </c>
      <c r="B96" s="273" t="s">
        <v>148</v>
      </c>
      <c r="C96" s="305">
        <f t="shared" si="14"/>
        <v>3413</v>
      </c>
      <c r="D96" s="274">
        <v>0</v>
      </c>
      <c r="E96" s="275">
        <v>0</v>
      </c>
      <c r="F96" s="276">
        <v>0</v>
      </c>
      <c r="G96" s="274">
        <v>105.15</v>
      </c>
      <c r="H96" s="280">
        <v>0</v>
      </c>
      <c r="I96" s="279">
        <v>0</v>
      </c>
      <c r="J96" s="277">
        <v>0</v>
      </c>
      <c r="K96" s="280">
        <v>0</v>
      </c>
      <c r="L96" s="279">
        <v>2469.35</v>
      </c>
      <c r="M96" s="277"/>
      <c r="N96" s="280">
        <v>828</v>
      </c>
      <c r="O96" s="281">
        <v>10.5</v>
      </c>
    </row>
    <row r="97" spans="1:15" s="272" customFormat="1" ht="14.25">
      <c r="A97" s="284">
        <v>55603</v>
      </c>
      <c r="B97" s="273" t="s">
        <v>149</v>
      </c>
      <c r="C97" s="305">
        <f t="shared" si="14"/>
        <v>200</v>
      </c>
      <c r="D97" s="274">
        <v>0</v>
      </c>
      <c r="E97" s="275">
        <v>0</v>
      </c>
      <c r="F97" s="276">
        <v>0</v>
      </c>
      <c r="G97" s="274">
        <v>25</v>
      </c>
      <c r="H97" s="280">
        <v>0</v>
      </c>
      <c r="I97" s="279">
        <v>50</v>
      </c>
      <c r="J97" s="277">
        <v>0</v>
      </c>
      <c r="K97" s="280">
        <v>0</v>
      </c>
      <c r="L97" s="279">
        <v>50</v>
      </c>
      <c r="M97" s="277"/>
      <c r="N97" s="280">
        <v>25</v>
      </c>
      <c r="O97" s="281">
        <v>50</v>
      </c>
    </row>
    <row r="98" spans="1:15">
      <c r="A98" s="2">
        <v>55799</v>
      </c>
      <c r="B98" s="2" t="s">
        <v>150</v>
      </c>
      <c r="C98" s="2">
        <f t="shared" si="14"/>
        <v>0</v>
      </c>
    </row>
    <row r="99" spans="1:15" s="272" customFormat="1" ht="12.75">
      <c r="A99" s="266"/>
      <c r="B99" s="267" t="s">
        <v>151</v>
      </c>
      <c r="C99" s="268">
        <f>SUM(C92:C98)</f>
        <v>44181</v>
      </c>
      <c r="D99" s="269"/>
      <c r="E99" s="270">
        <f>SUM(E95:E98)</f>
        <v>0</v>
      </c>
      <c r="F99" s="271">
        <f>SUM(F92:F98)</f>
        <v>0</v>
      </c>
      <c r="G99" s="269">
        <f>SUM(G95:G98)</f>
        <v>183.75</v>
      </c>
      <c r="H99" s="270"/>
      <c r="I99" s="271"/>
      <c r="J99" s="269"/>
      <c r="K99" s="270"/>
      <c r="L99" s="271"/>
      <c r="M99" s="269"/>
      <c r="N99" s="270"/>
      <c r="O99" s="271"/>
    </row>
    <row r="101" spans="1:15" ht="12.75">
      <c r="A101" s="283">
        <v>56</v>
      </c>
      <c r="B101" s="245" t="s">
        <v>152</v>
      </c>
    </row>
    <row r="102" spans="1:15">
      <c r="A102" s="2">
        <v>56301</v>
      </c>
      <c r="B102" s="2" t="s">
        <v>153</v>
      </c>
    </row>
    <row r="103" spans="1:15">
      <c r="A103" s="2">
        <v>56404</v>
      </c>
      <c r="B103" s="2" t="s">
        <v>154</v>
      </c>
    </row>
    <row r="104" spans="1:15" s="272" customFormat="1" ht="12.75">
      <c r="A104" s="266"/>
      <c r="B104" s="267" t="s">
        <v>155</v>
      </c>
      <c r="C104" s="268">
        <f>SUM(C102:C103)</f>
        <v>0</v>
      </c>
      <c r="D104" s="269"/>
      <c r="E104" s="270"/>
      <c r="F104" s="271"/>
      <c r="G104" s="269"/>
      <c r="H104" s="270"/>
      <c r="I104" s="271"/>
      <c r="J104" s="269"/>
      <c r="K104" s="270"/>
      <c r="L104" s="271"/>
      <c r="M104" s="269"/>
      <c r="N104" s="270"/>
      <c r="O104" s="271"/>
    </row>
    <row r="106" spans="1:15" ht="12.75">
      <c r="A106" s="283">
        <v>61</v>
      </c>
      <c r="B106" s="245" t="s">
        <v>156</v>
      </c>
    </row>
    <row r="107" spans="1:15" s="272" customFormat="1" ht="14.25">
      <c r="A107" s="284">
        <v>61101</v>
      </c>
      <c r="B107" s="273" t="s">
        <v>157</v>
      </c>
      <c r="C107" s="305">
        <f>SUM(D107:O107)</f>
        <v>0</v>
      </c>
      <c r="D107" s="274">
        <v>0</v>
      </c>
      <c r="E107" s="275"/>
      <c r="F107" s="276"/>
      <c r="G107" s="274"/>
      <c r="H107" s="278"/>
      <c r="I107" s="279"/>
      <c r="J107" s="277"/>
      <c r="K107" s="280"/>
      <c r="L107" s="279"/>
      <c r="M107" s="277"/>
      <c r="N107" s="280"/>
      <c r="O107" s="281"/>
    </row>
    <row r="108" spans="1:15" s="272" customFormat="1" ht="14.25">
      <c r="A108" s="284">
        <v>61102</v>
      </c>
      <c r="B108" s="273" t="s">
        <v>158</v>
      </c>
      <c r="C108" s="305">
        <f t="shared" ref="C108:C114" si="15">SUM(D108:O108)</f>
        <v>0</v>
      </c>
      <c r="D108" s="274">
        <v>0</v>
      </c>
      <c r="E108" s="275">
        <v>0</v>
      </c>
      <c r="F108" s="276">
        <v>0</v>
      </c>
      <c r="G108" s="274"/>
      <c r="H108" s="278"/>
      <c r="I108" s="279"/>
      <c r="J108" s="277"/>
      <c r="K108" s="280"/>
      <c r="L108" s="279"/>
      <c r="M108" s="277"/>
      <c r="N108" s="280"/>
      <c r="O108" s="281"/>
    </row>
    <row r="109" spans="1:15" s="272" customFormat="1" ht="14.25">
      <c r="A109" s="284">
        <v>61104</v>
      </c>
      <c r="B109" s="273" t="s">
        <v>159</v>
      </c>
      <c r="C109" s="305">
        <f t="shared" si="15"/>
        <v>19390</v>
      </c>
      <c r="D109" s="274">
        <v>0</v>
      </c>
      <c r="E109" s="275">
        <v>0</v>
      </c>
      <c r="F109" s="276">
        <v>0</v>
      </c>
      <c r="G109" s="274">
        <v>19390</v>
      </c>
      <c r="H109" s="278"/>
      <c r="I109" s="279"/>
      <c r="J109" s="277"/>
      <c r="K109" s="280"/>
      <c r="L109" s="279"/>
      <c r="M109" s="277"/>
      <c r="N109" s="280"/>
      <c r="O109" s="281"/>
    </row>
    <row r="110" spans="1:15" s="272" customFormat="1" ht="14.25">
      <c r="A110" s="284">
        <v>61105</v>
      </c>
      <c r="B110" s="273" t="s">
        <v>160</v>
      </c>
      <c r="C110" s="305">
        <f t="shared" si="15"/>
        <v>0</v>
      </c>
      <c r="D110" s="274">
        <v>0</v>
      </c>
      <c r="E110" s="275">
        <v>0</v>
      </c>
      <c r="F110" s="276"/>
      <c r="G110" s="274"/>
      <c r="H110" s="278">
        <v>0</v>
      </c>
      <c r="I110" s="279"/>
      <c r="J110" s="277">
        <v>0</v>
      </c>
      <c r="K110" s="280">
        <v>0</v>
      </c>
      <c r="L110" s="279">
        <v>0</v>
      </c>
      <c r="M110" s="277">
        <v>0</v>
      </c>
      <c r="N110" s="280">
        <v>0</v>
      </c>
      <c r="O110" s="281"/>
    </row>
    <row r="111" spans="1:15" s="272" customFormat="1" ht="14.25">
      <c r="A111" s="284">
        <v>61107</v>
      </c>
      <c r="B111" s="273" t="s">
        <v>161</v>
      </c>
      <c r="C111" s="305">
        <f t="shared" si="15"/>
        <v>0</v>
      </c>
      <c r="D111" s="274">
        <v>0</v>
      </c>
      <c r="E111" s="275"/>
      <c r="F111" s="276"/>
      <c r="G111" s="274"/>
      <c r="H111" s="278"/>
      <c r="I111" s="279"/>
      <c r="J111" s="277"/>
      <c r="K111" s="280"/>
      <c r="L111" s="279"/>
      <c r="M111" s="277"/>
      <c r="N111" s="280"/>
      <c r="O111" s="281"/>
    </row>
    <row r="112" spans="1:15" s="272" customFormat="1" ht="14.25">
      <c r="A112" s="284">
        <v>61199</v>
      </c>
      <c r="B112" s="273" t="s">
        <v>162</v>
      </c>
      <c r="C112" s="305">
        <f t="shared" si="15"/>
        <v>0</v>
      </c>
      <c r="D112" s="274">
        <v>0</v>
      </c>
      <c r="E112" s="275">
        <v>0</v>
      </c>
      <c r="F112" s="276">
        <v>0</v>
      </c>
      <c r="G112" s="274"/>
      <c r="H112" s="278"/>
      <c r="I112" s="279"/>
      <c r="J112" s="277"/>
      <c r="K112" s="280"/>
      <c r="L112" s="279"/>
      <c r="M112" s="277"/>
      <c r="N112" s="280"/>
      <c r="O112" s="281"/>
    </row>
    <row r="113" spans="1:15" s="272" customFormat="1" ht="14.25">
      <c r="A113" s="284">
        <v>61403</v>
      </c>
      <c r="B113" s="273" t="s">
        <v>177</v>
      </c>
      <c r="C113" s="305">
        <f t="shared" si="15"/>
        <v>1341</v>
      </c>
      <c r="D113" s="274">
        <v>0</v>
      </c>
      <c r="E113" s="275">
        <v>0</v>
      </c>
      <c r="F113" s="276"/>
      <c r="G113" s="274">
        <v>1341</v>
      </c>
      <c r="H113" s="278">
        <v>0</v>
      </c>
      <c r="I113" s="279"/>
      <c r="J113" s="277">
        <v>0</v>
      </c>
      <c r="K113" s="280">
        <v>0</v>
      </c>
      <c r="L113" s="279">
        <v>0</v>
      </c>
      <c r="M113" s="277">
        <v>0</v>
      </c>
      <c r="N113" s="280">
        <v>0</v>
      </c>
      <c r="O113" s="281">
        <v>0</v>
      </c>
    </row>
    <row r="114" spans="1:15" s="272" customFormat="1" ht="14.25">
      <c r="A114" s="284">
        <v>61499</v>
      </c>
      <c r="B114" s="273" t="s">
        <v>246</v>
      </c>
      <c r="C114" s="305">
        <f t="shared" si="15"/>
        <v>0</v>
      </c>
      <c r="D114" s="274">
        <v>0</v>
      </c>
      <c r="E114" s="275">
        <v>0</v>
      </c>
      <c r="F114" s="276"/>
      <c r="G114" s="274"/>
      <c r="H114" s="278"/>
      <c r="I114" s="279"/>
      <c r="J114" s="277"/>
      <c r="K114" s="280"/>
      <c r="L114" s="279"/>
      <c r="M114" s="277"/>
      <c r="N114" s="280"/>
      <c r="O114" s="281"/>
    </row>
    <row r="115" spans="1:15" s="272" customFormat="1" ht="12.75">
      <c r="A115" s="285"/>
      <c r="B115" s="267" t="s">
        <v>163</v>
      </c>
      <c r="C115" s="268">
        <f>SUM(C107:C114)</f>
        <v>20731</v>
      </c>
      <c r="D115" s="269">
        <f>SUM(D110:D113)</f>
        <v>0</v>
      </c>
      <c r="E115" s="270">
        <f>SUM(E107:E113)</f>
        <v>0</v>
      </c>
      <c r="F115" s="271">
        <f>SUM(F107:F113)</f>
        <v>0</v>
      </c>
      <c r="G115" s="269">
        <f>SUM(G107:G113)</f>
        <v>20731</v>
      </c>
      <c r="H115" s="270">
        <f t="shared" ref="H115:O115" si="16">SUM(H110:H113)</f>
        <v>0</v>
      </c>
      <c r="I115" s="271">
        <f t="shared" si="16"/>
        <v>0</v>
      </c>
      <c r="J115" s="269">
        <f t="shared" si="16"/>
        <v>0</v>
      </c>
      <c r="K115" s="270">
        <f t="shared" si="16"/>
        <v>0</v>
      </c>
      <c r="L115" s="271">
        <f t="shared" si="16"/>
        <v>0</v>
      </c>
      <c r="M115" s="269">
        <f t="shared" si="16"/>
        <v>0</v>
      </c>
      <c r="N115" s="270">
        <f t="shared" si="16"/>
        <v>0</v>
      </c>
      <c r="O115" s="271">
        <f t="shared" si="16"/>
        <v>0</v>
      </c>
    </row>
    <row r="116" spans="1:15" s="272" customFormat="1" ht="13.5" thickBot="1">
      <c r="A116" s="286"/>
      <c r="B116" s="287"/>
      <c r="C116" s="288"/>
      <c r="D116" s="289"/>
      <c r="E116" s="290"/>
      <c r="F116" s="289"/>
      <c r="G116" s="291"/>
      <c r="H116" s="290"/>
      <c r="I116" s="292"/>
      <c r="J116" s="293"/>
      <c r="K116" s="290"/>
      <c r="L116" s="292"/>
      <c r="M116" s="293"/>
      <c r="N116" s="290"/>
      <c r="O116" s="294"/>
    </row>
    <row r="117" spans="1:15" s="272" customFormat="1" ht="15.75" thickTop="1" thickBot="1">
      <c r="A117" s="507" t="s">
        <v>178</v>
      </c>
      <c r="B117" s="508"/>
      <c r="C117" s="295" t="e">
        <f>C20+C89+C99+C115</f>
        <v>#REF!</v>
      </c>
      <c r="D117" s="296" t="e">
        <f t="shared" ref="D117:O117" si="17">+D20+D89+D99+D104+D115</f>
        <v>#REF!</v>
      </c>
      <c r="E117" s="297" t="e">
        <f t="shared" si="17"/>
        <v>#REF!</v>
      </c>
      <c r="F117" s="296" t="e">
        <f t="shared" si="17"/>
        <v>#REF!</v>
      </c>
      <c r="G117" s="298" t="e">
        <f t="shared" si="17"/>
        <v>#REF!</v>
      </c>
      <c r="H117" s="297" t="e">
        <f t="shared" si="17"/>
        <v>#REF!</v>
      </c>
      <c r="I117" s="299" t="e">
        <f t="shared" si="17"/>
        <v>#REF!</v>
      </c>
      <c r="J117" s="300" t="e">
        <f t="shared" si="17"/>
        <v>#REF!</v>
      </c>
      <c r="K117" s="297" t="e">
        <f t="shared" si="17"/>
        <v>#REF!</v>
      </c>
      <c r="L117" s="299" t="e">
        <f t="shared" si="17"/>
        <v>#REF!</v>
      </c>
      <c r="M117" s="300" t="e">
        <f t="shared" si="17"/>
        <v>#REF!</v>
      </c>
      <c r="N117" s="297" t="e">
        <f t="shared" si="17"/>
        <v>#REF!</v>
      </c>
      <c r="O117" s="301" t="e">
        <f t="shared" si="17"/>
        <v>#REF!</v>
      </c>
    </row>
    <row r="118" spans="1:15" s="272" customFormat="1" ht="13.5" thickTop="1">
      <c r="A118" s="302"/>
      <c r="B118" s="302"/>
      <c r="C118" s="302" t="e">
        <f>1824625-C117</f>
        <v>#REF!</v>
      </c>
      <c r="D118" s="302"/>
      <c r="E118" s="302"/>
      <c r="F118" s="302" t="e">
        <f>SUM(D117:F117)</f>
        <v>#REF!</v>
      </c>
      <c r="G118" s="302"/>
      <c r="H118" s="302"/>
      <c r="I118" s="302" t="e">
        <f>SUM(G117:I117)</f>
        <v>#REF!</v>
      </c>
      <c r="J118" s="302"/>
      <c r="K118" s="302"/>
      <c r="L118" s="302" t="e">
        <f>SUM(J117:L117)</f>
        <v>#REF!</v>
      </c>
      <c r="M118" s="302"/>
      <c r="N118" s="303"/>
      <c r="O118" s="302" t="e">
        <f>SUM(M117:O117)</f>
        <v>#REF!</v>
      </c>
    </row>
    <row r="124" spans="1:15">
      <c r="B124" s="2" t="s">
        <v>164</v>
      </c>
    </row>
    <row r="125" spans="1:15">
      <c r="A125" s="2">
        <v>54101</v>
      </c>
      <c r="B125" s="2" t="s">
        <v>116</v>
      </c>
      <c r="C125" s="2">
        <f>SUM(D125:O125)</f>
        <v>1000</v>
      </c>
      <c r="O125" s="2">
        <v>1000</v>
      </c>
    </row>
    <row r="126" spans="1:15">
      <c r="A126" s="2">
        <v>54105</v>
      </c>
      <c r="B126" s="2" t="s">
        <v>119</v>
      </c>
      <c r="C126" s="2">
        <f>SUM(D126:O126)</f>
        <v>250</v>
      </c>
      <c r="O126" s="2">
        <v>250</v>
      </c>
    </row>
    <row r="127" spans="1:15">
      <c r="A127" s="2">
        <v>54110</v>
      </c>
      <c r="B127" s="2" t="s">
        <v>122</v>
      </c>
      <c r="C127" s="2">
        <f>SUM(D127:O127)</f>
        <v>250</v>
      </c>
      <c r="O127" s="2">
        <v>250</v>
      </c>
    </row>
    <row r="128" spans="1:15">
      <c r="A128" s="2">
        <v>54116</v>
      </c>
      <c r="B128" s="2" t="s">
        <v>125</v>
      </c>
      <c r="C128" s="2">
        <f>SUM(D128:O128)</f>
        <v>900</v>
      </c>
      <c r="O128" s="2">
        <v>900</v>
      </c>
    </row>
    <row r="129" spans="1:15">
      <c r="A129" s="2">
        <v>54199</v>
      </c>
      <c r="B129" s="2" t="s">
        <v>127</v>
      </c>
      <c r="C129" s="2">
        <f>SUM(D129:O129)</f>
        <v>100</v>
      </c>
      <c r="O129" s="2">
        <v>100</v>
      </c>
    </row>
    <row r="130" spans="1:15">
      <c r="C130" s="2">
        <f>SUM(C125:C129)</f>
        <v>2500</v>
      </c>
      <c r="O130" s="2">
        <f>SUM(O125:O129)</f>
        <v>2500</v>
      </c>
    </row>
  </sheetData>
  <mergeCells count="3">
    <mergeCell ref="A117:B117"/>
    <mergeCell ref="A2:O2"/>
    <mergeCell ref="A6:B6"/>
  </mergeCells>
  <phoneticPr fontId="25" type="noConversion"/>
  <pageMargins left="0.39370078740157483" right="0.19685039370078741" top="0.78740157480314965" bottom="0.59055118110236227" header="0" footer="0"/>
  <pageSetup paperSize="137" scale="63" orientation="landscape" r:id="rId1"/>
  <headerFooter alignWithMargins="0"/>
  <rowBreaks count="1" manualBreakCount="1">
    <brk id="5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2:E21"/>
  <sheetViews>
    <sheetView tabSelected="1" workbookViewId="0">
      <selection activeCell="B3" sqref="B3:E21"/>
    </sheetView>
  </sheetViews>
  <sheetFormatPr baseColWidth="10" defaultRowHeight="12.75"/>
  <cols>
    <col min="2" max="2" width="39.5703125" customWidth="1"/>
    <col min="4" max="4" width="12.140625" bestFit="1" customWidth="1"/>
    <col min="5" max="5" width="14.42578125" customWidth="1"/>
  </cols>
  <sheetData>
    <row r="2" spans="2:5" ht="35.25" customHeight="1">
      <c r="B2" s="497" t="s">
        <v>296</v>
      </c>
      <c r="C2" s="498" t="s">
        <v>297</v>
      </c>
      <c r="D2" s="533" t="s">
        <v>301</v>
      </c>
      <c r="E2" s="533"/>
    </row>
    <row r="3" spans="2:5" ht="30" customHeight="1">
      <c r="B3" s="539" t="s">
        <v>294</v>
      </c>
      <c r="C3" s="540">
        <v>1</v>
      </c>
      <c r="D3" s="541">
        <v>5000</v>
      </c>
      <c r="E3" s="541"/>
    </row>
    <row r="4" spans="2:5" ht="30" customHeight="1">
      <c r="B4" s="539" t="s">
        <v>327</v>
      </c>
      <c r="C4" s="540">
        <v>1</v>
      </c>
      <c r="D4" s="541">
        <v>4000</v>
      </c>
      <c r="E4" s="541"/>
    </row>
    <row r="5" spans="2:5" ht="30" customHeight="1">
      <c r="B5" s="539" t="s">
        <v>313</v>
      </c>
      <c r="C5" s="540">
        <v>3</v>
      </c>
      <c r="D5" s="541" t="s">
        <v>306</v>
      </c>
      <c r="E5" s="541"/>
    </row>
    <row r="6" spans="2:5" ht="30" customHeight="1">
      <c r="B6" s="539" t="s">
        <v>298</v>
      </c>
      <c r="C6" s="540">
        <v>6</v>
      </c>
      <c r="D6" s="541" t="s">
        <v>307</v>
      </c>
      <c r="E6" s="541"/>
    </row>
    <row r="7" spans="2:5" ht="30" customHeight="1">
      <c r="B7" s="539" t="s">
        <v>299</v>
      </c>
      <c r="C7" s="540">
        <v>3</v>
      </c>
      <c r="D7" s="542" t="s">
        <v>308</v>
      </c>
      <c r="E7" s="542"/>
    </row>
    <row r="8" spans="2:5" ht="32.25" customHeight="1">
      <c r="B8" s="539" t="s">
        <v>325</v>
      </c>
      <c r="C8" s="540">
        <v>4</v>
      </c>
      <c r="D8" s="543" t="s">
        <v>323</v>
      </c>
      <c r="E8" s="542"/>
    </row>
    <row r="9" spans="2:5" ht="30" customHeight="1">
      <c r="B9" s="539" t="s">
        <v>300</v>
      </c>
      <c r="C9" s="540">
        <v>2</v>
      </c>
      <c r="D9" s="541" t="s">
        <v>309</v>
      </c>
      <c r="E9" s="541"/>
    </row>
    <row r="10" spans="2:5" ht="30" customHeight="1">
      <c r="B10" s="539" t="s">
        <v>303</v>
      </c>
      <c r="C10" s="540">
        <v>4</v>
      </c>
      <c r="D10" s="541" t="s">
        <v>310</v>
      </c>
      <c r="E10" s="541"/>
    </row>
    <row r="11" spans="2:5" ht="30" customHeight="1">
      <c r="B11" s="539" t="s">
        <v>305</v>
      </c>
      <c r="C11" s="540">
        <v>1</v>
      </c>
      <c r="D11" s="544">
        <v>2050</v>
      </c>
      <c r="E11" s="544"/>
    </row>
    <row r="12" spans="2:5" ht="30" customHeight="1">
      <c r="B12" s="539" t="s">
        <v>302</v>
      </c>
      <c r="C12" s="540">
        <v>5</v>
      </c>
      <c r="D12" s="544" t="s">
        <v>311</v>
      </c>
      <c r="E12" s="544"/>
    </row>
    <row r="13" spans="2:5" ht="30" customHeight="1">
      <c r="B13" s="539" t="s">
        <v>293</v>
      </c>
      <c r="C13" s="540">
        <v>1</v>
      </c>
      <c r="D13" s="545">
        <v>1800</v>
      </c>
      <c r="E13" s="545"/>
    </row>
    <row r="14" spans="2:5" ht="30" customHeight="1">
      <c r="B14" s="539" t="s">
        <v>304</v>
      </c>
      <c r="C14" s="540">
        <v>3</v>
      </c>
      <c r="D14" s="541" t="s">
        <v>312</v>
      </c>
      <c r="E14" s="541"/>
    </row>
    <row r="15" spans="2:5" ht="33.75" customHeight="1">
      <c r="B15" s="539" t="s">
        <v>326</v>
      </c>
      <c r="C15" s="540">
        <v>3</v>
      </c>
      <c r="D15" s="546">
        <v>1450</v>
      </c>
      <c r="E15" s="547"/>
    </row>
    <row r="16" spans="2:5" ht="30" customHeight="1">
      <c r="B16" s="539" t="s">
        <v>292</v>
      </c>
      <c r="C16" s="540">
        <v>1</v>
      </c>
      <c r="D16" s="548">
        <v>1300</v>
      </c>
      <c r="E16" s="548"/>
    </row>
    <row r="17" spans="2:5" ht="30" customHeight="1">
      <c r="B17" s="539" t="s">
        <v>295</v>
      </c>
      <c r="C17" s="540">
        <v>1</v>
      </c>
      <c r="D17" s="542">
        <v>1200</v>
      </c>
      <c r="E17" s="542"/>
    </row>
    <row r="18" spans="2:5" ht="30" customHeight="1">
      <c r="B18" s="539" t="s">
        <v>290</v>
      </c>
      <c r="C18" s="540">
        <v>2</v>
      </c>
      <c r="D18" s="548">
        <v>742</v>
      </c>
      <c r="E18" s="548"/>
    </row>
    <row r="19" spans="2:5" ht="30" customHeight="1">
      <c r="B19" s="539" t="s">
        <v>291</v>
      </c>
      <c r="C19" s="540">
        <v>3</v>
      </c>
      <c r="D19" s="542">
        <v>660</v>
      </c>
      <c r="E19" s="542"/>
    </row>
    <row r="20" spans="2:5" ht="38.25" customHeight="1">
      <c r="B20" s="500"/>
      <c r="C20" s="540">
        <f>SUM(C3:C19)</f>
        <v>44</v>
      </c>
      <c r="D20" s="549"/>
      <c r="E20" s="549"/>
    </row>
    <row r="21" spans="2:5" ht="19.5" customHeight="1">
      <c r="B21" s="550" t="s">
        <v>324</v>
      </c>
      <c r="C21" s="551"/>
      <c r="D21" s="551"/>
      <c r="E21" s="552"/>
    </row>
  </sheetData>
  <mergeCells count="20">
    <mergeCell ref="D2:E2"/>
    <mergeCell ref="D5:E5"/>
    <mergeCell ref="D6:E6"/>
    <mergeCell ref="D7:E7"/>
    <mergeCell ref="D9:E9"/>
    <mergeCell ref="D3:E3"/>
    <mergeCell ref="D4:E4"/>
    <mergeCell ref="D16:E16"/>
    <mergeCell ref="D17:E17"/>
    <mergeCell ref="D15:E15"/>
    <mergeCell ref="D8:E8"/>
    <mergeCell ref="B21:E21"/>
    <mergeCell ref="D12:E12"/>
    <mergeCell ref="D10:E10"/>
    <mergeCell ref="D11:E11"/>
    <mergeCell ref="D13:E13"/>
    <mergeCell ref="D14:E14"/>
    <mergeCell ref="D18:E18"/>
    <mergeCell ref="D19:E19"/>
    <mergeCell ref="D20:E20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H21"/>
  <sheetViews>
    <sheetView topLeftCell="A4" workbookViewId="0">
      <selection activeCell="B2" sqref="B2:H20"/>
    </sheetView>
  </sheetViews>
  <sheetFormatPr baseColWidth="10" defaultRowHeight="12.75"/>
  <cols>
    <col min="1" max="1" width="3.42578125" customWidth="1"/>
    <col min="2" max="2" width="6.85546875" customWidth="1"/>
    <col min="3" max="3" width="15.140625" customWidth="1"/>
    <col min="4" max="4" width="16.85546875" customWidth="1"/>
  </cols>
  <sheetData>
    <row r="2" spans="2:8" ht="24.95" customHeight="1">
      <c r="B2" s="534" t="s">
        <v>314</v>
      </c>
      <c r="C2" s="534"/>
      <c r="D2" s="534"/>
      <c r="E2" s="534"/>
      <c r="F2" s="534"/>
      <c r="G2" s="534"/>
      <c r="H2" s="534"/>
    </row>
    <row r="3" spans="2:8" ht="24.95" customHeight="1">
      <c r="B3" s="534" t="s">
        <v>315</v>
      </c>
      <c r="C3" s="534"/>
      <c r="D3" s="534"/>
      <c r="E3" s="534"/>
      <c r="F3" s="534"/>
      <c r="G3" s="534"/>
      <c r="H3" s="534"/>
    </row>
    <row r="4" spans="2:8" ht="24.95" customHeight="1">
      <c r="B4" s="534" t="s">
        <v>316</v>
      </c>
      <c r="C4" s="534"/>
      <c r="D4" s="534"/>
      <c r="E4" s="534"/>
      <c r="F4" s="534"/>
      <c r="G4" s="534"/>
      <c r="H4" s="534"/>
    </row>
    <row r="5" spans="2:8" ht="24.95" customHeight="1">
      <c r="B5" s="536" t="s">
        <v>322</v>
      </c>
      <c r="C5" s="537"/>
      <c r="D5" s="537"/>
      <c r="E5" s="537"/>
      <c r="F5" s="537"/>
      <c r="G5" s="537"/>
      <c r="H5" s="538"/>
    </row>
    <row r="6" spans="2:8" ht="26.25" customHeight="1">
      <c r="B6" s="534" t="s">
        <v>317</v>
      </c>
      <c r="C6" s="534"/>
      <c r="D6" s="534"/>
      <c r="E6" s="534"/>
      <c r="F6" s="534"/>
      <c r="G6" s="534"/>
      <c r="H6" s="534"/>
    </row>
    <row r="7" spans="2:8" ht="26.25" customHeight="1">
      <c r="B7" s="534" t="s">
        <v>321</v>
      </c>
      <c r="C7" s="534"/>
      <c r="D7" s="534"/>
      <c r="E7" s="534"/>
      <c r="F7" s="534"/>
      <c r="G7" s="534"/>
      <c r="H7" s="534"/>
    </row>
    <row r="8" spans="2:8" ht="24.95" customHeight="1">
      <c r="B8" s="499"/>
      <c r="C8" s="535" t="s">
        <v>319</v>
      </c>
      <c r="D8" s="535"/>
      <c r="E8" s="535" t="s">
        <v>318</v>
      </c>
      <c r="F8" s="535"/>
      <c r="G8" s="535" t="s">
        <v>320</v>
      </c>
      <c r="H8" s="535"/>
    </row>
    <row r="9" spans="2:8" ht="24.95" customHeight="1">
      <c r="B9" s="500">
        <v>1</v>
      </c>
      <c r="C9" s="532"/>
      <c r="D9" s="532"/>
      <c r="E9" s="532"/>
      <c r="F9" s="532"/>
      <c r="G9" s="532"/>
      <c r="H9" s="532"/>
    </row>
    <row r="10" spans="2:8" ht="24.95" customHeight="1">
      <c r="B10" s="500">
        <v>2</v>
      </c>
      <c r="C10" s="532"/>
      <c r="D10" s="532"/>
      <c r="E10" s="532"/>
      <c r="F10" s="532"/>
      <c r="G10" s="532"/>
      <c r="H10" s="532"/>
    </row>
    <row r="11" spans="2:8" ht="24.95" customHeight="1">
      <c r="B11" s="500">
        <v>3</v>
      </c>
      <c r="C11" s="532"/>
      <c r="D11" s="532"/>
      <c r="E11" s="532"/>
      <c r="F11" s="532"/>
      <c r="G11" s="532"/>
      <c r="H11" s="532"/>
    </row>
    <row r="12" spans="2:8" ht="24.95" customHeight="1">
      <c r="B12" s="500">
        <v>4</v>
      </c>
      <c r="C12" s="532"/>
      <c r="D12" s="532"/>
      <c r="E12" s="532"/>
      <c r="F12" s="532"/>
      <c r="G12" s="532"/>
      <c r="H12" s="532"/>
    </row>
    <row r="13" spans="2:8" ht="24.95" customHeight="1">
      <c r="B13" s="500">
        <v>5</v>
      </c>
      <c r="C13" s="532"/>
      <c r="D13" s="532"/>
      <c r="E13" s="532"/>
      <c r="F13" s="532"/>
      <c r="G13" s="532"/>
      <c r="H13" s="532"/>
    </row>
    <row r="14" spans="2:8" ht="24.95" customHeight="1">
      <c r="B14" s="500">
        <v>6</v>
      </c>
      <c r="C14" s="532"/>
      <c r="D14" s="532"/>
      <c r="E14" s="532"/>
      <c r="F14" s="532"/>
      <c r="G14" s="532"/>
      <c r="H14" s="532"/>
    </row>
    <row r="15" spans="2:8" ht="24.95" customHeight="1">
      <c r="B15" s="500">
        <v>7</v>
      </c>
      <c r="C15" s="532"/>
      <c r="D15" s="532"/>
      <c r="E15" s="532"/>
      <c r="F15" s="532"/>
      <c r="G15" s="532"/>
      <c r="H15" s="532"/>
    </row>
    <row r="16" spans="2:8" ht="24.95" customHeight="1">
      <c r="B16" s="500">
        <v>8</v>
      </c>
      <c r="C16" s="532"/>
      <c r="D16" s="532"/>
      <c r="E16" s="532"/>
      <c r="F16" s="532"/>
      <c r="G16" s="532"/>
      <c r="H16" s="532"/>
    </row>
    <row r="17" spans="2:8" ht="24.95" customHeight="1">
      <c r="B17" s="500">
        <v>9</v>
      </c>
      <c r="C17" s="532"/>
      <c r="D17" s="532"/>
      <c r="E17" s="532"/>
      <c r="F17" s="532"/>
      <c r="G17" s="532"/>
      <c r="H17" s="532"/>
    </row>
    <row r="18" spans="2:8" ht="24.95" customHeight="1">
      <c r="B18" s="500">
        <v>10</v>
      </c>
      <c r="C18" s="532"/>
      <c r="D18" s="532"/>
      <c r="E18" s="532"/>
      <c r="F18" s="532"/>
      <c r="G18" s="532"/>
      <c r="H18" s="532"/>
    </row>
    <row r="19" spans="2:8" ht="24.95" customHeight="1">
      <c r="B19" s="500">
        <v>11</v>
      </c>
      <c r="C19" s="532"/>
      <c r="D19" s="532"/>
      <c r="E19" s="532"/>
      <c r="F19" s="532"/>
      <c r="G19" s="532"/>
      <c r="H19" s="532"/>
    </row>
    <row r="20" spans="2:8" ht="24.95" customHeight="1">
      <c r="B20" s="500">
        <v>12</v>
      </c>
      <c r="C20" s="532"/>
      <c r="D20" s="532"/>
      <c r="E20" s="532"/>
      <c r="F20" s="532"/>
      <c r="G20" s="532"/>
      <c r="H20" s="532"/>
    </row>
    <row r="21" spans="2:8" ht="24.95" customHeight="1">
      <c r="B21" s="496"/>
      <c r="C21" s="532"/>
      <c r="D21" s="532"/>
      <c r="E21" s="532"/>
      <c r="F21" s="532"/>
      <c r="G21" s="532"/>
      <c r="H21" s="532"/>
    </row>
  </sheetData>
  <mergeCells count="48">
    <mergeCell ref="B2:H2"/>
    <mergeCell ref="B3:H3"/>
    <mergeCell ref="B4:H4"/>
    <mergeCell ref="B6:H6"/>
    <mergeCell ref="C8:D8"/>
    <mergeCell ref="G8:H8"/>
    <mergeCell ref="E8:F8"/>
    <mergeCell ref="B7:H7"/>
    <mergeCell ref="B5:H5"/>
    <mergeCell ref="C12:D12"/>
    <mergeCell ref="E10:F10"/>
    <mergeCell ref="G10:H10"/>
    <mergeCell ref="E11:F11"/>
    <mergeCell ref="G11:H11"/>
    <mergeCell ref="E12:F12"/>
    <mergeCell ref="G12:H12"/>
    <mergeCell ref="C9:D9"/>
    <mergeCell ref="E9:F9"/>
    <mergeCell ref="G9:H9"/>
    <mergeCell ref="C10:D10"/>
    <mergeCell ref="C11:D11"/>
    <mergeCell ref="C15:D15"/>
    <mergeCell ref="C16:D16"/>
    <mergeCell ref="C17:D17"/>
    <mergeCell ref="C18:D18"/>
    <mergeCell ref="G13:H13"/>
    <mergeCell ref="E14:F14"/>
    <mergeCell ref="E15:F15"/>
    <mergeCell ref="E16:F16"/>
    <mergeCell ref="E17:F17"/>
    <mergeCell ref="G15:H15"/>
    <mergeCell ref="G16:H16"/>
    <mergeCell ref="G17:H17"/>
    <mergeCell ref="C14:D14"/>
    <mergeCell ref="G14:H14"/>
    <mergeCell ref="C13:D13"/>
    <mergeCell ref="E13:F13"/>
    <mergeCell ref="C21:D21"/>
    <mergeCell ref="E21:F21"/>
    <mergeCell ref="G21:H21"/>
    <mergeCell ref="G18:H18"/>
    <mergeCell ref="G19:H19"/>
    <mergeCell ref="C20:D20"/>
    <mergeCell ref="E20:F20"/>
    <mergeCell ref="G20:H20"/>
    <mergeCell ref="E18:F18"/>
    <mergeCell ref="C19:D19"/>
    <mergeCell ref="E19:F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Presup Tcho 1.8</vt:lpstr>
      <vt:lpstr>P E P</vt:lpstr>
      <vt:lpstr>AFUP # 2</vt:lpstr>
      <vt:lpstr>Presup x Area</vt:lpstr>
      <vt:lpstr>Mensualizado</vt:lpstr>
      <vt:lpstr>Hoja1</vt:lpstr>
      <vt:lpstr>Hoja2</vt:lpstr>
      <vt:lpstr>'AFUP # 2'!Área_de_impresión</vt:lpstr>
      <vt:lpstr>Mensualizado!Área_de_impresión</vt:lpstr>
      <vt:lpstr>'P E P'!Área_de_impresión</vt:lpstr>
      <vt:lpstr>'Presup Tcho 1.8'!Área_de_impresión</vt:lpstr>
      <vt:lpstr>'Presup x Area'!Área_de_impresión</vt:lpstr>
      <vt:lpstr>Mensualizado!Títulos_a_imprimir</vt:lpstr>
      <vt:lpstr>'P E P'!Títulos_a_imprimir</vt:lpstr>
      <vt:lpstr>'Presup Tcho 1.8'!Títulos_a_imprimir</vt:lpstr>
      <vt:lpstr>'Presup x Area'!Títulos_a_imprimir</vt:lpstr>
    </vt:vector>
  </TitlesOfParts>
  <Company>Superintendencia de Competencia</Company>
  <LinksUpToDate>false</LinksUpToDate>
  <SharedDoc>false</SharedDoc>
  <HyperlinkBase>www.sc.gob.sv</HyperlinkBase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Presupuesto 2008</dc:subject>
  <dc:creator>Julio Picche Ayala</dc:creator>
  <cp:lastModifiedBy>rmarroquin</cp:lastModifiedBy>
  <cp:lastPrinted>2014-11-04T13:43:07Z</cp:lastPrinted>
  <dcterms:created xsi:type="dcterms:W3CDTF">1998-08-31T14:10:15Z</dcterms:created>
  <dcterms:modified xsi:type="dcterms:W3CDTF">2014-12-09T22:24:45Z</dcterms:modified>
  <cp:category>Institucional : Descentralizada</cp:category>
</cp:coreProperties>
</file>