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li.guevara\Documents\UAIP\"/>
    </mc:Choice>
  </mc:AlternateContent>
  <bookViews>
    <workbookView xWindow="0" yWindow="0" windowWidth="20490" windowHeight="7755"/>
  </bookViews>
  <sheets>
    <sheet name="Mayores a $20,000.00 Dic 22" sheetId="48" r:id="rId1"/>
  </sheets>
  <definedNames>
    <definedName name="_xlnm._FilterDatabase" localSheetId="0" hidden="1">'Mayores a $20,000.00 Dic 22'!$B$10:$O$11</definedName>
    <definedName name="_xlnm.Print_Area" localSheetId="0">'Mayores a $20,000.00 Dic 22'!$B$5:$X$40</definedName>
    <definedName name="_xlnm.Print_Titles" localSheetId="0">'Mayores a $20,000.00 Dic 22'!$4:$10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25" i="48" l="1"/>
  <c r="AA24" i="48"/>
  <c r="AA23" i="48"/>
  <c r="AA21" i="48"/>
  <c r="AA20" i="48"/>
  <c r="AA19" i="48"/>
  <c r="X18" i="48" s="1"/>
  <c r="AA18" i="48"/>
  <c r="AA17" i="48"/>
  <c r="AA16" i="48"/>
  <c r="K79" i="48"/>
  <c r="J79" i="48"/>
  <c r="H77" i="48"/>
  <c r="H76" i="48"/>
  <c r="H75" i="48"/>
  <c r="H74" i="48"/>
  <c r="H73" i="48"/>
  <c r="H72" i="48"/>
  <c r="H71" i="48"/>
  <c r="H70" i="48"/>
  <c r="H69" i="48"/>
  <c r="H68" i="48"/>
  <c r="H67" i="48"/>
  <c r="H66" i="48"/>
  <c r="H65" i="48"/>
  <c r="H64" i="48"/>
  <c r="H63" i="48"/>
  <c r="H62" i="48"/>
  <c r="H61" i="48"/>
  <c r="H60" i="48"/>
  <c r="H59" i="48"/>
  <c r="H58" i="48"/>
  <c r="H57" i="48"/>
  <c r="H56" i="48"/>
  <c r="H55" i="48"/>
  <c r="H52" i="48"/>
  <c r="H51" i="48"/>
  <c r="K49" i="48"/>
  <c r="J49" i="48"/>
  <c r="AB28" i="48"/>
  <c r="V28" i="48"/>
  <c r="V30" i="48" s="1"/>
  <c r="X25" i="48"/>
  <c r="H25" i="48"/>
  <c r="AC24" i="48"/>
  <c r="AB23" i="48"/>
  <c r="AA28" i="48" s="1"/>
  <c r="J23" i="48"/>
  <c r="U23" i="48" s="1"/>
  <c r="J22" i="48"/>
  <c r="AB20" i="48"/>
  <c r="AB21" i="48" s="1"/>
  <c r="Z20" i="48"/>
  <c r="AC19" i="48"/>
  <c r="AB19" i="48"/>
  <c r="J19" i="48"/>
  <c r="AG18" i="48"/>
  <c r="W18" i="48"/>
  <c r="U18" i="48"/>
  <c r="U28" i="48" s="1"/>
  <c r="U30" i="48" s="1"/>
  <c r="S18" i="48"/>
  <c r="K18" i="48"/>
  <c r="H18" i="48"/>
  <c r="AD17" i="48"/>
  <c r="X17" i="48"/>
  <c r="X16" i="48"/>
  <c r="AD16" i="48" s="1"/>
  <c r="H16" i="48"/>
  <c r="AE15" i="48"/>
  <c r="AF16" i="48" s="1"/>
  <c r="H15" i="48"/>
  <c r="AE13" i="48"/>
  <c r="W13" i="48"/>
  <c r="V13" i="48"/>
  <c r="U13" i="48"/>
  <c r="S13" i="48"/>
  <c r="K13" i="48"/>
  <c r="J13" i="48"/>
  <c r="AD12" i="48"/>
  <c r="AE12" i="48" s="1"/>
  <c r="AA12" i="48"/>
  <c r="X12" i="48" s="1"/>
  <c r="X13" i="48" s="1"/>
  <c r="AG19" i="48" l="1"/>
  <c r="AD18" i="48"/>
  <c r="K30" i="48"/>
  <c r="K81" i="48" s="1"/>
  <c r="AH18" i="48"/>
  <c r="AB22" i="48"/>
  <c r="S23" i="48"/>
  <c r="S28" i="48" s="1"/>
  <c r="S30" i="48" s="1"/>
  <c r="AB24" i="48"/>
  <c r="Z19" i="48"/>
  <c r="W23" i="48"/>
  <c r="W28" i="48" s="1"/>
  <c r="W30" i="48" s="1"/>
  <c r="Z24" i="48"/>
  <c r="J28" i="48"/>
  <c r="J30" i="48" s="1"/>
  <c r="J81" i="48" s="1"/>
  <c r="X20" i="48"/>
  <c r="AA22" i="48" s="1"/>
  <c r="K23" i="48"/>
  <c r="K28" i="48" s="1"/>
  <c r="X23" i="48"/>
  <c r="AD24" i="48" s="1"/>
  <c r="J31" i="48"/>
  <c r="J32" i="48" s="1"/>
  <c r="X31" i="48" l="1"/>
  <c r="AD21" i="48"/>
  <c r="AC22" i="48"/>
  <c r="X28" i="48"/>
  <c r="X30" i="48" s="1"/>
  <c r="Y30" i="48" s="1"/>
  <c r="X32" i="48" l="1"/>
</calcChain>
</file>

<file path=xl/sharedStrings.xml><?xml version="1.0" encoding="utf-8"?>
<sst xmlns="http://schemas.openxmlformats.org/spreadsheetml/2006/main" count="292" uniqueCount="147">
  <si>
    <t>CORPORACIÓN SALVADOREÑA DE INVERSIONES</t>
  </si>
  <si>
    <t xml:space="preserve">No. </t>
  </si>
  <si>
    <t xml:space="preserve">Código </t>
  </si>
  <si>
    <t>Descripción</t>
  </si>
  <si>
    <t>Año</t>
  </si>
  <si>
    <t>Valor de Compra</t>
  </si>
  <si>
    <t>Bienes</t>
  </si>
  <si>
    <t>Condición del Bien</t>
  </si>
  <si>
    <t>Tipo de Bien</t>
  </si>
  <si>
    <t>A - Mayor</t>
  </si>
  <si>
    <t>Buen Estado</t>
  </si>
  <si>
    <t>Deteriorado</t>
  </si>
  <si>
    <t xml:space="preserve">241-01-001-001-14-A-01243 </t>
  </si>
  <si>
    <t>La Tiendona</t>
  </si>
  <si>
    <t xml:space="preserve">241-01-001-001-12-A-01156 </t>
  </si>
  <si>
    <t>Instalaciones Oficina Central</t>
  </si>
  <si>
    <t>TOTALES</t>
  </si>
  <si>
    <t>Ubicación</t>
  </si>
  <si>
    <t>Edificios</t>
  </si>
  <si>
    <t>LISTADO DE ACTIVOS MAYORES DE $20,000.00</t>
  </si>
  <si>
    <t>Elaborado por: ______________________</t>
  </si>
  <si>
    <t>Revisado por: ______________________</t>
  </si>
  <si>
    <t>EDIFICIO DE FABRICA DE HIELO Y LOCALES DE PESCADO FRESCO.</t>
  </si>
  <si>
    <t>EDIFICIO DE OFICINA CENTRAL CORSAIN.</t>
  </si>
  <si>
    <t>OFICINA CENTRAL</t>
  </si>
  <si>
    <t>DIVISIÓN PUERTO CORSAIN</t>
  </si>
  <si>
    <t>24101001001-32-01</t>
  </si>
  <si>
    <t>24101001001-32-02</t>
  </si>
  <si>
    <t>24101001001-32-03</t>
  </si>
  <si>
    <t>24101001001-32-04</t>
  </si>
  <si>
    <t>24101001001-41-00</t>
  </si>
  <si>
    <t>24101001001-41-01</t>
  </si>
  <si>
    <t>24101001001-42-00</t>
  </si>
  <si>
    <t>24101001001-43-00</t>
  </si>
  <si>
    <t>24101001001-44-00</t>
  </si>
  <si>
    <t>24101001001-44-01</t>
  </si>
  <si>
    <t>24101001001-44-02</t>
  </si>
  <si>
    <t>24101001001-44-03</t>
  </si>
  <si>
    <t>24101001001-44-04</t>
  </si>
  <si>
    <t>24101001001-44-05</t>
  </si>
  <si>
    <t>24101001001-44-02-01</t>
  </si>
  <si>
    <t>24101001001-44-02-04</t>
  </si>
  <si>
    <t>24101001001-32-00</t>
  </si>
  <si>
    <t>24101001001-45-02-08</t>
  </si>
  <si>
    <t>24101001001-45-02-09</t>
  </si>
  <si>
    <t>24113001-44-00-01-2-A-01</t>
  </si>
  <si>
    <t>24113001-45-00-01-2-A-01</t>
  </si>
  <si>
    <t>24117001-32-00-18-3-E-10</t>
  </si>
  <si>
    <t xml:space="preserve">Edificio Residencia # 1 </t>
  </si>
  <si>
    <t>Buen estado</t>
  </si>
  <si>
    <t>Puerto CORSAIN</t>
  </si>
  <si>
    <t>Edificio</t>
  </si>
  <si>
    <t xml:space="preserve">Edificio Residencia # 2 </t>
  </si>
  <si>
    <t xml:space="preserve">Edificio Residencia # 3 </t>
  </si>
  <si>
    <t xml:space="preserve">Edificio Oficina #2 </t>
  </si>
  <si>
    <t xml:space="preserve">Edificio de Taller de Reparacion </t>
  </si>
  <si>
    <t xml:space="preserve">Varadero </t>
  </si>
  <si>
    <t>Estructura para Reparación Naval</t>
  </si>
  <si>
    <t xml:space="preserve">Edificio de Fabrica de Hielo </t>
  </si>
  <si>
    <t xml:space="preserve">Muelle </t>
  </si>
  <si>
    <t>Estructura de Atraque de Barcos</t>
  </si>
  <si>
    <t>Camaras Frigorificas</t>
  </si>
  <si>
    <t>Arrendadas a Calvo Pesca</t>
  </si>
  <si>
    <t>Equipo de Refrigeración</t>
  </si>
  <si>
    <t>Edificio de Capitania</t>
  </si>
  <si>
    <t xml:space="preserve">Edificio Cámara de 90 M³ y Locales Pescado Fresco </t>
  </si>
  <si>
    <t xml:space="preserve">Locales Aperos de Pesca del 1 al 6 (Oficina #3) </t>
  </si>
  <si>
    <t xml:space="preserve">Edificio de Planta para Proceso </t>
  </si>
  <si>
    <t xml:space="preserve">Edificio Bodega #1 de Planta para Proceso </t>
  </si>
  <si>
    <t>Planta de Tratamiento</t>
  </si>
  <si>
    <t>Planta de tratamiento</t>
  </si>
  <si>
    <t>Calles y areas pavimentadas</t>
  </si>
  <si>
    <t>Calles de acceso</t>
  </si>
  <si>
    <t>Pozo, caseta de bombeo y tanques de abastecimiento de agua</t>
  </si>
  <si>
    <t>Pozo para de agua Industrial</t>
  </si>
  <si>
    <t>Saneamiento de aguas pluviales</t>
  </si>
  <si>
    <t>Redes de Distribución de Aguas Pluviales</t>
  </si>
  <si>
    <t>Saneamiento de aguas negras</t>
  </si>
  <si>
    <t>Redes de Distribución de Aguas Negaras</t>
  </si>
  <si>
    <t>Terracería</t>
  </si>
  <si>
    <t>Terraceria</t>
  </si>
  <si>
    <t>Edificio Administrativo (Oficina #1)</t>
  </si>
  <si>
    <t>Cerca Perimetral</t>
  </si>
  <si>
    <t>Cerca para de seguridad en el Puerto CORSAIN</t>
  </si>
  <si>
    <t>Pavimentación de Acceso Interno del PUERTO CORSAIN</t>
  </si>
  <si>
    <t>Arrendado Calvo Pesca</t>
  </si>
  <si>
    <t>Equipos de Refrigeracion</t>
  </si>
  <si>
    <t>Subestación eléctrica</t>
  </si>
  <si>
    <t>Equipo de navegación</t>
  </si>
  <si>
    <t>SUB TOTAL</t>
  </si>
  <si>
    <t>Valor Actual</t>
  </si>
  <si>
    <t>DIFERENCIA</t>
  </si>
  <si>
    <t>SISTEMA PARA CAMARAS FRIGORIFICAS Y COMPRESORES MATAL</t>
  </si>
  <si>
    <t>SISTEMA DE TRASFORMACION Y DISTRIBUCION PRINCIPAL (SUB. PRINCIPAL)</t>
  </si>
  <si>
    <t>REMOLCADOR MODELO 16V71 SERIE 008213-176070 DOS MOTORES DETROIT</t>
  </si>
  <si>
    <t>Nombre del Bien</t>
  </si>
  <si>
    <t>Marca</t>
  </si>
  <si>
    <t>Modelo</t>
  </si>
  <si>
    <t>MATAL</t>
  </si>
  <si>
    <t>S / M</t>
  </si>
  <si>
    <t>SUBESTACIÓN ELÉCTRICA</t>
  </si>
  <si>
    <t>EQUIPOS DE REFRIGERACIÓN</t>
  </si>
  <si>
    <t>EQUIPO DE NAVEGACIÓN</t>
  </si>
  <si>
    <t>16V71</t>
  </si>
  <si>
    <t xml:space="preserve">                           Encargado de Activo Fijo</t>
  </si>
  <si>
    <t>Fecha de Compra</t>
  </si>
  <si>
    <t>Enero</t>
  </si>
  <si>
    <t>OK</t>
  </si>
  <si>
    <t>SUBESTACIÓN DE 300KVA CON 3 TRANSFOR- MADORES DE 100KVA C/U DEL VARADERO</t>
  </si>
  <si>
    <t>VER OK</t>
  </si>
  <si>
    <t>compra</t>
  </si>
  <si>
    <t>SERTRACEN</t>
  </si>
  <si>
    <t>Comentario</t>
  </si>
  <si>
    <t>No existe documento de compra</t>
  </si>
  <si>
    <t>Documentos de compra entregados y detalle en anexo</t>
  </si>
  <si>
    <t>ADICIONES Y MEJORAS</t>
  </si>
  <si>
    <t xml:space="preserve"> </t>
  </si>
  <si>
    <t>OTROS GASTOS</t>
  </si>
  <si>
    <t>22/05/2009
31/10/2016 
25/01/2017
31/03/2017
16/08/2017</t>
  </si>
  <si>
    <t>SUMINISTRO E INSTALACIÓN DE SISTEMA ELÉCTRICO EN OFICINAS CENTRALES.</t>
  </si>
  <si>
    <t>SISTEMA ELÉCTRICO</t>
  </si>
  <si>
    <t>CÓDIGO 001241</t>
  </si>
  <si>
    <t>CÓDIGO 001241-2</t>
  </si>
  <si>
    <t>CÓDIGO 000997 Y 000997-1</t>
  </si>
  <si>
    <t>CÓDIGO 001240 Y 001240-1</t>
  </si>
  <si>
    <t>0001633</t>
  </si>
  <si>
    <t>CÓDIGO</t>
  </si>
  <si>
    <t>000000</t>
  </si>
  <si>
    <t>001026</t>
  </si>
  <si>
    <t>001241</t>
  </si>
  <si>
    <t>001241-2</t>
  </si>
  <si>
    <t>Actualizado al:</t>
  </si>
  <si>
    <t>MEJORAS</t>
  </si>
  <si>
    <t>CÓDIGO 001267 Y 001267-1</t>
  </si>
  <si>
    <t>AGO-SEP/2019 + OCT-DIC/2019</t>
  </si>
  <si>
    <t>OK 31032020</t>
  </si>
  <si>
    <t>Disminución respecto a período anterior</t>
  </si>
  <si>
    <t>REMOLCADOR VIOLETA CON DOS MOTORES CAT.7261 Series 89B733 y 89B721</t>
  </si>
  <si>
    <t>MONTACARGA</t>
  </si>
  <si>
    <t>001471</t>
  </si>
  <si>
    <t>DIESEL DE 3 TONELADAS</t>
  </si>
  <si>
    <t>CPCD30</t>
  </si>
  <si>
    <t>HELI</t>
  </si>
  <si>
    <t>Jefe de Unidad Administrativa</t>
  </si>
  <si>
    <t>PERÍODO INFORMADO: DICIEMBRE 2022</t>
  </si>
  <si>
    <t>31122022 PC</t>
  </si>
  <si>
    <t>OK 31122022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</si>
</sst>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-* #,##0.00\ _€_-;\-* #,##0.00\ _€_-;_-* &quot;-&quot;??\ _€_-;_-@_-"/>
    <numFmt numFmtId="165" formatCode="&quot;$&quot;#,##0.00_);[Red]\(&quot;$&quot;#,##0.00\)"/>
    <numFmt numFmtId="166" formatCode="_(&quot;$&quot;* #,##0.00_);_(&quot;$&quot;* \(#,##0.00\);_(&quot;$&quot;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Baskerville Old Face"/>
      <family val="1"/>
    </font>
    <font>
      <b/>
      <sz val="16"/>
      <color theme="1"/>
      <name val="Baskerville Old Face"/>
      <family val="1"/>
    </font>
    <font>
      <b/>
      <sz val="20"/>
      <color theme="1"/>
      <name val="Baskerville Old Face"/>
      <family val="1"/>
    </font>
    <font>
      <b/>
      <sz val="14"/>
      <color theme="0"/>
      <name val="Baskerville Old Face"/>
      <family val="1"/>
    </font>
    <font>
      <sz val="14"/>
      <color theme="1"/>
      <name val="Baskerville Old Face"/>
      <family val="1"/>
    </font>
    <font>
      <sz val="18"/>
      <color theme="1"/>
      <name val="Baskerville Old Face"/>
      <family val="1"/>
    </font>
    <font>
      <sz val="11"/>
      <color theme="1"/>
      <name val="Calibri"/>
      <family val="2"/>
      <scheme val="minor"/>
    </font>
    <font>
      <sz val="16"/>
      <color theme="1"/>
      <name val="Baskerville Old Face"/>
      <family val="1"/>
    </font>
    <font>
      <sz val="12"/>
      <name val="Helv"/>
    </font>
    <font>
      <b/>
      <sz val="16"/>
      <name val="Baskerville Old Face"/>
      <family val="1"/>
    </font>
    <font>
      <b/>
      <sz val="20"/>
      <color theme="1"/>
      <name val="Bembo Std"/>
      <family val="1"/>
    </font>
    <font>
      <b/>
      <sz val="16"/>
      <color theme="0"/>
      <name val="Museo Sans 300"/>
      <family val="3"/>
    </font>
    <font>
      <sz val="16"/>
      <color theme="1"/>
      <name val="Museo Sans 300"/>
      <family val="3"/>
    </font>
    <font>
      <b/>
      <sz val="20"/>
      <color theme="1"/>
      <name val="Museo Sans 300"/>
      <family val="3"/>
    </font>
    <font>
      <sz val="14"/>
      <color theme="1"/>
      <name val="Museo Sans 300"/>
      <family val="3"/>
    </font>
    <font>
      <b/>
      <sz val="18"/>
      <color theme="1"/>
      <name val="Museo Sans 300"/>
      <family val="3"/>
    </font>
    <font>
      <sz val="11"/>
      <color theme="1"/>
      <name val="Museo Sans 300"/>
      <family val="3"/>
    </font>
    <font>
      <b/>
      <sz val="22"/>
      <color theme="1"/>
      <name val="Museo Sans 300"/>
      <family val="3"/>
    </font>
    <font>
      <sz val="18"/>
      <color theme="1"/>
      <name val="Museo Sans 300"/>
      <family val="3"/>
    </font>
    <font>
      <sz val="20"/>
      <color theme="1"/>
      <name val="Baskerville Old Face"/>
      <family val="1"/>
    </font>
    <font>
      <sz val="22"/>
      <color theme="1"/>
      <name val="Baskerville Old Face"/>
      <family val="1"/>
    </font>
    <font>
      <sz val="22"/>
      <color theme="1"/>
      <name val="Calibri"/>
      <family val="2"/>
      <scheme val="minor"/>
    </font>
    <font>
      <b/>
      <sz val="16"/>
      <name val="Museo Sans 500"/>
      <family val="3"/>
    </font>
    <font>
      <b/>
      <sz val="16"/>
      <color theme="1"/>
      <name val="Museo Sans 100"/>
      <family val="3"/>
    </font>
    <font>
      <b/>
      <sz val="20"/>
      <name val="Baskerville Old Face"/>
      <family val="1"/>
    </font>
    <font>
      <sz val="16"/>
      <color theme="0"/>
      <name val="Museo Sans 300"/>
      <family val="3"/>
    </font>
    <font>
      <sz val="11"/>
      <color theme="0"/>
      <name val="Museo Sans 300"/>
      <family val="3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6" fontId="7" fillId="0" borderId="0" applyFont="0" applyFill="0" applyBorder="0" applyAlignment="0" applyProtection="0"/>
    <xf numFmtId="0" fontId="9" fillId="0" borderId="0"/>
  </cellStyleXfs>
  <cellXfs count="13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/>
    <xf numFmtId="0" fontId="3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/>
    <xf numFmtId="166" fontId="8" fillId="0" borderId="1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6" fontId="1" fillId="0" borderId="0" xfId="0" applyNumberFormat="1" applyFont="1" applyAlignment="1">
      <alignment horizontal="left" vertical="center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8" fillId="0" borderId="0" xfId="0" applyFont="1" applyFill="1"/>
    <xf numFmtId="0" fontId="8" fillId="0" borderId="0" xfId="0" applyFont="1" applyAlignment="1">
      <alignment horizontal="left" vertical="center" wrapText="1"/>
    </xf>
    <xf numFmtId="0" fontId="2" fillId="0" borderId="0" xfId="0" applyFont="1" applyFill="1"/>
    <xf numFmtId="0" fontId="2" fillId="0" borderId="0" xfId="0" applyFont="1" applyAlignment="1">
      <alignment horizontal="center" vertical="center"/>
    </xf>
    <xf numFmtId="164" fontId="8" fillId="0" borderId="0" xfId="0" applyNumberFormat="1" applyFont="1"/>
    <xf numFmtId="0" fontId="8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2" fontId="8" fillId="0" borderId="0" xfId="0" applyNumberFormat="1" applyFont="1"/>
    <xf numFmtId="2" fontId="2" fillId="0" borderId="0" xfId="0" applyNumberFormat="1" applyFont="1" applyFill="1"/>
    <xf numFmtId="164" fontId="6" fillId="0" borderId="0" xfId="0" applyNumberFormat="1" applyFont="1" applyFill="1"/>
    <xf numFmtId="0" fontId="8" fillId="4" borderId="0" xfId="0" applyFont="1" applyFill="1" applyAlignment="1">
      <alignment horizontal="left" vertical="center"/>
    </xf>
    <xf numFmtId="2" fontId="8" fillId="0" borderId="0" xfId="0" applyNumberFormat="1" applyFont="1" applyFill="1"/>
    <xf numFmtId="2" fontId="1" fillId="0" borderId="0" xfId="0" applyNumberFormat="1" applyFont="1"/>
    <xf numFmtId="164" fontId="8" fillId="0" borderId="0" xfId="0" applyNumberFormat="1" applyFont="1" applyFill="1" applyAlignment="1">
      <alignment horizontal="left" vertical="center"/>
    </xf>
    <xf numFmtId="164" fontId="1" fillId="0" borderId="0" xfId="0" applyNumberFormat="1" applyFont="1" applyFill="1"/>
    <xf numFmtId="17" fontId="3" fillId="0" borderId="0" xfId="0" applyNumberFormat="1" applyFont="1" applyAlignment="1">
      <alignment horizontal="center" vertical="center"/>
    </xf>
    <xf numFmtId="49" fontId="10" fillId="0" borderId="1" xfId="2" applyNumberFormat="1" applyFont="1" applyFill="1" applyBorder="1" applyAlignment="1">
      <alignment horizontal="center" vertical="center" wrapText="1"/>
    </xf>
    <xf numFmtId="44" fontId="2" fillId="0" borderId="0" xfId="0" applyNumberFormat="1" applyFont="1" applyFill="1"/>
    <xf numFmtId="44" fontId="8" fillId="0" borderId="0" xfId="0" applyNumberFormat="1" applyFont="1" applyFill="1"/>
    <xf numFmtId="44" fontId="1" fillId="0" borderId="0" xfId="0" applyNumberFormat="1" applyFont="1"/>
    <xf numFmtId="44" fontId="8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0" fillId="0" borderId="1" xfId="2" applyNumberFormat="1" applyFont="1" applyFill="1" applyBorder="1" applyAlignment="1">
      <alignment horizontal="left" vertical="center"/>
    </xf>
    <xf numFmtId="0" fontId="11" fillId="0" borderId="0" xfId="0" applyFont="1" applyAlignment="1"/>
    <xf numFmtId="0" fontId="12" fillId="2" borderId="1" xfId="0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165" fontId="12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justify" vertical="center" wrapText="1"/>
    </xf>
    <xf numFmtId="0" fontId="15" fillId="0" borderId="1" xfId="0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166" fontId="13" fillId="0" borderId="1" xfId="1" applyFont="1" applyFill="1" applyBorder="1" applyAlignment="1">
      <alignment horizontal="left" vertical="center" wrapText="1"/>
    </xf>
    <xf numFmtId="165" fontId="15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166" fontId="16" fillId="0" borderId="1" xfId="1" applyFont="1" applyFill="1" applyBorder="1" applyAlignment="1">
      <alignment horizontal="left" vertical="center" wrapText="1"/>
    </xf>
    <xf numFmtId="0" fontId="13" fillId="0" borderId="1" xfId="0" applyFont="1" applyBorder="1"/>
    <xf numFmtId="165" fontId="15" fillId="0" borderId="1" xfId="0" applyNumberFormat="1" applyFont="1" applyFill="1" applyBorder="1" applyAlignment="1">
      <alignment horizontal="left" vertical="center" wrapText="1"/>
    </xf>
    <xf numFmtId="14" fontId="13" fillId="0" borderId="0" xfId="0" applyNumberFormat="1" applyFont="1" applyFill="1"/>
    <xf numFmtId="166" fontId="13" fillId="0" borderId="0" xfId="0" applyNumberFormat="1" applyFont="1" applyFill="1"/>
    <xf numFmtId="0" fontId="13" fillId="0" borderId="0" xfId="0" applyFont="1" applyFill="1"/>
    <xf numFmtId="166" fontId="13" fillId="0" borderId="7" xfId="1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8" fillId="0" borderId="3" xfId="0" applyFont="1" applyFill="1" applyBorder="1" applyAlignment="1">
      <alignment vertical="center" wrapText="1"/>
    </xf>
    <xf numFmtId="166" fontId="14" fillId="0" borderId="1" xfId="1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4" fontId="13" fillId="0" borderId="0" xfId="0" applyNumberFormat="1" applyFont="1"/>
    <xf numFmtId="0" fontId="17" fillId="0" borderId="0" xfId="0" applyFont="1" applyFill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7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22" fillId="0" borderId="0" xfId="0" applyFont="1"/>
    <xf numFmtId="166" fontId="8" fillId="0" borderId="0" xfId="0" applyNumberFormat="1" applyFont="1" applyAlignment="1">
      <alignment horizontal="left" vertical="center" wrapText="1"/>
    </xf>
    <xf numFmtId="49" fontId="23" fillId="0" borderId="1" xfId="2" applyNumberFormat="1" applyFont="1" applyFill="1" applyBorder="1" applyAlignment="1">
      <alignment horizontal="center" vertical="center" wrapText="1"/>
    </xf>
    <xf numFmtId="0" fontId="24" fillId="0" borderId="0" xfId="0" applyFont="1" applyFill="1"/>
    <xf numFmtId="44" fontId="20" fillId="0" borderId="0" xfId="0" applyNumberFormat="1" applyFont="1" applyFill="1"/>
    <xf numFmtId="166" fontId="21" fillId="0" borderId="0" xfId="0" applyNumberFormat="1" applyFont="1"/>
    <xf numFmtId="49" fontId="25" fillId="0" borderId="1" xfId="2" applyNumberFormat="1" applyFont="1" applyFill="1" applyBorder="1" applyAlignment="1">
      <alignment horizontal="center" vertical="center" wrapText="1"/>
    </xf>
    <xf numFmtId="2" fontId="6" fillId="0" borderId="0" xfId="0" applyNumberFormat="1" applyFont="1" applyFill="1"/>
    <xf numFmtId="166" fontId="20" fillId="4" borderId="0" xfId="0" applyNumberFormat="1" applyFont="1" applyFill="1"/>
    <xf numFmtId="0" fontId="1" fillId="4" borderId="0" xfId="0" applyFont="1" applyFill="1"/>
    <xf numFmtId="44" fontId="8" fillId="0" borderId="0" xfId="0" applyNumberFormat="1" applyFont="1"/>
    <xf numFmtId="165" fontId="15" fillId="0" borderId="7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/>
    <xf numFmtId="164" fontId="26" fillId="0" borderId="0" xfId="0" applyNumberFormat="1" applyFont="1"/>
    <xf numFmtId="164" fontId="27" fillId="0" borderId="0" xfId="0" applyNumberFormat="1" applyFont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6" fillId="0" borderId="0" xfId="0" applyFont="1"/>
    <xf numFmtId="0" fontId="14" fillId="3" borderId="0" xfId="0" applyFont="1" applyFill="1" applyBorder="1" applyAlignment="1">
      <alignment horizontal="left" vertical="center"/>
    </xf>
    <xf numFmtId="165" fontId="15" fillId="0" borderId="7" xfId="0" applyNumberFormat="1" applyFont="1" applyFill="1" applyBorder="1" applyAlignment="1">
      <alignment horizontal="left" vertical="center" wrapText="1"/>
    </xf>
    <xf numFmtId="166" fontId="13" fillId="0" borderId="11" xfId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165" fontId="15" fillId="0" borderId="7" xfId="0" applyNumberFormat="1" applyFont="1" applyFill="1" applyBorder="1" applyAlignment="1">
      <alignment horizontal="left" vertical="center" wrapText="1"/>
    </xf>
    <xf numFmtId="165" fontId="15" fillId="0" borderId="11" xfId="0" applyNumberFormat="1" applyFont="1" applyFill="1" applyBorder="1" applyAlignment="1">
      <alignment horizontal="left" vertical="center" wrapText="1"/>
    </xf>
    <xf numFmtId="166" fontId="13" fillId="0" borderId="7" xfId="1" applyFont="1" applyFill="1" applyBorder="1" applyAlignment="1">
      <alignment horizontal="center" vertical="center" wrapText="1"/>
    </xf>
    <xf numFmtId="166" fontId="13" fillId="0" borderId="11" xfId="1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/>
    </xf>
    <xf numFmtId="165" fontId="15" fillId="0" borderId="12" xfId="0" applyNumberFormat="1" applyFont="1" applyFill="1" applyBorder="1" applyAlignment="1">
      <alignment horizontal="left" vertical="center" wrapText="1"/>
    </xf>
    <xf numFmtId="166" fontId="13" fillId="0" borderId="12" xfId="1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14" fillId="3" borderId="8" xfId="0" applyFont="1" applyFill="1" applyBorder="1" applyAlignment="1">
      <alignment horizontal="left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10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center" vertical="center"/>
    </xf>
    <xf numFmtId="166" fontId="2" fillId="4" borderId="0" xfId="0" applyNumberFormat="1" applyFont="1" applyFill="1"/>
  </cellXfs>
  <cellStyles count="3">
    <cellStyle name="Moneda" xfId="1" builtinId="4"/>
    <cellStyle name="Normal" xfId="0" builtinId="0"/>
    <cellStyle name="Normal_ACTIVO FIJO 200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89647</xdr:colOff>
      <xdr:row>3</xdr:row>
      <xdr:rowOff>59765</xdr:rowOff>
    </xdr:from>
    <xdr:to>
      <xdr:col>4</xdr:col>
      <xdr:colOff>4720</xdr:colOff>
      <xdr:row>7</xdr:row>
      <xdr:rowOff>29883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472" y="507440"/>
          <a:ext cx="2743998" cy="12464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H81"/>
  <sheetViews>
    <sheetView tabSelected="1" topLeftCell="B1" zoomScale="70" zoomScaleNormal="70" zoomScalePageLayoutView="85" workbookViewId="0">
      <pane xSplit="4" ySplit="11" topLeftCell="G14" activePane="bottomRight" state="frozen"/>
      <selection activeCell="B1" sqref="B1:X41"/>
      <selection pane="topRight" activeCell="B1" sqref="B1:X41"/>
      <selection pane="bottomLeft" activeCell="B1" sqref="B1:X41"/>
      <selection pane="bottomRight" activeCell="B14" sqref="B14:U14"/>
    </sheetView>
  </sheetViews>
  <sheetFormatPr baseColWidth="10" defaultColWidth="10.85546875" defaultRowHeight="20.25" x14ac:dyDescent="0.3"/>
  <cols>
    <col min="1" max="1" width="1.85546875" style="1" customWidth="1"/>
    <col min="2" max="2" width="6.42578125" style="21" customWidth="1"/>
    <col min="3" max="3" width="35.7109375" style="23" hidden="1" customWidth="1"/>
    <col min="4" max="4" width="36" style="23" customWidth="1"/>
    <col min="5" max="5" width="66.7109375" style="2" customWidth="1"/>
    <col min="6" max="6" width="21.42578125" style="2" customWidth="1"/>
    <col min="7" max="7" width="21" style="2" customWidth="1"/>
    <col min="8" max="8" width="8.42578125" style="2" hidden="1" customWidth="1"/>
    <col min="9" max="9" width="17.140625" style="17" customWidth="1"/>
    <col min="10" max="10" width="30" style="3" bestFit="1" customWidth="1"/>
    <col min="11" max="11" width="24.42578125" style="3" hidden="1" customWidth="1"/>
    <col min="12" max="12" width="13.140625" style="17" hidden="1" customWidth="1"/>
    <col min="13" max="13" width="17" style="17" hidden="1" customWidth="1"/>
    <col min="14" max="14" width="24.42578125" style="3" hidden="1" customWidth="1"/>
    <col min="15" max="15" width="25.7109375" style="3" hidden="1" customWidth="1"/>
    <col min="16" max="16" width="11.42578125" style="1" hidden="1" customWidth="1"/>
    <col min="17" max="17" width="15.85546875" style="26" hidden="1" customWidth="1"/>
    <col min="18" max="18" width="11.42578125" style="26" hidden="1" customWidth="1"/>
    <col min="19" max="19" width="24.28515625" style="26" hidden="1" customWidth="1"/>
    <col min="20" max="20" width="11.42578125" style="26" hidden="1" customWidth="1"/>
    <col min="21" max="23" width="24.28515625" style="26" hidden="1" customWidth="1"/>
    <col min="24" max="24" width="28.140625" style="26" bestFit="1" customWidth="1"/>
    <col min="25" max="25" width="24" style="26" hidden="1" customWidth="1"/>
    <col min="26" max="26" width="45.140625" style="26" hidden="1" customWidth="1"/>
    <col min="27" max="27" width="29.140625" style="1" hidden="1" customWidth="1"/>
    <col min="28" max="28" width="29.5703125" style="1" hidden="1" customWidth="1"/>
    <col min="29" max="29" width="20.140625" style="1" hidden="1" customWidth="1"/>
    <col min="30" max="30" width="24.7109375" style="1" hidden="1" customWidth="1"/>
    <col min="31" max="31" width="16.85546875" style="1" hidden="1" customWidth="1"/>
    <col min="32" max="32" width="15" style="1" hidden="1" customWidth="1"/>
    <col min="33" max="33" width="26.28515625" style="1" hidden="1" customWidth="1"/>
    <col min="34" max="35" width="0" style="1" hidden="1" customWidth="1"/>
    <col min="36" max="16384" width="10.85546875" style="1"/>
  </cols>
  <sheetData>
    <row r="1" spans="1:33" ht="5.25" customHeight="1" x14ac:dyDescent="0.25">
      <c r="Q1" s="1"/>
      <c r="R1" s="1"/>
      <c r="S1" s="1"/>
      <c r="T1" s="1"/>
      <c r="U1" s="1"/>
      <c r="V1" s="1"/>
      <c r="W1" s="1"/>
      <c r="X1" s="1"/>
      <c r="Y1" s="1"/>
      <c r="Z1" s="1"/>
    </row>
    <row r="2" spans="1:33" ht="15" customHeight="1" x14ac:dyDescent="0.25">
      <c r="Q2" s="1"/>
      <c r="R2" s="1"/>
      <c r="S2" s="1"/>
      <c r="T2" s="1"/>
      <c r="U2" s="1"/>
      <c r="V2" s="1"/>
      <c r="W2" s="1"/>
      <c r="X2" s="1"/>
      <c r="Y2" s="1"/>
      <c r="Z2" s="1"/>
    </row>
    <row r="3" spans="1:33" ht="15" customHeight="1" x14ac:dyDescent="0.25">
      <c r="Q3" s="1"/>
      <c r="R3" s="1"/>
      <c r="S3" s="1"/>
      <c r="T3" s="1"/>
      <c r="U3" s="1"/>
      <c r="V3" s="1"/>
      <c r="W3" s="1"/>
      <c r="X3" s="1"/>
      <c r="Y3" s="1"/>
      <c r="Z3" s="1"/>
    </row>
    <row r="4" spans="1:33" ht="21.75" customHeight="1" x14ac:dyDescent="0.25">
      <c r="Q4" s="1"/>
      <c r="R4" s="1"/>
      <c r="S4" s="1"/>
      <c r="T4" s="1"/>
      <c r="U4" s="1"/>
      <c r="V4" s="1"/>
      <c r="W4" s="1"/>
      <c r="X4" s="1"/>
      <c r="Y4" s="1"/>
      <c r="Z4" s="1"/>
    </row>
    <row r="5" spans="1:33" ht="26.25" x14ac:dyDescent="0.4">
      <c r="B5" s="21" t="s">
        <v>116</v>
      </c>
      <c r="C5" s="18"/>
      <c r="D5" s="18"/>
      <c r="E5" s="52" t="s">
        <v>0</v>
      </c>
      <c r="F5" s="5"/>
      <c r="G5" s="5"/>
      <c r="H5" s="4"/>
      <c r="I5" s="18"/>
      <c r="J5" s="4"/>
      <c r="K5" s="4"/>
      <c r="L5" s="21"/>
      <c r="M5" s="18"/>
      <c r="N5" s="6"/>
      <c r="O5" s="7"/>
      <c r="Q5" s="1"/>
      <c r="R5" s="1"/>
      <c r="S5" s="1"/>
      <c r="T5" s="1"/>
      <c r="U5" s="1"/>
      <c r="V5" s="1"/>
      <c r="W5" s="1"/>
      <c r="X5" s="1"/>
      <c r="Y5" s="27"/>
      <c r="Z5" s="1"/>
    </row>
    <row r="6" spans="1:33" ht="26.25" x14ac:dyDescent="0.4">
      <c r="C6" s="18"/>
      <c r="D6" s="18"/>
      <c r="E6" s="52" t="s">
        <v>19</v>
      </c>
      <c r="F6" s="5"/>
      <c r="G6" s="5"/>
      <c r="H6" s="4"/>
      <c r="I6" s="18"/>
      <c r="J6" s="4"/>
      <c r="K6" s="4"/>
      <c r="L6" s="21"/>
      <c r="M6" s="18"/>
      <c r="N6" s="6"/>
      <c r="O6" s="7"/>
      <c r="Q6" s="1"/>
      <c r="R6" s="1"/>
      <c r="S6" s="1"/>
      <c r="T6" s="1"/>
      <c r="U6" s="1"/>
      <c r="V6" s="1"/>
      <c r="W6" s="1"/>
      <c r="X6" s="1"/>
      <c r="Y6" s="27"/>
      <c r="Z6" s="1"/>
    </row>
    <row r="7" spans="1:33" ht="26.25" x14ac:dyDescent="0.4">
      <c r="C7" s="18"/>
      <c r="D7" s="18"/>
      <c r="E7" s="52" t="s">
        <v>144</v>
      </c>
      <c r="F7" s="5"/>
      <c r="G7" s="5"/>
      <c r="H7" s="4"/>
      <c r="I7" s="18"/>
      <c r="J7" s="4"/>
      <c r="K7" s="4"/>
      <c r="M7" s="20"/>
      <c r="O7" s="7"/>
      <c r="Q7" s="1"/>
      <c r="R7" s="1"/>
      <c r="S7" s="1"/>
      <c r="T7" s="1"/>
      <c r="U7" s="1"/>
      <c r="V7" s="1"/>
      <c r="W7" s="1"/>
      <c r="X7" s="1"/>
      <c r="Y7" s="50" t="s">
        <v>131</v>
      </c>
      <c r="Z7" s="1"/>
    </row>
    <row r="8" spans="1:33" ht="26.25" x14ac:dyDescent="0.25">
      <c r="K8" s="43">
        <v>42370</v>
      </c>
      <c r="L8" s="20"/>
      <c r="M8" s="20"/>
      <c r="O8" s="7"/>
      <c r="Q8" s="27" t="s">
        <v>106</v>
      </c>
      <c r="R8" s="1"/>
      <c r="S8" s="43">
        <v>42461</v>
      </c>
      <c r="T8" s="1"/>
      <c r="U8" s="27"/>
      <c r="V8" s="43">
        <v>42644</v>
      </c>
      <c r="W8" s="43">
        <v>42705</v>
      </c>
      <c r="X8" s="27"/>
      <c r="Y8" s="50" t="s">
        <v>145</v>
      </c>
      <c r="Z8" s="1"/>
    </row>
    <row r="9" spans="1:33" ht="26.25" hidden="1" x14ac:dyDescent="0.25">
      <c r="K9" s="27">
        <v>2016</v>
      </c>
      <c r="L9" s="20"/>
      <c r="M9" s="20"/>
      <c r="O9" s="7"/>
      <c r="P9" s="27"/>
      <c r="Q9" s="27">
        <v>2016</v>
      </c>
      <c r="R9" s="27"/>
      <c r="S9" s="27">
        <v>2016</v>
      </c>
      <c r="T9" s="27"/>
      <c r="U9" s="27">
        <v>2016</v>
      </c>
      <c r="V9" s="27">
        <v>2016</v>
      </c>
      <c r="W9" s="27">
        <v>2016</v>
      </c>
      <c r="X9" s="27">
        <v>2016</v>
      </c>
      <c r="Y9" s="1"/>
      <c r="Z9" s="1"/>
    </row>
    <row r="10" spans="1:33" s="8" customFormat="1" ht="40.5" x14ac:dyDescent="0.3">
      <c r="B10" s="53" t="s">
        <v>1</v>
      </c>
      <c r="C10" s="53" t="s">
        <v>2</v>
      </c>
      <c r="D10" s="53" t="s">
        <v>95</v>
      </c>
      <c r="E10" s="53" t="s">
        <v>3</v>
      </c>
      <c r="F10" s="53" t="s">
        <v>96</v>
      </c>
      <c r="G10" s="53" t="s">
        <v>97</v>
      </c>
      <c r="H10" s="53" t="s">
        <v>4</v>
      </c>
      <c r="I10" s="54" t="s">
        <v>105</v>
      </c>
      <c r="J10" s="55" t="s">
        <v>5</v>
      </c>
      <c r="K10" s="55" t="s">
        <v>90</v>
      </c>
      <c r="L10" s="55" t="s">
        <v>6</v>
      </c>
      <c r="M10" s="55" t="s">
        <v>7</v>
      </c>
      <c r="N10" s="55" t="s">
        <v>17</v>
      </c>
      <c r="O10" s="55" t="s">
        <v>8</v>
      </c>
      <c r="P10" s="56"/>
      <c r="Q10" s="56"/>
      <c r="R10" s="56"/>
      <c r="S10" s="55" t="s">
        <v>90</v>
      </c>
      <c r="T10" s="56"/>
      <c r="U10" s="55" t="s">
        <v>90</v>
      </c>
      <c r="V10" s="55" t="s">
        <v>90</v>
      </c>
      <c r="W10" s="55" t="s">
        <v>90</v>
      </c>
      <c r="X10" s="55" t="s">
        <v>90</v>
      </c>
      <c r="Z10" s="9" t="s">
        <v>112</v>
      </c>
      <c r="AB10" s="49" t="s">
        <v>126</v>
      </c>
    </row>
    <row r="11" spans="1:33" ht="41.25" hidden="1" customHeight="1" x14ac:dyDescent="0.3">
      <c r="A11" s="10"/>
      <c r="B11" s="128" t="s">
        <v>24</v>
      </c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30"/>
      <c r="V11" s="116"/>
      <c r="W11" s="116"/>
      <c r="X11" s="116"/>
      <c r="AA11" s="99" t="s">
        <v>134</v>
      </c>
      <c r="AB11" s="47"/>
    </row>
    <row r="12" spans="1:33" ht="37.5" hidden="1" x14ac:dyDescent="0.45">
      <c r="A12" s="10"/>
      <c r="B12" s="57">
        <v>1</v>
      </c>
      <c r="C12" s="57"/>
      <c r="D12" s="58" t="s">
        <v>120</v>
      </c>
      <c r="E12" s="59" t="s">
        <v>119</v>
      </c>
      <c r="F12" s="60" t="s">
        <v>99</v>
      </c>
      <c r="G12" s="60" t="s">
        <v>99</v>
      </c>
      <c r="H12" s="60"/>
      <c r="I12" s="61">
        <v>42682</v>
      </c>
      <c r="J12" s="62">
        <v>49889.5</v>
      </c>
      <c r="K12" s="62"/>
      <c r="L12" s="63"/>
      <c r="M12" s="63"/>
      <c r="N12" s="58"/>
      <c r="O12" s="58"/>
      <c r="P12" s="64"/>
      <c r="Q12" s="64"/>
      <c r="R12" s="64"/>
      <c r="S12" s="62"/>
      <c r="T12" s="62"/>
      <c r="U12" s="62"/>
      <c r="V12" s="62"/>
      <c r="W12" s="62"/>
      <c r="X12" s="62">
        <f>+$J$12-24520.61-AA12</f>
        <v>19382.169999999998</v>
      </c>
      <c r="Y12" s="31" t="s">
        <v>135</v>
      </c>
      <c r="Z12" s="33"/>
      <c r="AA12" s="103">
        <f>748.34+748.34+(748.34*3)+(748.34*3)</f>
        <v>5986.7199999999993</v>
      </c>
      <c r="AB12" s="104" t="s">
        <v>125</v>
      </c>
      <c r="AC12" s="98">
        <v>748.34</v>
      </c>
      <c r="AD12" s="98">
        <f>+J12-27513.97</f>
        <v>22375.53</v>
      </c>
      <c r="AE12" s="98">
        <f>+AD12-X12</f>
        <v>2993.3600000000006</v>
      </c>
    </row>
    <row r="13" spans="1:33" ht="23.25" hidden="1" x14ac:dyDescent="0.3">
      <c r="A13" s="10"/>
      <c r="B13" s="65"/>
      <c r="C13" s="66"/>
      <c r="D13" s="66"/>
      <c r="E13" s="67" t="s">
        <v>89</v>
      </c>
      <c r="F13" s="67"/>
      <c r="G13" s="67"/>
      <c r="H13" s="68"/>
      <c r="I13" s="69"/>
      <c r="J13" s="70">
        <f>SUBTOTAL(9,J12:J12)</f>
        <v>49889.5</v>
      </c>
      <c r="K13" s="70">
        <f>SUBTOTAL(9,K12:K12)</f>
        <v>0</v>
      </c>
      <c r="L13" s="60"/>
      <c r="M13" s="60"/>
      <c r="N13" s="58"/>
      <c r="O13" s="58"/>
      <c r="P13" s="71"/>
      <c r="Q13" s="71"/>
      <c r="R13" s="71"/>
      <c r="S13" s="70">
        <f>SUBTOTAL(9,S12:S12)</f>
        <v>0</v>
      </c>
      <c r="T13" s="70"/>
      <c r="U13" s="70">
        <f>SUBTOTAL(9,U12:U12)</f>
        <v>0</v>
      </c>
      <c r="V13" s="70">
        <f>SUBTOTAL(9,V12:V12)</f>
        <v>0</v>
      </c>
      <c r="W13" s="70">
        <f>SUBTOTAL(9,W12:W12)</f>
        <v>0</v>
      </c>
      <c r="X13" s="70">
        <f>SUBTOTAL(9,X12:X12)</f>
        <v>19382.169999999998</v>
      </c>
      <c r="Y13" s="31" t="s">
        <v>135</v>
      </c>
      <c r="AA13" s="26"/>
      <c r="AE13" s="35">
        <f>99.5-5.51</f>
        <v>93.99</v>
      </c>
      <c r="AF13" s="26" t="s">
        <v>111</v>
      </c>
    </row>
    <row r="14" spans="1:33" ht="39.950000000000003" customHeight="1" x14ac:dyDescent="0.3">
      <c r="A14" s="10"/>
      <c r="B14" s="131" t="s">
        <v>25</v>
      </c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3"/>
      <c r="V14" s="116"/>
      <c r="W14" s="116"/>
      <c r="X14" s="116"/>
      <c r="AA14" s="26"/>
      <c r="AE14" s="35">
        <v>0</v>
      </c>
      <c r="AF14" s="26" t="s">
        <v>110</v>
      </c>
    </row>
    <row r="15" spans="1:33" s="10" customFormat="1" ht="37.5" x14ac:dyDescent="0.3">
      <c r="B15" s="57">
        <v>1</v>
      </c>
      <c r="C15" s="57" t="s">
        <v>45</v>
      </c>
      <c r="D15" s="72" t="s">
        <v>101</v>
      </c>
      <c r="E15" s="59" t="s">
        <v>92</v>
      </c>
      <c r="F15" s="60" t="s">
        <v>98</v>
      </c>
      <c r="G15" s="60" t="s">
        <v>99</v>
      </c>
      <c r="H15" s="60" t="str">
        <f t="shared" ref="H15:H18" si="0">TEXT(I15,"yyyy")</f>
        <v>1985</v>
      </c>
      <c r="I15" s="61">
        <v>31048</v>
      </c>
      <c r="J15" s="62">
        <v>347174.78</v>
      </c>
      <c r="K15" s="62">
        <v>29195.51</v>
      </c>
      <c r="L15" s="60" t="s">
        <v>9</v>
      </c>
      <c r="M15" s="63" t="s">
        <v>85</v>
      </c>
      <c r="N15" s="72" t="s">
        <v>50</v>
      </c>
      <c r="O15" s="72" t="s">
        <v>86</v>
      </c>
      <c r="P15" s="73" t="s">
        <v>107</v>
      </c>
      <c r="Q15" s="74"/>
      <c r="R15" s="75"/>
      <c r="S15" s="62">
        <v>29195.51</v>
      </c>
      <c r="T15" s="62"/>
      <c r="U15" s="62">
        <v>29195.51</v>
      </c>
      <c r="V15" s="62">
        <v>34717.480000000003</v>
      </c>
      <c r="W15" s="62">
        <v>34717.480000000003</v>
      </c>
      <c r="X15" s="62">
        <v>34717.480000000003</v>
      </c>
      <c r="Y15" s="31" t="s">
        <v>146</v>
      </c>
      <c r="Z15" s="38" t="s">
        <v>113</v>
      </c>
      <c r="AA15" s="100" t="s">
        <v>128</v>
      </c>
      <c r="AB15" s="44"/>
      <c r="AE15" s="36" t="e">
        <f>+#REF!+AE13+AE14</f>
        <v>#REF!</v>
      </c>
    </row>
    <row r="16" spans="1:33" s="10" customFormat="1" ht="37.5" x14ac:dyDescent="0.4">
      <c r="B16" s="119">
        <v>2</v>
      </c>
      <c r="C16" s="57" t="s">
        <v>46</v>
      </c>
      <c r="D16" s="134" t="s">
        <v>100</v>
      </c>
      <c r="E16" s="59" t="s">
        <v>93</v>
      </c>
      <c r="F16" s="60" t="s">
        <v>99</v>
      </c>
      <c r="G16" s="60" t="s">
        <v>99</v>
      </c>
      <c r="H16" s="60" t="str">
        <f t="shared" si="0"/>
        <v>1985</v>
      </c>
      <c r="I16" s="61">
        <v>31048</v>
      </c>
      <c r="J16" s="62">
        <v>205213.48</v>
      </c>
      <c r="K16" s="62">
        <v>45921.53</v>
      </c>
      <c r="L16" s="60" t="s">
        <v>9</v>
      </c>
      <c r="M16" s="63" t="s">
        <v>49</v>
      </c>
      <c r="N16" s="72" t="s">
        <v>50</v>
      </c>
      <c r="O16" s="72" t="s">
        <v>87</v>
      </c>
      <c r="P16" s="73" t="s">
        <v>107</v>
      </c>
      <c r="Q16" s="75"/>
      <c r="R16" s="75"/>
      <c r="S16" s="62">
        <v>45921.53</v>
      </c>
      <c r="T16" s="62"/>
      <c r="U16" s="62">
        <v>45921.53</v>
      </c>
      <c r="V16" s="62">
        <v>40002.629999999997</v>
      </c>
      <c r="W16" s="62">
        <v>39594.44</v>
      </c>
      <c r="X16" s="62">
        <f>+J16-176807.22-AA16</f>
        <v>22832.310000000009</v>
      </c>
      <c r="Y16" s="136" t="s">
        <v>146</v>
      </c>
      <c r="Z16" s="38" t="s">
        <v>113</v>
      </c>
      <c r="AA16" s="137">
        <f>135.95+135.95+(135.95*3)+(135.95*3)+(135.95*3)+(135.95*3)+(135.95*3)+(135.95*3)+(135.95*3)+(135.95*3)+(135.95*3)+(135.95*3)+(135.95*3)+(135.95*3)+(135.95*3)</f>
        <v>5573.9500000000007</v>
      </c>
      <c r="AB16" s="101" t="s">
        <v>121</v>
      </c>
      <c r="AC16" s="44" t="s">
        <v>129</v>
      </c>
      <c r="AD16" s="106">
        <f>+J16-X16-177486.97</f>
        <v>4894.2000000000116</v>
      </c>
      <c r="AE16" s="107" t="s">
        <v>107</v>
      </c>
      <c r="AF16" s="37" t="e">
        <f>+AE15-#REF!</f>
        <v>#REF!</v>
      </c>
      <c r="AG16" s="10" t="s">
        <v>91</v>
      </c>
    </row>
    <row r="17" spans="1:34" s="10" customFormat="1" ht="26.25" x14ac:dyDescent="0.4">
      <c r="B17" s="120"/>
      <c r="C17" s="57"/>
      <c r="D17" s="135"/>
      <c r="E17" s="59" t="s">
        <v>115</v>
      </c>
      <c r="F17" s="60"/>
      <c r="G17" s="60"/>
      <c r="H17" s="60"/>
      <c r="I17" s="61">
        <v>43214</v>
      </c>
      <c r="J17" s="62">
        <v>39142</v>
      </c>
      <c r="K17" s="62"/>
      <c r="L17" s="60"/>
      <c r="M17" s="63"/>
      <c r="N17" s="72"/>
      <c r="O17" s="72"/>
      <c r="P17" s="73"/>
      <c r="Q17" s="75"/>
      <c r="R17" s="75"/>
      <c r="S17" s="62"/>
      <c r="T17" s="62"/>
      <c r="U17" s="76"/>
      <c r="V17" s="76"/>
      <c r="W17" s="76"/>
      <c r="X17" s="62">
        <f>+J17-4471.9-AA17</f>
        <v>22634.139999999996</v>
      </c>
      <c r="Y17" s="136" t="s">
        <v>146</v>
      </c>
      <c r="Z17" s="38"/>
      <c r="AA17" s="137">
        <f>293.56+293.56+(293.56*3)+(293.56*3)+(293.56*3)+(293.56*3)+(293.56*3)+(293.56*3)+(293.56*3)+(293.56*3)+(293.56*3)+(293.56*3)+(293.56*3)+(293.56*3)+(293.56*3)</f>
        <v>12035.960000000003</v>
      </c>
      <c r="AB17" s="101" t="s">
        <v>122</v>
      </c>
      <c r="AC17" s="44" t="s">
        <v>130</v>
      </c>
      <c r="AD17" s="106">
        <f>+J17-X17-5939.7</f>
        <v>10568.160000000003</v>
      </c>
      <c r="AE17" s="107" t="s">
        <v>107</v>
      </c>
      <c r="AF17" s="37"/>
    </row>
    <row r="18" spans="1:34" s="10" customFormat="1" ht="37.5" x14ac:dyDescent="0.4">
      <c r="B18" s="119">
        <v>3</v>
      </c>
      <c r="C18" s="57" t="s">
        <v>47</v>
      </c>
      <c r="D18" s="121" t="s">
        <v>102</v>
      </c>
      <c r="E18" s="59" t="s">
        <v>94</v>
      </c>
      <c r="F18" s="60" t="s">
        <v>99</v>
      </c>
      <c r="G18" s="60" t="s">
        <v>103</v>
      </c>
      <c r="H18" s="60" t="str">
        <f t="shared" si="0"/>
        <v>2008</v>
      </c>
      <c r="I18" s="61">
        <v>39741</v>
      </c>
      <c r="J18" s="62">
        <v>10000</v>
      </c>
      <c r="K18" s="62">
        <f>+J18-59924</f>
        <v>-49924</v>
      </c>
      <c r="L18" s="60" t="s">
        <v>9</v>
      </c>
      <c r="M18" s="63" t="s">
        <v>49</v>
      </c>
      <c r="N18" s="72" t="s">
        <v>50</v>
      </c>
      <c r="O18" s="72" t="s">
        <v>88</v>
      </c>
      <c r="P18" s="75" t="s">
        <v>109</v>
      </c>
      <c r="Q18" s="75"/>
      <c r="R18" s="75"/>
      <c r="S18" s="62">
        <f>+J18-62171.15</f>
        <v>-52171.15</v>
      </c>
      <c r="T18" s="62" t="s">
        <v>107</v>
      </c>
      <c r="U18" s="123">
        <f>99873.34-64418.3</f>
        <v>35455.039999999994</v>
      </c>
      <c r="V18" s="123">
        <v>170413</v>
      </c>
      <c r="W18" s="123">
        <f>$J$18+$J$19-11445.66</f>
        <v>194134.74</v>
      </c>
      <c r="X18" s="123">
        <f>$J$18+$J$19-55492.46-13071.39-AA18-AA19</f>
        <v>46707.900000000009</v>
      </c>
      <c r="Y18" s="136" t="s">
        <v>146</v>
      </c>
      <c r="Z18" s="34" t="s">
        <v>114</v>
      </c>
      <c r="AA18" s="137">
        <f>1774.08+1774.08+(1774.08*3)+(1774.08*3)+(1774.08*3)+(1774.08*3)+(1774.08*3)+(1774.08*3)+(1774.08*3)+(1774.08*3)+(1774.08*3)+(1774.08*3)+(1774.08*3)+(1774.08*3)+(1774.08*3)</f>
        <v>72737.279999999984</v>
      </c>
      <c r="AB18" s="28"/>
      <c r="AC18" s="44" t="s">
        <v>127</v>
      </c>
      <c r="AD18" s="106">
        <f>+J18+J19-X18-64362.86-15214.24</f>
        <v>79295.399999999994</v>
      </c>
      <c r="AE18" s="107" t="s">
        <v>107</v>
      </c>
      <c r="AF18" s="28">
        <v>128205.95</v>
      </c>
      <c r="AG18" s="105">
        <f>+AF18-1774.08-428.57</f>
        <v>126003.29999999999</v>
      </c>
      <c r="AH18" s="46">
        <f>+AG18-X18</f>
        <v>79295.39999999998</v>
      </c>
    </row>
    <row r="19" spans="1:34" s="10" customFormat="1" ht="93.75" x14ac:dyDescent="0.4">
      <c r="B19" s="120"/>
      <c r="C19" s="57"/>
      <c r="D19" s="122"/>
      <c r="E19" s="59" t="s">
        <v>115</v>
      </c>
      <c r="F19" s="60"/>
      <c r="G19" s="60"/>
      <c r="H19" s="60"/>
      <c r="I19" s="61" t="s">
        <v>118</v>
      </c>
      <c r="J19" s="62">
        <f>205580.4-10000-40000+40000</f>
        <v>195580.4</v>
      </c>
      <c r="K19" s="62"/>
      <c r="L19" s="60"/>
      <c r="M19" s="63"/>
      <c r="N19" s="72"/>
      <c r="O19" s="72"/>
      <c r="P19" s="75"/>
      <c r="Q19" s="75"/>
      <c r="R19" s="75"/>
      <c r="S19" s="62"/>
      <c r="T19" s="62"/>
      <c r="U19" s="124"/>
      <c r="V19" s="124"/>
      <c r="W19" s="124"/>
      <c r="X19" s="124"/>
      <c r="Y19" s="136" t="s">
        <v>146</v>
      </c>
      <c r="Z19" s="41" t="e">
        <f>+Y19-U18</f>
        <v>#VALUE!</v>
      </c>
      <c r="AA19" s="137">
        <f>428.57+428.57+(428.57*3)+(428.57*3)+(428.57*3)+(428.57*3)+(428.57*3)+(428.57*3)+(428.57*3)+(428.57*3)+(428.57*3)+(428.57*3)+(428.57*3)+(428.57*3)+(428.57*3)</f>
        <v>17571.369999999995</v>
      </c>
      <c r="AB19" s="45">
        <f>+J18+J19</f>
        <v>205580.4</v>
      </c>
      <c r="AC19" s="45">
        <f>138473.22+33785.73</f>
        <v>172258.95</v>
      </c>
      <c r="AD19" s="30" t="s">
        <v>123</v>
      </c>
      <c r="AG19" s="102">
        <f>128205.95-X18</f>
        <v>81498.049999999988</v>
      </c>
    </row>
    <row r="20" spans="1:34" s="10" customFormat="1" ht="37.5" x14ac:dyDescent="0.3">
      <c r="B20" s="119">
        <v>4</v>
      </c>
      <c r="C20" s="57"/>
      <c r="D20" s="121" t="s">
        <v>102</v>
      </c>
      <c r="E20" s="59" t="s">
        <v>137</v>
      </c>
      <c r="F20" s="60" t="s">
        <v>99</v>
      </c>
      <c r="G20" s="60" t="s">
        <v>99</v>
      </c>
      <c r="H20" s="60"/>
      <c r="I20" s="61">
        <v>42815</v>
      </c>
      <c r="J20" s="62">
        <v>110000</v>
      </c>
      <c r="K20" s="62"/>
      <c r="L20" s="60"/>
      <c r="M20" s="63"/>
      <c r="N20" s="72"/>
      <c r="O20" s="72"/>
      <c r="P20" s="75"/>
      <c r="Q20" s="75"/>
      <c r="R20" s="75"/>
      <c r="S20" s="62"/>
      <c r="T20" s="62"/>
      <c r="U20" s="118"/>
      <c r="V20" s="118"/>
      <c r="W20" s="118"/>
      <c r="X20" s="123">
        <f>$J$20+$J$21+$J$22-37815.16-17926.77-AA20-AA21</f>
        <v>64869.780000000072</v>
      </c>
      <c r="Y20" s="136" t="s">
        <v>146</v>
      </c>
      <c r="Z20" s="41">
        <f>+J20+J21</f>
        <v>128259.56</v>
      </c>
      <c r="AA20" s="137">
        <f>1333.64+1333.64+(1333.64*3)+(1333.64*3)+(1333.64*3)+(1333.64*3)+(1333.64*3)+(1333.64*3)+(1333.64*3)+(1333.64*3)+(1333.64*3)+(1333.64*2)+(860.58*1)+(860.58*0)+(860.58*0)+(860.58*0)</f>
        <v>42203.419999999991</v>
      </c>
      <c r="AB20" s="45">
        <f>+J20+J21+J22</f>
        <v>280871.76</v>
      </c>
      <c r="AC20" s="51" t="s">
        <v>133</v>
      </c>
    </row>
    <row r="21" spans="1:34" s="10" customFormat="1" ht="26.25" x14ac:dyDescent="0.4">
      <c r="B21" s="125"/>
      <c r="C21" s="57"/>
      <c r="D21" s="126"/>
      <c r="E21" s="59" t="s">
        <v>117</v>
      </c>
      <c r="F21" s="60"/>
      <c r="G21" s="60"/>
      <c r="H21" s="60"/>
      <c r="I21" s="61">
        <v>42815</v>
      </c>
      <c r="J21" s="62">
        <v>18259.560000000001</v>
      </c>
      <c r="K21" s="62"/>
      <c r="L21" s="60"/>
      <c r="M21" s="63"/>
      <c r="N21" s="72"/>
      <c r="O21" s="72"/>
      <c r="P21" s="75"/>
      <c r="Q21" s="75"/>
      <c r="R21" s="75"/>
      <c r="S21" s="62"/>
      <c r="T21" s="62"/>
      <c r="U21" s="118"/>
      <c r="V21" s="118"/>
      <c r="W21" s="118"/>
      <c r="X21" s="127"/>
      <c r="Y21" s="136" t="s">
        <v>146</v>
      </c>
      <c r="Z21" s="41"/>
      <c r="AA21" s="137">
        <f>2879.43+2879.43+(2879.43*3)+(2879.43*3)+(2879.43*3)+(2879.43*3)+(2879.43*3)+(2879.43*3)+(2879.43*3)+(2879.43*3)+(2879.43*3)+(2879.43*3)+(2879.43*3)+(2879.43*3)+(2879.43*3)</f>
        <v>118056.62999999996</v>
      </c>
      <c r="AB21" s="46">
        <f>88909.53+AB20</f>
        <v>369781.29000000004</v>
      </c>
      <c r="AC21" s="42"/>
      <c r="AD21" s="106">
        <f>+J20+J21+J22-X20-44483.36-32323.92</f>
        <v>139194.69999999995</v>
      </c>
      <c r="AE21" s="107" t="s">
        <v>107</v>
      </c>
    </row>
    <row r="22" spans="1:34" s="10" customFormat="1" x14ac:dyDescent="0.3">
      <c r="B22" s="120"/>
      <c r="C22" s="57"/>
      <c r="D22" s="122"/>
      <c r="E22" s="59" t="s">
        <v>132</v>
      </c>
      <c r="F22" s="60"/>
      <c r="G22" s="60"/>
      <c r="H22" s="60"/>
      <c r="I22" s="61">
        <v>43490</v>
      </c>
      <c r="J22" s="62">
        <f>191962.23-39350.03</f>
        <v>152612.20000000001</v>
      </c>
      <c r="K22" s="62"/>
      <c r="L22" s="60"/>
      <c r="M22" s="63"/>
      <c r="N22" s="72"/>
      <c r="O22" s="72"/>
      <c r="P22" s="75"/>
      <c r="Q22" s="75"/>
      <c r="R22" s="75"/>
      <c r="S22" s="62"/>
      <c r="T22" s="62"/>
      <c r="U22" s="118"/>
      <c r="V22" s="118"/>
      <c r="W22" s="118"/>
      <c r="X22" s="124"/>
      <c r="Y22" s="136" t="s">
        <v>146</v>
      </c>
      <c r="Z22" s="41"/>
      <c r="AA22" s="45">
        <f>208277.55-X20-1333.64-2879.43</f>
        <v>139194.6999999999</v>
      </c>
      <c r="AB22" s="110">
        <f>SUM(J20:J22)</f>
        <v>280871.76</v>
      </c>
      <c r="AC22" s="110">
        <f>+AB22-AA22</f>
        <v>141677.06000000011</v>
      </c>
    </row>
    <row r="23" spans="1:34" s="10" customFormat="1" ht="37.5" x14ac:dyDescent="0.3">
      <c r="B23" s="119">
        <v>5</v>
      </c>
      <c r="C23" s="57"/>
      <c r="D23" s="121" t="s">
        <v>100</v>
      </c>
      <c r="E23" s="59" t="s">
        <v>108</v>
      </c>
      <c r="F23" s="60" t="s">
        <v>99</v>
      </c>
      <c r="G23" s="60" t="s">
        <v>99</v>
      </c>
      <c r="H23" s="60"/>
      <c r="I23" s="61">
        <v>42248</v>
      </c>
      <c r="J23" s="62">
        <f>92417.32-5392</f>
        <v>87025.32</v>
      </c>
      <c r="K23" s="62">
        <f>+J23-3465.65</f>
        <v>83559.670000000013</v>
      </c>
      <c r="L23" s="60"/>
      <c r="M23" s="63"/>
      <c r="N23" s="72"/>
      <c r="O23" s="72"/>
      <c r="P23" s="75" t="s">
        <v>109</v>
      </c>
      <c r="Q23" s="75"/>
      <c r="R23" s="75"/>
      <c r="S23" s="62">
        <f>+J23-5545.04</f>
        <v>81480.280000000013</v>
      </c>
      <c r="T23" s="62" t="s">
        <v>107</v>
      </c>
      <c r="U23" s="62">
        <f>+J23-7624.43</f>
        <v>79400.890000000014</v>
      </c>
      <c r="V23" s="62">
        <v>82713.5</v>
      </c>
      <c r="W23" s="62">
        <f>$J$23-11090.08</f>
        <v>75935.240000000005</v>
      </c>
      <c r="X23" s="123">
        <f>J23+J24-30676.43-679.09-AA23-AA24</f>
        <v>31776.46000000001</v>
      </c>
      <c r="Y23" s="136" t="s">
        <v>146</v>
      </c>
      <c r="Z23" s="34" t="s">
        <v>114</v>
      </c>
      <c r="AA23" s="137">
        <f>652.69+652.69+(652.69*3)+(652.69*3)+(652.69*3)+(652.69*3)+(652.69*3)+(652.69*3)+(652.69*3)+(652.69*3)+(652.69*3)+(652.69*3)+(652.69*3)+(652.69*3)+(652.69*3)</f>
        <v>26760.289999999997</v>
      </c>
      <c r="AB23" s="39">
        <f>17988.41+42587.57+3759.03+3711.58+8761.06+801.77</f>
        <v>77609.42</v>
      </c>
      <c r="AC23" s="30" t="s">
        <v>124</v>
      </c>
    </row>
    <row r="24" spans="1:34" s="10" customFormat="1" ht="26.25" x14ac:dyDescent="0.4">
      <c r="B24" s="120"/>
      <c r="C24" s="57"/>
      <c r="D24" s="122"/>
      <c r="E24" s="59" t="s">
        <v>115</v>
      </c>
      <c r="F24" s="60" t="s">
        <v>99</v>
      </c>
      <c r="G24" s="60" t="s">
        <v>99</v>
      </c>
      <c r="H24" s="60"/>
      <c r="I24" s="61">
        <v>43013</v>
      </c>
      <c r="J24" s="62">
        <v>4140</v>
      </c>
      <c r="K24" s="62"/>
      <c r="L24" s="60"/>
      <c r="M24" s="63"/>
      <c r="N24" s="72"/>
      <c r="O24" s="72"/>
      <c r="P24" s="75"/>
      <c r="Q24" s="75"/>
      <c r="R24" s="75"/>
      <c r="S24" s="62"/>
      <c r="T24" s="62"/>
      <c r="U24" s="62"/>
      <c r="V24" s="62"/>
      <c r="W24" s="62"/>
      <c r="X24" s="124"/>
      <c r="Y24" s="136" t="s">
        <v>146</v>
      </c>
      <c r="Z24" s="48">
        <f>+J23+J24</f>
        <v>91165.32</v>
      </c>
      <c r="AA24" s="137">
        <f>31.05+31.05+(31.05*3)+(31.05*3)+(31.05*3)+(31.05*3)+(31.05*3)+(31.05*3)+(31.05*3)+(31.05*3)+(31.05*3)+(31.05*3)+(31.05*3)+(31.05*3)+(31.05*3)</f>
        <v>1273.0500000000002</v>
      </c>
      <c r="AB24" s="46">
        <f>+J23+J24</f>
        <v>91165.32</v>
      </c>
      <c r="AC24" s="39">
        <f>66791.93+3957.71</f>
        <v>70749.64</v>
      </c>
      <c r="AD24" s="106">
        <f>+J23+J24-X23-33939.88-834.34</f>
        <v>24614.640000000003</v>
      </c>
      <c r="AE24" s="107" t="s">
        <v>107</v>
      </c>
      <c r="AF24" s="10" t="s">
        <v>107</v>
      </c>
    </row>
    <row r="25" spans="1:34" s="10" customFormat="1" ht="37.5" x14ac:dyDescent="0.3">
      <c r="B25" s="57">
        <v>6</v>
      </c>
      <c r="C25" s="57" t="s">
        <v>45</v>
      </c>
      <c r="D25" s="72" t="s">
        <v>138</v>
      </c>
      <c r="E25" s="59" t="s">
        <v>140</v>
      </c>
      <c r="F25" s="60" t="s">
        <v>142</v>
      </c>
      <c r="G25" s="60" t="s">
        <v>141</v>
      </c>
      <c r="H25" s="60" t="str">
        <f t="shared" ref="H25" si="1">TEXT(I25,"yyyy")</f>
        <v>2022</v>
      </c>
      <c r="I25" s="61">
        <v>44644</v>
      </c>
      <c r="J25" s="62">
        <v>35990</v>
      </c>
      <c r="K25" s="62">
        <v>29195.51</v>
      </c>
      <c r="L25" s="60" t="s">
        <v>9</v>
      </c>
      <c r="M25" s="63" t="s">
        <v>85</v>
      </c>
      <c r="N25" s="72" t="s">
        <v>50</v>
      </c>
      <c r="O25" s="72" t="s">
        <v>86</v>
      </c>
      <c r="P25" s="73" t="s">
        <v>107</v>
      </c>
      <c r="Q25" s="74"/>
      <c r="R25" s="75"/>
      <c r="S25" s="62">
        <v>29195.51</v>
      </c>
      <c r="T25" s="62"/>
      <c r="U25" s="62">
        <v>29195.51</v>
      </c>
      <c r="V25" s="62">
        <v>34717.480000000003</v>
      </c>
      <c r="W25" s="62">
        <v>34717.480000000003</v>
      </c>
      <c r="X25" s="62">
        <f>J25-AA25</f>
        <v>33491.06</v>
      </c>
      <c r="Y25" s="136" t="s">
        <v>146</v>
      </c>
      <c r="Z25" s="38" t="s">
        <v>113</v>
      </c>
      <c r="AA25" s="137">
        <f>69.66-(879.42-(269.92*3))+69.66+(269.92*3)+(269.92*3)+(269.92*3)</f>
        <v>2498.94</v>
      </c>
      <c r="AB25" s="100" t="s">
        <v>139</v>
      </c>
    </row>
    <row r="26" spans="1:34" ht="42.75" hidden="1" customHeight="1" x14ac:dyDescent="0.3">
      <c r="A26" s="10"/>
      <c r="B26" s="57"/>
      <c r="C26" s="57"/>
      <c r="D26" s="57"/>
      <c r="E26" s="59"/>
      <c r="F26" s="59"/>
      <c r="G26" s="59"/>
      <c r="H26" s="60"/>
      <c r="I26" s="61"/>
      <c r="J26" s="62"/>
      <c r="K26" s="62"/>
      <c r="L26" s="60"/>
      <c r="M26" s="63"/>
      <c r="N26" s="72"/>
      <c r="O26" s="72"/>
      <c r="P26" s="64"/>
      <c r="Q26" s="64"/>
      <c r="R26" s="64"/>
      <c r="S26" s="62"/>
      <c r="T26" s="62"/>
      <c r="U26" s="62"/>
      <c r="V26" s="62"/>
      <c r="W26" s="62"/>
      <c r="X26" s="62"/>
      <c r="Z26" s="28"/>
      <c r="AA26" s="26"/>
    </row>
    <row r="27" spans="1:34" hidden="1" x14ac:dyDescent="0.3">
      <c r="A27" s="10"/>
      <c r="B27" s="57"/>
      <c r="C27" s="57"/>
      <c r="D27" s="57"/>
      <c r="E27" s="59"/>
      <c r="F27" s="59"/>
      <c r="G27" s="59"/>
      <c r="H27" s="60"/>
      <c r="I27" s="61"/>
      <c r="J27" s="76"/>
      <c r="K27" s="76"/>
      <c r="L27" s="77"/>
      <c r="M27" s="109"/>
      <c r="N27" s="117"/>
      <c r="O27" s="117"/>
      <c r="P27" s="64"/>
      <c r="Q27" s="64"/>
      <c r="R27" s="64"/>
      <c r="S27" s="76"/>
      <c r="T27" s="76"/>
      <c r="U27" s="76"/>
      <c r="V27" s="76"/>
      <c r="W27" s="76"/>
      <c r="X27" s="76"/>
      <c r="AA27" s="26"/>
    </row>
    <row r="28" spans="1:34" ht="23.25" hidden="1" x14ac:dyDescent="0.3">
      <c r="A28" s="10"/>
      <c r="B28" s="65" t="s">
        <v>116</v>
      </c>
      <c r="C28" s="66"/>
      <c r="D28" s="66"/>
      <c r="E28" s="67" t="s">
        <v>89</v>
      </c>
      <c r="F28" s="67"/>
      <c r="G28" s="67"/>
      <c r="H28" s="68"/>
      <c r="I28" s="69"/>
      <c r="J28" s="70">
        <f>SUBTOTAL(9,J15:J27)</f>
        <v>1205137.7400000002</v>
      </c>
      <c r="K28" s="70">
        <f>SUBTOTAL(9,K15:K27)</f>
        <v>137948.22</v>
      </c>
      <c r="L28" s="60"/>
      <c r="M28" s="60"/>
      <c r="N28" s="58"/>
      <c r="O28" s="58"/>
      <c r="P28" s="71"/>
      <c r="Q28" s="71"/>
      <c r="R28" s="71"/>
      <c r="S28" s="70">
        <f>SUBTOTAL(9,S15:S27)</f>
        <v>133621.68000000002</v>
      </c>
      <c r="T28" s="70"/>
      <c r="U28" s="70">
        <f>SUBTOTAL(9,U15:U27)</f>
        <v>219168.48</v>
      </c>
      <c r="V28" s="70">
        <f>SUBTOTAL(9,V15:V27)</f>
        <v>362564.08999999997</v>
      </c>
      <c r="W28" s="70">
        <f>SUBTOTAL(9,W15:W27)</f>
        <v>379099.38</v>
      </c>
      <c r="X28" s="70">
        <f>SUBTOTAL(9,X15:X27)</f>
        <v>257029.13000000012</v>
      </c>
      <c r="Y28" s="31" t="s">
        <v>135</v>
      </c>
      <c r="AA28" s="32">
        <f>+AB23-92417.34</f>
        <v>-14807.919999999998</v>
      </c>
      <c r="AB28" s="1">
        <f>92417.34-14808</f>
        <v>77609.34</v>
      </c>
    </row>
    <row r="29" spans="1:34" ht="12" customHeight="1" x14ac:dyDescent="0.3">
      <c r="A29" s="10"/>
      <c r="B29" s="78"/>
      <c r="C29" s="78"/>
      <c r="D29" s="78"/>
      <c r="E29" s="79"/>
      <c r="F29" s="79"/>
      <c r="G29" s="79"/>
      <c r="H29" s="79"/>
      <c r="I29" s="80"/>
      <c r="J29" s="81"/>
      <c r="K29" s="81"/>
      <c r="L29" s="80"/>
      <c r="M29" s="80"/>
      <c r="N29" s="81"/>
      <c r="O29" s="82"/>
      <c r="P29" s="64"/>
      <c r="Q29" s="64"/>
      <c r="R29" s="64"/>
      <c r="S29" s="81"/>
      <c r="T29" s="81"/>
      <c r="U29" s="81"/>
      <c r="V29" s="81"/>
      <c r="W29" s="81"/>
      <c r="X29" s="81"/>
      <c r="AA29" s="35"/>
      <c r="AB29" s="40"/>
    </row>
    <row r="30" spans="1:34" ht="28.5" x14ac:dyDescent="0.3">
      <c r="A30" s="10"/>
      <c r="B30" s="65"/>
      <c r="C30" s="66"/>
      <c r="D30" s="66"/>
      <c r="E30" s="83" t="s">
        <v>16</v>
      </c>
      <c r="F30" s="83"/>
      <c r="G30" s="83"/>
      <c r="H30" s="68"/>
      <c r="I30" s="69"/>
      <c r="J30" s="84">
        <f>J13-J13+J28</f>
        <v>1205137.7400000002</v>
      </c>
      <c r="K30" s="84">
        <f>K13+K28</f>
        <v>137948.22</v>
      </c>
      <c r="L30" s="60"/>
      <c r="M30" s="60"/>
      <c r="N30" s="58"/>
      <c r="O30" s="58"/>
      <c r="P30" s="71"/>
      <c r="Q30" s="71"/>
      <c r="R30" s="71"/>
      <c r="S30" s="84">
        <f>S13+S28</f>
        <v>133621.68000000002</v>
      </c>
      <c r="T30" s="84"/>
      <c r="U30" s="84">
        <f>U13+U28</f>
        <v>219168.48</v>
      </c>
      <c r="V30" s="84">
        <f>V13+V28</f>
        <v>362564.08999999997</v>
      </c>
      <c r="W30" s="84">
        <f>W13+W28</f>
        <v>379099.38</v>
      </c>
      <c r="X30" s="84">
        <f>X13-X13+X28</f>
        <v>257029.13000000012</v>
      </c>
      <c r="Y30" s="108">
        <f>X30-459518.26</f>
        <v>-202489.12999999989</v>
      </c>
      <c r="AA30" s="26" t="s">
        <v>136</v>
      </c>
    </row>
    <row r="31" spans="1:34" ht="23.25" x14ac:dyDescent="0.3">
      <c r="B31" s="85"/>
      <c r="C31" s="86"/>
      <c r="D31" s="86"/>
      <c r="E31" s="87"/>
      <c r="F31" s="87"/>
      <c r="G31" s="87"/>
      <c r="H31" s="87"/>
      <c r="I31" s="88"/>
      <c r="J31" s="111">
        <f>+J15+J16+J17+J18+J19+J20+J21+J22+J23+J24+J25+J29</f>
        <v>1205137.7400000002</v>
      </c>
      <c r="K31" s="112"/>
      <c r="L31" s="113"/>
      <c r="M31" s="113"/>
      <c r="N31" s="114"/>
      <c r="O31" s="114"/>
      <c r="P31" s="115"/>
      <c r="Q31" s="115"/>
      <c r="R31" s="115"/>
      <c r="S31" s="111"/>
      <c r="T31" s="115"/>
      <c r="U31" s="111"/>
      <c r="V31" s="111"/>
      <c r="W31" s="111"/>
      <c r="X31" s="111">
        <f>+X15+X16+X17+X18+X20+X23+X25</f>
        <v>257029.13000000012</v>
      </c>
      <c r="Y31" s="32"/>
      <c r="AA31" s="26"/>
    </row>
    <row r="32" spans="1:34" ht="23.25" x14ac:dyDescent="0.3">
      <c r="B32" s="85"/>
      <c r="C32" s="86"/>
      <c r="D32" s="86"/>
      <c r="E32" s="87"/>
      <c r="F32" s="87"/>
      <c r="G32" s="87"/>
      <c r="H32" s="87"/>
      <c r="I32" s="88"/>
      <c r="J32" s="111">
        <f>+J31-J30</f>
        <v>0</v>
      </c>
      <c r="K32" s="114"/>
      <c r="L32" s="113"/>
      <c r="M32" s="113"/>
      <c r="N32" s="114"/>
      <c r="O32" s="114"/>
      <c r="P32" s="115"/>
      <c r="Q32" s="115"/>
      <c r="R32" s="115"/>
      <c r="S32" s="111"/>
      <c r="T32" s="115"/>
      <c r="U32" s="111"/>
      <c r="V32" s="111"/>
      <c r="W32" s="111"/>
      <c r="X32" s="111">
        <f>+X31-X30</f>
        <v>0</v>
      </c>
      <c r="AA32" s="26"/>
    </row>
    <row r="33" spans="1:27" hidden="1" x14ac:dyDescent="0.3">
      <c r="B33" s="85"/>
      <c r="C33" s="91"/>
      <c r="D33" s="91"/>
      <c r="E33" s="87"/>
      <c r="F33" s="87"/>
      <c r="G33" s="87"/>
      <c r="H33" s="87"/>
      <c r="I33" s="88"/>
      <c r="J33" s="89"/>
      <c r="K33" s="89"/>
      <c r="L33" s="88"/>
      <c r="M33" s="88"/>
      <c r="N33" s="89"/>
      <c r="O33" s="89"/>
      <c r="P33" s="64"/>
      <c r="Q33" s="64"/>
      <c r="R33" s="64"/>
      <c r="S33" s="64"/>
      <c r="T33" s="64"/>
      <c r="U33" s="90"/>
      <c r="V33" s="90"/>
      <c r="W33" s="90"/>
      <c r="X33" s="90"/>
      <c r="AA33" s="26"/>
    </row>
    <row r="34" spans="1:27" x14ac:dyDescent="0.3">
      <c r="B34" s="85"/>
      <c r="C34" s="91"/>
      <c r="D34" s="91"/>
      <c r="E34" s="87"/>
      <c r="F34" s="87"/>
      <c r="G34" s="87"/>
      <c r="H34" s="87"/>
      <c r="I34" s="88"/>
      <c r="J34" s="89"/>
      <c r="K34" s="89"/>
      <c r="L34" s="88"/>
      <c r="M34" s="88"/>
      <c r="N34" s="89"/>
      <c r="O34" s="89"/>
      <c r="P34" s="64"/>
      <c r="Q34" s="64"/>
      <c r="R34" s="64"/>
      <c r="S34" s="64"/>
      <c r="T34" s="64"/>
      <c r="U34" s="64"/>
      <c r="V34" s="64"/>
      <c r="W34" s="64"/>
      <c r="X34" s="64"/>
      <c r="AA34" s="26"/>
    </row>
    <row r="35" spans="1:27" x14ac:dyDescent="0.3">
      <c r="B35" s="85"/>
      <c r="C35" s="91"/>
      <c r="D35" s="91"/>
      <c r="E35" s="87"/>
      <c r="F35" s="87"/>
      <c r="G35" s="87"/>
      <c r="H35" s="87"/>
      <c r="I35" s="88"/>
      <c r="J35" s="89"/>
      <c r="K35" s="89"/>
      <c r="L35" s="88"/>
      <c r="M35" s="88"/>
      <c r="N35" s="89"/>
      <c r="O35" s="89"/>
      <c r="P35" s="64"/>
      <c r="Q35" s="64"/>
      <c r="R35" s="64"/>
      <c r="S35" s="64"/>
      <c r="T35" s="64"/>
      <c r="U35" s="64"/>
      <c r="V35" s="64"/>
      <c r="W35" s="64"/>
      <c r="X35" s="64"/>
      <c r="AA35" s="26"/>
    </row>
    <row r="36" spans="1:27" x14ac:dyDescent="0.3">
      <c r="B36" s="85"/>
      <c r="C36" s="91"/>
      <c r="D36" s="91"/>
      <c r="E36" s="87"/>
      <c r="F36" s="87"/>
      <c r="G36" s="87"/>
      <c r="H36" s="87"/>
      <c r="I36" s="88"/>
      <c r="J36" s="89"/>
      <c r="K36" s="89"/>
      <c r="L36" s="88"/>
      <c r="M36" s="88"/>
      <c r="N36" s="89"/>
      <c r="O36" s="89"/>
      <c r="P36" s="64"/>
      <c r="Q36" s="64"/>
      <c r="R36" s="64"/>
      <c r="S36" s="64"/>
      <c r="T36" s="64"/>
      <c r="U36" s="64"/>
      <c r="V36" s="64"/>
      <c r="W36" s="64"/>
      <c r="X36" s="64"/>
      <c r="AA36" s="26"/>
    </row>
    <row r="37" spans="1:27" s="3" customFormat="1" ht="23.25" x14ac:dyDescent="0.3">
      <c r="A37" s="1"/>
      <c r="B37" s="85"/>
      <c r="C37" s="89"/>
      <c r="D37" s="86" t="s">
        <v>20</v>
      </c>
      <c r="E37" s="86"/>
      <c r="F37" s="92"/>
      <c r="G37" s="86" t="s">
        <v>21</v>
      </c>
      <c r="H37" s="93"/>
      <c r="I37" s="89"/>
      <c r="J37" s="89"/>
      <c r="K37" s="89"/>
      <c r="L37" s="89"/>
      <c r="M37" s="89"/>
      <c r="N37" s="89"/>
      <c r="O37" s="89"/>
      <c r="P37" s="94"/>
      <c r="Q37" s="94"/>
      <c r="R37" s="94"/>
      <c r="S37" s="94"/>
      <c r="T37" s="94"/>
      <c r="U37" s="94"/>
      <c r="V37" s="94"/>
      <c r="W37" s="94"/>
      <c r="X37" s="94"/>
      <c r="Y37" s="29"/>
      <c r="Z37" s="26"/>
      <c r="AA37" s="29"/>
    </row>
    <row r="38" spans="1:27" s="3" customFormat="1" ht="23.25" x14ac:dyDescent="0.25">
      <c r="A38" s="1"/>
      <c r="B38" s="85"/>
      <c r="C38" s="89"/>
      <c r="D38" s="86" t="s">
        <v>104</v>
      </c>
      <c r="E38" s="86"/>
      <c r="F38" s="87"/>
      <c r="G38" s="89"/>
      <c r="H38" s="89"/>
      <c r="I38" s="86" t="s">
        <v>143</v>
      </c>
      <c r="J38" s="89"/>
      <c r="K38" s="89"/>
      <c r="L38" s="89"/>
      <c r="M38" s="89"/>
      <c r="N38" s="89"/>
      <c r="O38" s="89"/>
      <c r="P38" s="89"/>
      <c r="Q38" s="94"/>
      <c r="R38" s="94"/>
      <c r="S38" s="94"/>
      <c r="T38" s="94"/>
      <c r="U38" s="94"/>
      <c r="V38" s="94"/>
      <c r="W38" s="94"/>
      <c r="X38" s="94"/>
      <c r="Y38" s="29"/>
      <c r="Z38" s="29"/>
    </row>
    <row r="39" spans="1:27" hidden="1" x14ac:dyDescent="0.3">
      <c r="B39" s="85"/>
      <c r="C39" s="91"/>
      <c r="D39" s="91"/>
      <c r="E39" s="91"/>
      <c r="F39" s="87"/>
      <c r="G39" s="87"/>
      <c r="H39" s="87"/>
      <c r="I39" s="88"/>
      <c r="J39" s="89"/>
      <c r="K39" s="89"/>
      <c r="L39" s="88"/>
      <c r="M39" s="88"/>
      <c r="N39" s="89"/>
      <c r="O39" s="89"/>
      <c r="P39" s="95"/>
      <c r="Q39" s="64"/>
      <c r="R39" s="64"/>
      <c r="S39" s="64"/>
      <c r="T39" s="64"/>
      <c r="U39" s="64"/>
      <c r="V39" s="64"/>
      <c r="W39" s="64"/>
      <c r="X39" s="64"/>
      <c r="Z39" s="29"/>
    </row>
    <row r="40" spans="1:27" s="14" customFormat="1" ht="23.25" hidden="1" x14ac:dyDescent="0.35">
      <c r="B40" s="96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3"/>
      <c r="P40" s="97"/>
      <c r="Q40" s="64"/>
      <c r="R40" s="64"/>
      <c r="S40" s="64"/>
      <c r="T40" s="64"/>
      <c r="U40" s="64"/>
      <c r="V40" s="64"/>
      <c r="W40" s="64"/>
      <c r="X40" s="64"/>
      <c r="Y40" s="26"/>
      <c r="Z40" s="26"/>
    </row>
    <row r="41" spans="1:27" x14ac:dyDescent="0.3">
      <c r="B41" s="85"/>
      <c r="C41" s="91"/>
      <c r="D41" s="91"/>
      <c r="E41" s="87"/>
      <c r="F41" s="87"/>
      <c r="G41" s="87"/>
      <c r="H41" s="87"/>
      <c r="I41" s="88"/>
      <c r="J41" s="89"/>
      <c r="K41" s="89"/>
      <c r="L41" s="88"/>
      <c r="M41" s="88"/>
      <c r="N41" s="89"/>
      <c r="O41" s="89"/>
      <c r="P41" s="95"/>
      <c r="Q41" s="64"/>
      <c r="R41" s="64"/>
      <c r="S41" s="64"/>
      <c r="T41" s="64"/>
      <c r="U41" s="64"/>
      <c r="V41" s="64"/>
      <c r="W41" s="64"/>
      <c r="X41" s="64"/>
    </row>
    <row r="47" spans="1:27" x14ac:dyDescent="0.3">
      <c r="J47" s="3">
        <v>584602.41999999993</v>
      </c>
      <c r="K47" s="3">
        <v>584602.41999999993</v>
      </c>
    </row>
    <row r="48" spans="1:27" x14ac:dyDescent="0.3">
      <c r="J48" s="3">
        <v>117994.59</v>
      </c>
      <c r="K48" s="3">
        <v>117994.59</v>
      </c>
    </row>
    <row r="49" spans="1:15" x14ac:dyDescent="0.3">
      <c r="J49" s="3">
        <f>J47+J48</f>
        <v>702597.00999999989</v>
      </c>
      <c r="K49" s="3">
        <f>K47+K48</f>
        <v>702597.00999999989</v>
      </c>
    </row>
    <row r="51" spans="1:15" ht="48" customHeight="1" x14ac:dyDescent="0.3">
      <c r="A51" s="10"/>
      <c r="B51" s="24">
        <v>2</v>
      </c>
      <c r="C51" s="24" t="s">
        <v>12</v>
      </c>
      <c r="D51" s="24"/>
      <c r="E51" s="16" t="s">
        <v>22</v>
      </c>
      <c r="F51" s="16"/>
      <c r="G51" s="16"/>
      <c r="H51" s="11" t="str">
        <f>TEXT(I51,"yyyy")</f>
        <v>1985</v>
      </c>
      <c r="I51" s="19">
        <v>31048</v>
      </c>
      <c r="J51" s="15">
        <v>179921.53</v>
      </c>
      <c r="K51" s="15">
        <v>179921.53</v>
      </c>
      <c r="L51" s="22" t="s">
        <v>9</v>
      </c>
      <c r="M51" s="22" t="s">
        <v>10</v>
      </c>
      <c r="N51" s="13" t="s">
        <v>13</v>
      </c>
      <c r="O51" s="12" t="s">
        <v>18</v>
      </c>
    </row>
    <row r="52" spans="1:15" ht="37.5" x14ac:dyDescent="0.3">
      <c r="A52" s="10"/>
      <c r="B52" s="24">
        <v>6</v>
      </c>
      <c r="C52" s="24" t="s">
        <v>14</v>
      </c>
      <c r="D52" s="24"/>
      <c r="E52" s="16" t="s">
        <v>23</v>
      </c>
      <c r="F52" s="16"/>
      <c r="G52" s="16"/>
      <c r="H52" s="11" t="str">
        <f>TEXT(I52,"yyyy")</f>
        <v>2010</v>
      </c>
      <c r="I52" s="19">
        <v>40330</v>
      </c>
      <c r="J52" s="15">
        <v>702597.00999999989</v>
      </c>
      <c r="K52" s="15">
        <v>702597.00999999989</v>
      </c>
      <c r="L52" s="11" t="s">
        <v>9</v>
      </c>
      <c r="M52" s="22" t="s">
        <v>10</v>
      </c>
      <c r="N52" s="12" t="s">
        <v>15</v>
      </c>
      <c r="O52" s="12" t="s">
        <v>18</v>
      </c>
    </row>
    <row r="55" spans="1:15" ht="42.75" customHeight="1" x14ac:dyDescent="0.3">
      <c r="A55" s="10"/>
      <c r="B55" s="24">
        <v>1</v>
      </c>
      <c r="C55" s="24" t="s">
        <v>26</v>
      </c>
      <c r="D55" s="24"/>
      <c r="E55" s="16" t="s">
        <v>48</v>
      </c>
      <c r="F55" s="16"/>
      <c r="G55" s="16"/>
      <c r="H55" s="11" t="str">
        <f t="shared" ref="H55:H77" si="2">TEXT(I55,"yyyy")</f>
        <v>1985</v>
      </c>
      <c r="I55" s="19">
        <v>31048</v>
      </c>
      <c r="J55" s="15">
        <v>46733.65</v>
      </c>
      <c r="K55" s="15">
        <v>46733.65</v>
      </c>
      <c r="L55" s="22" t="s">
        <v>9</v>
      </c>
      <c r="M55" s="22" t="s">
        <v>49</v>
      </c>
      <c r="N55" s="13" t="s">
        <v>50</v>
      </c>
      <c r="O55" s="12" t="s">
        <v>51</v>
      </c>
    </row>
    <row r="56" spans="1:15" ht="42.75" customHeight="1" x14ac:dyDescent="0.3">
      <c r="A56" s="10"/>
      <c r="B56" s="24">
        <v>2</v>
      </c>
      <c r="C56" s="24" t="s">
        <v>27</v>
      </c>
      <c r="D56" s="24"/>
      <c r="E56" s="16" t="s">
        <v>52</v>
      </c>
      <c r="F56" s="16"/>
      <c r="G56" s="16"/>
      <c r="H56" s="11" t="str">
        <f t="shared" si="2"/>
        <v>1985</v>
      </c>
      <c r="I56" s="19">
        <v>31048</v>
      </c>
      <c r="J56" s="15">
        <v>65737.33</v>
      </c>
      <c r="K56" s="15">
        <v>65737.33</v>
      </c>
      <c r="L56" s="22" t="s">
        <v>9</v>
      </c>
      <c r="M56" s="22" t="s">
        <v>49</v>
      </c>
      <c r="N56" s="13" t="s">
        <v>50</v>
      </c>
      <c r="O56" s="12" t="s">
        <v>51</v>
      </c>
    </row>
    <row r="57" spans="1:15" ht="42.75" customHeight="1" x14ac:dyDescent="0.3">
      <c r="A57" s="10"/>
      <c r="B57" s="24">
        <v>3</v>
      </c>
      <c r="C57" s="24" t="s">
        <v>28</v>
      </c>
      <c r="D57" s="24"/>
      <c r="E57" s="16" t="s">
        <v>53</v>
      </c>
      <c r="F57" s="16"/>
      <c r="G57" s="16"/>
      <c r="H57" s="11" t="str">
        <f t="shared" si="2"/>
        <v>1985</v>
      </c>
      <c r="I57" s="19">
        <v>31048</v>
      </c>
      <c r="J57" s="15">
        <v>59323.360000000001</v>
      </c>
      <c r="K57" s="15">
        <v>59323.360000000001</v>
      </c>
      <c r="L57" s="11" t="s">
        <v>9</v>
      </c>
      <c r="M57" s="22" t="s">
        <v>49</v>
      </c>
      <c r="N57" s="13" t="s">
        <v>50</v>
      </c>
      <c r="O57" s="13" t="s">
        <v>51</v>
      </c>
    </row>
    <row r="58" spans="1:15" ht="42.75" customHeight="1" x14ac:dyDescent="0.3">
      <c r="A58" s="10"/>
      <c r="B58" s="24">
        <v>4</v>
      </c>
      <c r="C58" s="24" t="s">
        <v>29</v>
      </c>
      <c r="D58" s="24"/>
      <c r="E58" s="16" t="s">
        <v>54</v>
      </c>
      <c r="F58" s="16"/>
      <c r="G58" s="16"/>
      <c r="H58" s="11" t="str">
        <f t="shared" si="2"/>
        <v>1985</v>
      </c>
      <c r="I58" s="19">
        <v>31048</v>
      </c>
      <c r="J58" s="15">
        <v>52299.72</v>
      </c>
      <c r="K58" s="15">
        <v>52299.72</v>
      </c>
      <c r="L58" s="11" t="s">
        <v>9</v>
      </c>
      <c r="M58" s="22" t="s">
        <v>49</v>
      </c>
      <c r="N58" s="13" t="s">
        <v>50</v>
      </c>
      <c r="O58" s="13" t="s">
        <v>51</v>
      </c>
    </row>
    <row r="59" spans="1:15" ht="42.75" customHeight="1" x14ac:dyDescent="0.3">
      <c r="A59" s="10"/>
      <c r="B59" s="24">
        <v>5</v>
      </c>
      <c r="C59" s="24" t="s">
        <v>30</v>
      </c>
      <c r="D59" s="24"/>
      <c r="E59" s="16" t="s">
        <v>55</v>
      </c>
      <c r="F59" s="16"/>
      <c r="G59" s="16"/>
      <c r="H59" s="11" t="str">
        <f t="shared" si="2"/>
        <v>1985</v>
      </c>
      <c r="I59" s="19">
        <v>31048</v>
      </c>
      <c r="J59" s="15">
        <v>235109.3</v>
      </c>
      <c r="K59" s="15">
        <v>235109.3</v>
      </c>
      <c r="L59" s="11" t="s">
        <v>9</v>
      </c>
      <c r="M59" s="22" t="s">
        <v>49</v>
      </c>
      <c r="N59" s="12" t="s">
        <v>50</v>
      </c>
      <c r="O59" s="12" t="s">
        <v>51</v>
      </c>
    </row>
    <row r="60" spans="1:15" ht="42.75" customHeight="1" x14ac:dyDescent="0.3">
      <c r="A60" s="10"/>
      <c r="B60" s="24">
        <v>6</v>
      </c>
      <c r="C60" s="24" t="s">
        <v>31</v>
      </c>
      <c r="D60" s="24"/>
      <c r="E60" s="16" t="s">
        <v>56</v>
      </c>
      <c r="F60" s="16"/>
      <c r="G60" s="16"/>
      <c r="H60" s="11" t="str">
        <f t="shared" si="2"/>
        <v>1985</v>
      </c>
      <c r="I60" s="19">
        <v>31048</v>
      </c>
      <c r="J60" s="15">
        <v>648883.19999999995</v>
      </c>
      <c r="K60" s="15">
        <v>648883.19999999995</v>
      </c>
      <c r="L60" s="11" t="s">
        <v>9</v>
      </c>
      <c r="M60" s="22" t="s">
        <v>11</v>
      </c>
      <c r="N60" s="12" t="s">
        <v>50</v>
      </c>
      <c r="O60" s="12" t="s">
        <v>57</v>
      </c>
    </row>
    <row r="61" spans="1:15" ht="42.75" customHeight="1" x14ac:dyDescent="0.3">
      <c r="A61" s="10"/>
      <c r="B61" s="24">
        <v>7</v>
      </c>
      <c r="C61" s="24" t="s">
        <v>32</v>
      </c>
      <c r="D61" s="24"/>
      <c r="E61" s="16" t="s">
        <v>58</v>
      </c>
      <c r="F61" s="16"/>
      <c r="G61" s="16"/>
      <c r="H61" s="11" t="str">
        <f t="shared" si="2"/>
        <v>1985</v>
      </c>
      <c r="I61" s="19">
        <v>31048</v>
      </c>
      <c r="J61" s="15">
        <v>56167.21</v>
      </c>
      <c r="K61" s="15">
        <v>56167.21</v>
      </c>
      <c r="L61" s="11" t="s">
        <v>9</v>
      </c>
      <c r="M61" s="22" t="s">
        <v>11</v>
      </c>
      <c r="N61" s="12" t="s">
        <v>50</v>
      </c>
      <c r="O61" s="12" t="s">
        <v>51</v>
      </c>
    </row>
    <row r="62" spans="1:15" ht="42.75" customHeight="1" x14ac:dyDescent="0.3">
      <c r="A62" s="10"/>
      <c r="B62" s="24">
        <v>8</v>
      </c>
      <c r="C62" s="24" t="s">
        <v>33</v>
      </c>
      <c r="D62" s="24"/>
      <c r="E62" s="16" t="s">
        <v>59</v>
      </c>
      <c r="F62" s="16"/>
      <c r="G62" s="16"/>
      <c r="H62" s="11" t="str">
        <f t="shared" si="2"/>
        <v>1985</v>
      </c>
      <c r="I62" s="19">
        <v>31048</v>
      </c>
      <c r="J62" s="15">
        <v>6590245.3700000001</v>
      </c>
      <c r="K62" s="15">
        <v>6590245.3700000001</v>
      </c>
      <c r="L62" s="11" t="s">
        <v>9</v>
      </c>
      <c r="M62" s="22" t="s">
        <v>49</v>
      </c>
      <c r="N62" s="12" t="s">
        <v>50</v>
      </c>
      <c r="O62" s="12" t="s">
        <v>60</v>
      </c>
    </row>
    <row r="63" spans="1:15" ht="42.75" customHeight="1" x14ac:dyDescent="0.3">
      <c r="A63" s="10"/>
      <c r="B63" s="24">
        <v>9</v>
      </c>
      <c r="C63" s="24" t="s">
        <v>34</v>
      </c>
      <c r="D63" s="24"/>
      <c r="E63" s="16" t="s">
        <v>61</v>
      </c>
      <c r="F63" s="16"/>
      <c r="G63" s="16"/>
      <c r="H63" s="11" t="str">
        <f t="shared" si="2"/>
        <v>1985</v>
      </c>
      <c r="I63" s="19">
        <v>31048</v>
      </c>
      <c r="J63" s="15">
        <v>596518.80000000005</v>
      </c>
      <c r="K63" s="15">
        <v>596518.80000000005</v>
      </c>
      <c r="L63" s="11" t="s">
        <v>9</v>
      </c>
      <c r="M63" s="22" t="s">
        <v>62</v>
      </c>
      <c r="N63" s="12" t="s">
        <v>50</v>
      </c>
      <c r="O63" s="12" t="s">
        <v>63</v>
      </c>
    </row>
    <row r="64" spans="1:15" ht="42.75" customHeight="1" x14ac:dyDescent="0.3">
      <c r="A64" s="10"/>
      <c r="B64" s="24">
        <v>10</v>
      </c>
      <c r="C64" s="24" t="s">
        <v>35</v>
      </c>
      <c r="D64" s="24"/>
      <c r="E64" s="16" t="s">
        <v>64</v>
      </c>
      <c r="F64" s="16"/>
      <c r="G64" s="16"/>
      <c r="H64" s="11" t="str">
        <f t="shared" si="2"/>
        <v>1985</v>
      </c>
      <c r="I64" s="19">
        <v>31048</v>
      </c>
      <c r="J64" s="15">
        <v>124490.88</v>
      </c>
      <c r="K64" s="15">
        <v>124490.88</v>
      </c>
      <c r="L64" s="11" t="s">
        <v>9</v>
      </c>
      <c r="M64" s="22" t="s">
        <v>62</v>
      </c>
      <c r="N64" s="12" t="s">
        <v>50</v>
      </c>
      <c r="O64" s="12" t="s">
        <v>51</v>
      </c>
    </row>
    <row r="65" spans="1:15" ht="42.75" customHeight="1" x14ac:dyDescent="0.3">
      <c r="A65" s="10"/>
      <c r="B65" s="24">
        <v>11</v>
      </c>
      <c r="C65" s="24" t="s">
        <v>36</v>
      </c>
      <c r="D65" s="24"/>
      <c r="E65" s="16" t="s">
        <v>65</v>
      </c>
      <c r="F65" s="16"/>
      <c r="G65" s="16"/>
      <c r="H65" s="11" t="str">
        <f t="shared" si="2"/>
        <v>1985</v>
      </c>
      <c r="I65" s="19">
        <v>31048</v>
      </c>
      <c r="J65" s="15">
        <v>225848.74</v>
      </c>
      <c r="K65" s="15">
        <v>225848.74</v>
      </c>
      <c r="L65" s="11" t="s">
        <v>9</v>
      </c>
      <c r="M65" s="22" t="s">
        <v>11</v>
      </c>
      <c r="N65" s="12" t="s">
        <v>50</v>
      </c>
      <c r="O65" s="12" t="s">
        <v>51</v>
      </c>
    </row>
    <row r="66" spans="1:15" ht="42.75" customHeight="1" x14ac:dyDescent="0.3">
      <c r="A66" s="10"/>
      <c r="B66" s="24">
        <v>12</v>
      </c>
      <c r="C66" s="24" t="s">
        <v>37</v>
      </c>
      <c r="D66" s="24"/>
      <c r="E66" s="16" t="s">
        <v>66</v>
      </c>
      <c r="F66" s="16"/>
      <c r="G66" s="16"/>
      <c r="H66" s="11" t="str">
        <f t="shared" si="2"/>
        <v>1985</v>
      </c>
      <c r="I66" s="19">
        <v>31048</v>
      </c>
      <c r="J66" s="15">
        <v>42131.73</v>
      </c>
      <c r="K66" s="15">
        <v>42131.73</v>
      </c>
      <c r="L66" s="11" t="s">
        <v>9</v>
      </c>
      <c r="M66" s="22" t="s">
        <v>49</v>
      </c>
      <c r="N66" s="12" t="s">
        <v>50</v>
      </c>
      <c r="O66" s="12" t="s">
        <v>51</v>
      </c>
    </row>
    <row r="67" spans="1:15" ht="42.75" customHeight="1" x14ac:dyDescent="0.3">
      <c r="A67" s="10"/>
      <c r="B67" s="24">
        <v>13</v>
      </c>
      <c r="C67" s="24" t="s">
        <v>38</v>
      </c>
      <c r="D67" s="24"/>
      <c r="E67" s="16" t="s">
        <v>67</v>
      </c>
      <c r="F67" s="16"/>
      <c r="G67" s="16"/>
      <c r="H67" s="11" t="str">
        <f t="shared" si="2"/>
        <v>1985</v>
      </c>
      <c r="I67" s="19">
        <v>31048</v>
      </c>
      <c r="J67" s="15">
        <v>96211.26</v>
      </c>
      <c r="K67" s="15">
        <v>96211.26</v>
      </c>
      <c r="L67" s="11" t="s">
        <v>9</v>
      </c>
      <c r="M67" s="22" t="s">
        <v>11</v>
      </c>
      <c r="N67" s="12" t="s">
        <v>50</v>
      </c>
      <c r="O67" s="12" t="s">
        <v>51</v>
      </c>
    </row>
    <row r="68" spans="1:15" ht="42.75" customHeight="1" x14ac:dyDescent="0.3">
      <c r="A68" s="10"/>
      <c r="B68" s="24">
        <v>14</v>
      </c>
      <c r="C68" s="24" t="s">
        <v>39</v>
      </c>
      <c r="D68" s="24"/>
      <c r="E68" s="16" t="s">
        <v>68</v>
      </c>
      <c r="F68" s="16"/>
      <c r="G68" s="16"/>
      <c r="H68" s="11" t="str">
        <f t="shared" si="2"/>
        <v>1985</v>
      </c>
      <c r="I68" s="19">
        <v>31048</v>
      </c>
      <c r="J68" s="15">
        <v>26237.58</v>
      </c>
      <c r="K68" s="15">
        <v>26237.58</v>
      </c>
      <c r="L68" s="11" t="s">
        <v>9</v>
      </c>
      <c r="M68" s="22" t="s">
        <v>11</v>
      </c>
      <c r="N68" s="12" t="s">
        <v>50</v>
      </c>
      <c r="O68" s="12" t="s">
        <v>51</v>
      </c>
    </row>
    <row r="69" spans="1:15" ht="42.75" customHeight="1" x14ac:dyDescent="0.3">
      <c r="A69" s="10"/>
      <c r="B69" s="24">
        <v>15</v>
      </c>
      <c r="C69" s="24" t="s">
        <v>40</v>
      </c>
      <c r="D69" s="24"/>
      <c r="E69" s="16" t="s">
        <v>69</v>
      </c>
      <c r="F69" s="16"/>
      <c r="G69" s="16"/>
      <c r="H69" s="11" t="str">
        <f t="shared" si="2"/>
        <v>1985</v>
      </c>
      <c r="I69" s="19">
        <v>31048</v>
      </c>
      <c r="J69" s="15">
        <v>48000</v>
      </c>
      <c r="K69" s="15">
        <v>48000</v>
      </c>
      <c r="L69" s="11" t="s">
        <v>9</v>
      </c>
      <c r="M69" s="22" t="s">
        <v>11</v>
      </c>
      <c r="N69" s="12" t="s">
        <v>50</v>
      </c>
      <c r="O69" s="12" t="s">
        <v>70</v>
      </c>
    </row>
    <row r="70" spans="1:15" ht="42.75" customHeight="1" x14ac:dyDescent="0.3">
      <c r="A70" s="10"/>
      <c r="B70" s="24">
        <v>16</v>
      </c>
      <c r="C70" s="24" t="s">
        <v>41</v>
      </c>
      <c r="D70" s="24"/>
      <c r="E70" s="16" t="s">
        <v>71</v>
      </c>
      <c r="F70" s="16"/>
      <c r="G70" s="16"/>
      <c r="H70" s="11" t="str">
        <f t="shared" si="2"/>
        <v>1985</v>
      </c>
      <c r="I70" s="19">
        <v>31048</v>
      </c>
      <c r="J70" s="15">
        <v>176400</v>
      </c>
      <c r="K70" s="15">
        <v>176400</v>
      </c>
      <c r="L70" s="11" t="s">
        <v>9</v>
      </c>
      <c r="M70" s="22" t="s">
        <v>49</v>
      </c>
      <c r="N70" s="12" t="s">
        <v>50</v>
      </c>
      <c r="O70" s="12" t="s">
        <v>72</v>
      </c>
    </row>
    <row r="71" spans="1:15" ht="42.75" customHeight="1" x14ac:dyDescent="0.3">
      <c r="A71" s="10"/>
      <c r="B71" s="24">
        <v>17</v>
      </c>
      <c r="C71" s="24" t="s">
        <v>41</v>
      </c>
      <c r="D71" s="24"/>
      <c r="E71" s="16" t="s">
        <v>73</v>
      </c>
      <c r="F71" s="16"/>
      <c r="G71" s="16"/>
      <c r="H71" s="11" t="str">
        <f t="shared" si="2"/>
        <v>1985</v>
      </c>
      <c r="I71" s="19">
        <v>31048</v>
      </c>
      <c r="J71" s="15">
        <v>118800</v>
      </c>
      <c r="K71" s="15">
        <v>118800</v>
      </c>
      <c r="L71" s="11" t="s">
        <v>9</v>
      </c>
      <c r="M71" s="22" t="s">
        <v>49</v>
      </c>
      <c r="N71" s="12" t="s">
        <v>50</v>
      </c>
      <c r="O71" s="12" t="s">
        <v>74</v>
      </c>
    </row>
    <row r="72" spans="1:15" ht="42.75" customHeight="1" x14ac:dyDescent="0.3">
      <c r="A72" s="10"/>
      <c r="B72" s="24">
        <v>18</v>
      </c>
      <c r="C72" s="24" t="s">
        <v>41</v>
      </c>
      <c r="D72" s="24"/>
      <c r="E72" s="16" t="s">
        <v>75</v>
      </c>
      <c r="F72" s="16"/>
      <c r="G72" s="16"/>
      <c r="H72" s="11" t="str">
        <f t="shared" si="2"/>
        <v>1985</v>
      </c>
      <c r="I72" s="19">
        <v>31048</v>
      </c>
      <c r="J72" s="15">
        <v>87000</v>
      </c>
      <c r="K72" s="15">
        <v>87000</v>
      </c>
      <c r="L72" s="11" t="s">
        <v>9</v>
      </c>
      <c r="M72" s="22" t="s">
        <v>49</v>
      </c>
      <c r="N72" s="12" t="s">
        <v>50</v>
      </c>
      <c r="O72" s="12" t="s">
        <v>76</v>
      </c>
    </row>
    <row r="73" spans="1:15" ht="42.75" customHeight="1" x14ac:dyDescent="0.3">
      <c r="A73" s="10"/>
      <c r="B73" s="24">
        <v>19</v>
      </c>
      <c r="C73" s="24" t="s">
        <v>41</v>
      </c>
      <c r="D73" s="24"/>
      <c r="E73" s="16" t="s">
        <v>77</v>
      </c>
      <c r="F73" s="16"/>
      <c r="G73" s="16"/>
      <c r="H73" s="11" t="str">
        <f t="shared" si="2"/>
        <v>1985</v>
      </c>
      <c r="I73" s="19">
        <v>31048</v>
      </c>
      <c r="J73" s="15">
        <v>58000</v>
      </c>
      <c r="K73" s="15">
        <v>58000</v>
      </c>
      <c r="L73" s="11" t="s">
        <v>9</v>
      </c>
      <c r="M73" s="22" t="s">
        <v>49</v>
      </c>
      <c r="N73" s="12" t="s">
        <v>50</v>
      </c>
      <c r="O73" s="12" t="s">
        <v>78</v>
      </c>
    </row>
    <row r="74" spans="1:15" ht="42.75" customHeight="1" x14ac:dyDescent="0.3">
      <c r="A74" s="10"/>
      <c r="B74" s="24">
        <v>20</v>
      </c>
      <c r="C74" s="24" t="s">
        <v>41</v>
      </c>
      <c r="D74" s="24"/>
      <c r="E74" s="16" t="s">
        <v>79</v>
      </c>
      <c r="F74" s="16"/>
      <c r="G74" s="16"/>
      <c r="H74" s="11" t="str">
        <f t="shared" si="2"/>
        <v>1985</v>
      </c>
      <c r="I74" s="19">
        <v>31048</v>
      </c>
      <c r="J74" s="15">
        <v>232156</v>
      </c>
      <c r="K74" s="15">
        <v>232156</v>
      </c>
      <c r="L74" s="11" t="s">
        <v>9</v>
      </c>
      <c r="M74" s="22" t="s">
        <v>49</v>
      </c>
      <c r="N74" s="12" t="s">
        <v>50</v>
      </c>
      <c r="O74" s="12" t="s">
        <v>80</v>
      </c>
    </row>
    <row r="75" spans="1:15" ht="42.75" customHeight="1" x14ac:dyDescent="0.3">
      <c r="A75" s="10"/>
      <c r="B75" s="24">
        <v>21</v>
      </c>
      <c r="C75" s="24" t="s">
        <v>42</v>
      </c>
      <c r="D75" s="24"/>
      <c r="E75" s="16" t="s">
        <v>81</v>
      </c>
      <c r="F75" s="16"/>
      <c r="G75" s="16"/>
      <c r="H75" s="11" t="str">
        <f t="shared" si="2"/>
        <v>2003</v>
      </c>
      <c r="I75" s="19">
        <v>37653</v>
      </c>
      <c r="J75" s="15">
        <v>213870.17</v>
      </c>
      <c r="K75" s="15">
        <v>213870.17</v>
      </c>
      <c r="L75" s="11" t="s">
        <v>9</v>
      </c>
      <c r="M75" s="22" t="s">
        <v>49</v>
      </c>
      <c r="N75" s="12" t="s">
        <v>50</v>
      </c>
      <c r="O75" s="12" t="s">
        <v>18</v>
      </c>
    </row>
    <row r="76" spans="1:15" ht="42.75" customHeight="1" x14ac:dyDescent="0.3">
      <c r="A76" s="10"/>
      <c r="B76" s="24">
        <v>22</v>
      </c>
      <c r="C76" s="24" t="s">
        <v>43</v>
      </c>
      <c r="D76" s="24"/>
      <c r="E76" s="16" t="s">
        <v>82</v>
      </c>
      <c r="F76" s="16"/>
      <c r="G76" s="16"/>
      <c r="H76" s="11" t="str">
        <f t="shared" si="2"/>
        <v>2005</v>
      </c>
      <c r="I76" s="19">
        <v>38553</v>
      </c>
      <c r="J76" s="15">
        <v>36800</v>
      </c>
      <c r="K76" s="15">
        <v>36800</v>
      </c>
      <c r="L76" s="11" t="s">
        <v>9</v>
      </c>
      <c r="M76" s="22" t="s">
        <v>49</v>
      </c>
      <c r="N76" s="12" t="s">
        <v>50</v>
      </c>
      <c r="O76" s="12" t="s">
        <v>83</v>
      </c>
    </row>
    <row r="77" spans="1:15" ht="42.75" customHeight="1" x14ac:dyDescent="0.3">
      <c r="A77" s="10"/>
      <c r="B77" s="24">
        <v>23</v>
      </c>
      <c r="C77" s="24" t="s">
        <v>44</v>
      </c>
      <c r="D77" s="24"/>
      <c r="E77" s="16" t="s">
        <v>84</v>
      </c>
      <c r="F77" s="16"/>
      <c r="G77" s="16"/>
      <c r="H77" s="11" t="str">
        <f t="shared" si="2"/>
        <v>2005</v>
      </c>
      <c r="I77" s="19">
        <v>38562</v>
      </c>
      <c r="J77" s="15">
        <v>222345</v>
      </c>
      <c r="K77" s="15">
        <v>222345</v>
      </c>
      <c r="L77" s="11" t="s">
        <v>9</v>
      </c>
      <c r="M77" s="22" t="s">
        <v>49</v>
      </c>
      <c r="N77" s="12" t="s">
        <v>50</v>
      </c>
      <c r="O77" s="12" t="s">
        <v>72</v>
      </c>
    </row>
    <row r="79" spans="1:15" x14ac:dyDescent="0.3">
      <c r="J79" s="25">
        <f>SUM(J51:J77)</f>
        <v>10941827.840000002</v>
      </c>
      <c r="K79" s="25">
        <f>SUM(K51:K77)</f>
        <v>10941827.840000002</v>
      </c>
    </row>
    <row r="81" spans="10:11" x14ac:dyDescent="0.3">
      <c r="J81" s="25">
        <f>SUM(J30,J79)</f>
        <v>12146965.580000002</v>
      </c>
      <c r="K81" s="25">
        <f>SUM(K30,K79)</f>
        <v>11079776.060000002</v>
      </c>
    </row>
  </sheetData>
  <autoFilter ref="B10:O11"/>
  <mergeCells count="16">
    <mergeCell ref="B23:B24"/>
    <mergeCell ref="D23:D24"/>
    <mergeCell ref="X23:X24"/>
    <mergeCell ref="V18:V19"/>
    <mergeCell ref="W18:W19"/>
    <mergeCell ref="X18:X19"/>
    <mergeCell ref="B20:B22"/>
    <mergeCell ref="D20:D22"/>
    <mergeCell ref="X20:X22"/>
    <mergeCell ref="B11:U11"/>
    <mergeCell ref="B14:U14"/>
    <mergeCell ref="B16:B17"/>
    <mergeCell ref="D16:D17"/>
    <mergeCell ref="B18:B19"/>
    <mergeCell ref="D18:D19"/>
    <mergeCell ref="U18:U19"/>
  </mergeCells>
  <printOptions horizontalCentered="1"/>
  <pageMargins left="0.23622047244094491" right="0.23622047244094491" top="0.55118110236220474" bottom="0.47244094488188981" header="0.11811023622047245" footer="0.31496062992125984"/>
  <pageSetup scale="55" orientation="landscape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Mayores a $20,000.00 Dic 22</vt:lpstr>
      <vt:lpstr>'Mayores a $20,000.00 Dic 22'!Área_de_impresión</vt:lpstr>
      <vt:lpstr>'Mayores a $20,000.00 Dic 22'!Títulos_a_imprimir</vt:lpstr>
    </vt:vector>
  </TitlesOfParts>
  <Company>Corporación Salvadoreña de Inversiones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Marenco</dc:creator>
  <cp:lastModifiedBy>Eli Gamaliel Guevara Fuentes</cp:lastModifiedBy>
  <cp:lastPrinted>2023-01-19T21:24:26Z</cp:lastPrinted>
  <dcterms:created xsi:type="dcterms:W3CDTF">2013-04-25T15:13:30Z</dcterms:created>
  <dcterms:modified xsi:type="dcterms:W3CDTF">2023-01-19T21:30:35Z</dcterms:modified>
</cp:coreProperties>
</file>