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766"/>
  <workbookPr/>
  <mc:AlternateContent xmlns:mc="http://schemas.openxmlformats.org/markup-compatibility/2006">
    <mc:Choice Requires="x15">
      <x15ac:absPath xmlns:x15ac="http://schemas.microsoft.com/office/spreadsheetml/2010/11/ac" url="D:\Usuario\Desktop\Carpeta UAIP Primer Trimestre\carpetas proyectos\"/>
    </mc:Choice>
  </mc:AlternateContent>
  <bookViews>
    <workbookView xWindow="0" yWindow="0" windowWidth="23040" windowHeight="8010" firstSheet="6" activeTab="6"/>
  </bookViews>
  <sheets>
    <sheet name="CANTIDADES" sheetId="1" r:id="rId1"/>
    <sheet name="CONFORMACION DE CALLES" sheetId="7" r:id="rId2"/>
    <sheet name="CARPETA" sheetId="2" r:id="rId3"/>
    <sheet name="Hoja1" sheetId="3" r:id="rId4"/>
    <sheet name="costo m tuberia AP 2&quot;" sheetId="4" r:id="rId5"/>
    <sheet name="Costo m tube AP 3&quot;" sheetId="6" r:id="rId6"/>
    <sheet name="PRESUPUESTO MODIFICADO" sheetId="8" r:id="rId7"/>
  </sheets>
  <definedNames>
    <definedName name="_xlnm.Print_Area" localSheetId="2">CARPETA!$A$1:$G$186</definedName>
    <definedName name="_xlnm.Print_Area" localSheetId="1">'CONFORMACION DE CALLES'!$A$1:$H$262</definedName>
    <definedName name="_xlnm.Print_Area" localSheetId="3">Hoja1!$A$1:$G$30</definedName>
    <definedName name="_xlnm.Print_Area" localSheetId="6">'PRESUPUESTO MODIFICADO'!$A$1:$M$82</definedName>
    <definedName name="_xlnm.Print_Titles" localSheetId="6">'PRESUPUESTO MODIFICADO'!$1:$6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37" i="8" l="1"/>
  <c r="I37" i="8" s="1"/>
  <c r="H38" i="8"/>
  <c r="I38" i="8" s="1"/>
  <c r="H36" i="8"/>
  <c r="I36" i="8" s="1"/>
  <c r="M65" i="8"/>
  <c r="E65" i="8"/>
  <c r="M76" i="8"/>
  <c r="M75" i="8"/>
  <c r="M74" i="8"/>
  <c r="M73" i="8"/>
  <c r="M71" i="8"/>
  <c r="M70" i="8"/>
  <c r="M68" i="8"/>
  <c r="M67" i="8"/>
  <c r="M66" i="8"/>
  <c r="M64" i="8"/>
  <c r="M63" i="8"/>
  <c r="M62" i="8"/>
  <c r="M61" i="8"/>
  <c r="M59" i="8"/>
  <c r="M58" i="8"/>
  <c r="M56" i="8"/>
  <c r="M55" i="8"/>
  <c r="M54" i="8"/>
  <c r="M52" i="8"/>
  <c r="M51" i="8"/>
  <c r="K46" i="8"/>
  <c r="E72" i="8"/>
  <c r="M72" i="8" s="1"/>
  <c r="E69" i="8"/>
  <c r="M69" i="8" s="1"/>
  <c r="M77" i="8" l="1"/>
  <c r="H12" i="8"/>
  <c r="I22" i="8"/>
  <c r="H23" i="8" l="1"/>
  <c r="I23" i="8" s="1"/>
  <c r="A61" i="8"/>
  <c r="A62" i="8" s="1"/>
  <c r="A58" i="8"/>
  <c r="A59" i="8" s="1"/>
  <c r="A54" i="8"/>
  <c r="A55" i="8" s="1"/>
  <c r="A56" i="8" s="1"/>
  <c r="A51" i="8"/>
  <c r="A52" i="8" s="1"/>
  <c r="A48" i="8"/>
  <c r="A46" i="8"/>
  <c r="A44" i="8"/>
  <c r="A42" i="8"/>
  <c r="A40" i="8"/>
  <c r="A36" i="8"/>
  <c r="A37" i="8" s="1"/>
  <c r="A38" i="8" s="1"/>
  <c r="A29" i="8"/>
  <c r="A30" i="8" s="1"/>
  <c r="A31" i="8" s="1"/>
  <c r="A32" i="8" s="1"/>
  <c r="A33" i="8" s="1"/>
  <c r="A34" i="8" s="1"/>
  <c r="A25" i="8"/>
  <c r="A26" i="8" s="1"/>
  <c r="A27" i="8" s="1"/>
  <c r="A22" i="8"/>
  <c r="A23" i="8" s="1"/>
  <c r="A19" i="8"/>
  <c r="A20" i="8" s="1"/>
  <c r="A12" i="8"/>
  <c r="A13" i="8" s="1"/>
  <c r="A14" i="8" s="1"/>
  <c r="A15" i="8" s="1"/>
  <c r="A16" i="8" s="1"/>
  <c r="A17" i="8" s="1"/>
  <c r="A8" i="8"/>
  <c r="A9" i="8" s="1"/>
  <c r="A10" i="8" s="1"/>
  <c r="A63" i="8" l="1"/>
  <c r="A64" i="8" s="1"/>
  <c r="A66" i="8" s="1"/>
  <c r="A67" i="8" s="1"/>
  <c r="I8" i="8"/>
  <c r="H8" i="8"/>
  <c r="A68" i="8" l="1"/>
  <c r="A69" i="8" s="1"/>
  <c r="A70" i="8" s="1"/>
  <c r="A71" i="8" s="1"/>
  <c r="K34" i="8"/>
  <c r="H30" i="8"/>
  <c r="I30" i="8" s="1"/>
  <c r="H31" i="8"/>
  <c r="I31" i="8" s="1"/>
  <c r="H32" i="8"/>
  <c r="I32" i="8" s="1"/>
  <c r="H33" i="8"/>
  <c r="I33" i="8" s="1"/>
  <c r="H29" i="8"/>
  <c r="I29" i="8" s="1"/>
  <c r="H27" i="8"/>
  <c r="I27" i="8" s="1"/>
  <c r="H26" i="8"/>
  <c r="I26" i="8" s="1"/>
  <c r="H25" i="8"/>
  <c r="I25" i="8" s="1"/>
  <c r="H20" i="8"/>
  <c r="I20" i="8" s="1"/>
  <c r="H19" i="8"/>
  <c r="I19" i="8" s="1"/>
  <c r="H10" i="8"/>
  <c r="A73" i="8" l="1"/>
  <c r="A74" i="8" s="1"/>
  <c r="A75" i="8" s="1"/>
  <c r="A76" i="8" s="1"/>
  <c r="A72" i="8"/>
  <c r="F48" i="8" l="1"/>
  <c r="G47" i="8" s="1"/>
  <c r="F46" i="8"/>
  <c r="G45" i="8" s="1"/>
  <c r="F44" i="8"/>
  <c r="G43" i="8" s="1"/>
  <c r="F42" i="8"/>
  <c r="I42" i="8" s="1"/>
  <c r="F40" i="8"/>
  <c r="G39" i="8" s="1"/>
  <c r="F38" i="8"/>
  <c r="F37" i="8"/>
  <c r="F36" i="8"/>
  <c r="F34" i="8"/>
  <c r="F33" i="8"/>
  <c r="F32" i="8"/>
  <c r="F31" i="8"/>
  <c r="F30" i="8"/>
  <c r="F29" i="8"/>
  <c r="F27" i="8"/>
  <c r="F26" i="8"/>
  <c r="F25" i="8"/>
  <c r="F23" i="8"/>
  <c r="F22" i="8"/>
  <c r="F20" i="8"/>
  <c r="F19" i="8"/>
  <c r="F17" i="8"/>
  <c r="F16" i="8"/>
  <c r="F15" i="8"/>
  <c r="F14" i="8"/>
  <c r="F13" i="8"/>
  <c r="F12" i="8"/>
  <c r="I12" i="8" s="1"/>
  <c r="F10" i="8"/>
  <c r="I10" i="8" s="1"/>
  <c r="F9" i="8"/>
  <c r="F8" i="8"/>
  <c r="G35" i="8" l="1"/>
  <c r="G28" i="8"/>
  <c r="G24" i="8"/>
  <c r="G7" i="8"/>
  <c r="G41" i="8"/>
  <c r="G21" i="8"/>
  <c r="G18" i="8"/>
  <c r="G11" i="8"/>
  <c r="U49" i="1" l="1"/>
  <c r="S60" i="1" l="1"/>
  <c r="K77" i="8" l="1"/>
  <c r="I77" i="8" l="1"/>
  <c r="G77" i="8"/>
  <c r="C81" i="8" s="1"/>
  <c r="E194" i="7"/>
  <c r="C80" i="8" l="1"/>
  <c r="C82" i="8" s="1"/>
  <c r="E174" i="7"/>
  <c r="G174" i="7" s="1"/>
  <c r="E175" i="7"/>
  <c r="G175" i="7" s="1"/>
  <c r="E176" i="7"/>
  <c r="G176" i="7" s="1"/>
  <c r="E177" i="7"/>
  <c r="G177" i="7" s="1"/>
  <c r="E178" i="7"/>
  <c r="G178" i="7" s="1"/>
  <c r="E179" i="7"/>
  <c r="G179" i="7" s="1"/>
  <c r="E180" i="7"/>
  <c r="G180" i="7" s="1"/>
  <c r="E181" i="7"/>
  <c r="G181" i="7" s="1"/>
  <c r="E173" i="7"/>
  <c r="G173" i="7" s="1"/>
  <c r="G183" i="7" s="1"/>
  <c r="H205" i="7"/>
  <c r="H204" i="7"/>
  <c r="H203" i="7"/>
  <c r="H202" i="7"/>
  <c r="H201" i="7"/>
  <c r="H198" i="7"/>
  <c r="H197" i="7"/>
  <c r="H196" i="7"/>
  <c r="H195" i="7"/>
  <c r="H194" i="7"/>
  <c r="B147" i="7"/>
  <c r="B102" i="7" s="1"/>
  <c r="D114" i="7" s="1"/>
  <c r="B146" i="7"/>
  <c r="B145" i="7"/>
  <c r="B100" i="7" s="1"/>
  <c r="D112" i="7" s="1"/>
  <c r="B101" i="7"/>
  <c r="D113" i="7" s="1"/>
  <c r="F72" i="7"/>
  <c r="B70" i="7"/>
  <c r="B60" i="7"/>
  <c r="B132" i="7" s="1"/>
  <c r="D136" i="7" s="1"/>
  <c r="C57" i="7"/>
  <c r="B57" i="7"/>
  <c r="I45" i="6"/>
  <c r="I44" i="6"/>
  <c r="I50" i="4"/>
  <c r="I49" i="4"/>
  <c r="I35" i="4"/>
  <c r="I36" i="4"/>
  <c r="G37" i="4"/>
  <c r="I37" i="4" s="1"/>
  <c r="G32" i="6"/>
  <c r="I32" i="6" s="1"/>
  <c r="I28" i="6"/>
  <c r="I29" i="6"/>
  <c r="I30" i="6"/>
  <c r="I31" i="6"/>
  <c r="P51" i="6"/>
  <c r="Q51" i="6" s="1"/>
  <c r="R51" i="6" s="1"/>
  <c r="I36" i="6"/>
  <c r="J41" i="6" s="1"/>
  <c r="I27" i="6"/>
  <c r="C7" i="6"/>
  <c r="I41" i="4"/>
  <c r="J46" i="4" s="1"/>
  <c r="J9" i="4" s="1"/>
  <c r="I34" i="4"/>
  <c r="I33" i="4"/>
  <c r="I32" i="4"/>
  <c r="E183" i="7" l="1"/>
  <c r="E191" i="7" s="1"/>
  <c r="H191" i="7" s="1"/>
  <c r="H190" i="7" s="1"/>
  <c r="D145" i="7" s="1"/>
  <c r="H193" i="7"/>
  <c r="D146" i="7" s="1"/>
  <c r="D101" i="7" s="1"/>
  <c r="F113" i="7" s="1"/>
  <c r="H200" i="7"/>
  <c r="H206" i="7" s="1"/>
  <c r="J54" i="4"/>
  <c r="J10" i="4" s="1"/>
  <c r="J33" i="6"/>
  <c r="J49" i="6"/>
  <c r="I31" i="4"/>
  <c r="I28" i="4"/>
  <c r="I29" i="4"/>
  <c r="I30" i="4"/>
  <c r="I27" i="4"/>
  <c r="P56" i="4"/>
  <c r="Q56" i="4" s="1"/>
  <c r="R56" i="4" s="1"/>
  <c r="C7" i="4"/>
  <c r="H145" i="7" l="1"/>
  <c r="D100" i="7"/>
  <c r="D147" i="7"/>
  <c r="D102" i="7" s="1"/>
  <c r="H146" i="7"/>
  <c r="H208" i="7"/>
  <c r="D148" i="7"/>
  <c r="H100" i="7" s="1"/>
  <c r="H147" i="7"/>
  <c r="F112" i="7"/>
  <c r="J38" i="4"/>
  <c r="J57" i="6"/>
  <c r="J59" i="6" s="1"/>
  <c r="E13" i="6" s="1"/>
  <c r="J62" i="4" l="1"/>
  <c r="E13" i="4" s="1"/>
  <c r="J8" i="4"/>
  <c r="J11" i="4" s="1"/>
  <c r="F25" i="7"/>
  <c r="K211" i="7"/>
  <c r="F114" i="7"/>
  <c r="D106" i="7"/>
  <c r="F115" i="7"/>
  <c r="H148" i="7"/>
  <c r="H149" i="7" s="1"/>
  <c r="F119" i="7"/>
  <c r="H106" i="7"/>
  <c r="R48" i="1"/>
  <c r="T45" i="1"/>
  <c r="T44" i="1"/>
  <c r="Q45" i="1"/>
  <c r="Q44" i="1"/>
  <c r="Q49" i="1" s="1"/>
  <c r="R42" i="1"/>
  <c r="R43" i="1"/>
  <c r="R44" i="1"/>
  <c r="R45" i="1"/>
  <c r="R46" i="1"/>
  <c r="R47" i="1"/>
  <c r="R41" i="1"/>
  <c r="T49" i="1" l="1"/>
  <c r="S61" i="1"/>
  <c r="R49" i="1"/>
  <c r="F120" i="7"/>
  <c r="Q29" i="1"/>
  <c r="Q27" i="1"/>
  <c r="Q26" i="1"/>
  <c r="Q25" i="1"/>
  <c r="Q24" i="1"/>
  <c r="Q23" i="1"/>
  <c r="Q22" i="1"/>
  <c r="Q21" i="1"/>
  <c r="Q20" i="1"/>
  <c r="Q19" i="1"/>
  <c r="Q16" i="1"/>
  <c r="Q15" i="1"/>
  <c r="V12" i="1"/>
  <c r="Q12" i="1"/>
  <c r="T9" i="1"/>
  <c r="S9" i="1"/>
  <c r="V9" i="1" s="1"/>
  <c r="V13" i="1"/>
  <c r="V30" i="1" l="1"/>
  <c r="S59" i="1"/>
  <c r="S58" i="1"/>
  <c r="Q6" i="1"/>
  <c r="Q13" i="1" l="1"/>
  <c r="Q14" i="1" l="1"/>
  <c r="Q7" i="1"/>
  <c r="Q17" i="1" l="1"/>
  <c r="F27" i="3" l="1"/>
  <c r="G27" i="3" s="1"/>
  <c r="F25" i="3"/>
  <c r="A25" i="3"/>
  <c r="F24" i="3"/>
  <c r="E22" i="3"/>
  <c r="F22" i="3" s="1"/>
  <c r="F21" i="3"/>
  <c r="F20" i="3"/>
  <c r="F19" i="3"/>
  <c r="A19" i="3"/>
  <c r="A20" i="3" s="1"/>
  <c r="A21" i="3" s="1"/>
  <c r="A22" i="3" s="1"/>
  <c r="F17" i="3"/>
  <c r="F14" i="3"/>
  <c r="E13" i="3"/>
  <c r="A13" i="3"/>
  <c r="A14" i="3" s="1"/>
  <c r="A15" i="3" s="1"/>
  <c r="A16" i="3" s="1"/>
  <c r="A17" i="3" s="1"/>
  <c r="E11" i="3"/>
  <c r="F11" i="3" s="1"/>
  <c r="F10" i="3"/>
  <c r="F9" i="3"/>
  <c r="F8" i="3"/>
  <c r="E7" i="3"/>
  <c r="F7" i="3" s="1"/>
  <c r="F6" i="3"/>
  <c r="A6" i="3"/>
  <c r="A7" i="3" s="1"/>
  <c r="A8" i="3" s="1"/>
  <c r="A9" i="3" s="1"/>
  <c r="A10" i="3" s="1"/>
  <c r="A11" i="3" s="1"/>
  <c r="G23" i="3" l="1"/>
  <c r="G5" i="3"/>
  <c r="G18" i="3"/>
  <c r="E179" i="2"/>
  <c r="F179" i="2" s="1"/>
  <c r="A139" i="2" l="1"/>
  <c r="F184" i="2" l="1"/>
  <c r="F181" i="2"/>
  <c r="F178" i="2"/>
  <c r="F176" i="2"/>
  <c r="F175" i="2"/>
  <c r="F173" i="2"/>
  <c r="F170" i="2"/>
  <c r="F164" i="2"/>
  <c r="F165" i="2"/>
  <c r="F166" i="2"/>
  <c r="F162" i="2"/>
  <c r="G174" i="2" l="1"/>
  <c r="G453" i="2"/>
  <c r="L451" i="2"/>
  <c r="F451" i="2"/>
  <c r="G450" i="2"/>
  <c r="F448" i="2"/>
  <c r="F447" i="2"/>
  <c r="G446" i="2"/>
  <c r="F444" i="2"/>
  <c r="G443" i="2"/>
  <c r="G441" i="2"/>
  <c r="B441" i="2"/>
  <c r="F439" i="2"/>
  <c r="G438" i="2" s="1"/>
  <c r="F436" i="2"/>
  <c r="G435" i="2"/>
  <c r="E433" i="2"/>
  <c r="F433" i="2" s="1"/>
  <c r="F432" i="2"/>
  <c r="F431" i="2"/>
  <c r="F430" i="2"/>
  <c r="F429" i="2"/>
  <c r="F428" i="2"/>
  <c r="F427" i="2"/>
  <c r="F426" i="2"/>
  <c r="F425" i="2"/>
  <c r="F424" i="2"/>
  <c r="F423" i="2"/>
  <c r="E422" i="2"/>
  <c r="F422" i="2" s="1"/>
  <c r="G421" i="2"/>
  <c r="F419" i="2"/>
  <c r="F418" i="2"/>
  <c r="F417" i="2"/>
  <c r="F416" i="2"/>
  <c r="F415" i="2"/>
  <c r="F414" i="2"/>
  <c r="F413" i="2"/>
  <c r="F412" i="2"/>
  <c r="F411" i="2"/>
  <c r="F410" i="2"/>
  <c r="F409" i="2"/>
  <c r="F408" i="2"/>
  <c r="F407" i="2"/>
  <c r="F406" i="2"/>
  <c r="F405" i="2"/>
  <c r="F404" i="2"/>
  <c r="F403" i="2"/>
  <c r="F402" i="2"/>
  <c r="F401" i="2"/>
  <c r="F400" i="2"/>
  <c r="F399" i="2"/>
  <c r="F398" i="2"/>
  <c r="F397" i="2"/>
  <c r="F396" i="2"/>
  <c r="F395" i="2"/>
  <c r="F394" i="2"/>
  <c r="F393" i="2"/>
  <c r="F392" i="2"/>
  <c r="F391" i="2"/>
  <c r="F390" i="2"/>
  <c r="F389" i="2"/>
  <c r="F388" i="2"/>
  <c r="F387" i="2"/>
  <c r="F386" i="2"/>
  <c r="F385" i="2"/>
  <c r="F384" i="2"/>
  <c r="F383" i="2"/>
  <c r="F382" i="2"/>
  <c r="F381" i="2"/>
  <c r="F380" i="2"/>
  <c r="F379" i="2"/>
  <c r="F378" i="2"/>
  <c r="F377" i="2"/>
  <c r="F376" i="2"/>
  <c r="F375" i="2"/>
  <c r="F374" i="2"/>
  <c r="F373" i="2"/>
  <c r="C372" i="2"/>
  <c r="F372" i="2" s="1"/>
  <c r="F371" i="2"/>
  <c r="F370" i="2"/>
  <c r="F369" i="2"/>
  <c r="F368" i="2"/>
  <c r="F367" i="2"/>
  <c r="F366" i="2"/>
  <c r="G365" i="2"/>
  <c r="F363" i="2"/>
  <c r="F362" i="2"/>
  <c r="F361" i="2"/>
  <c r="F360" i="2"/>
  <c r="F359" i="2"/>
  <c r="G358" i="2"/>
  <c r="F356" i="2"/>
  <c r="F355" i="2"/>
  <c r="F354" i="2"/>
  <c r="F353" i="2"/>
  <c r="F352" i="2"/>
  <c r="G351" i="2"/>
  <c r="F349" i="2"/>
  <c r="F348" i="2"/>
  <c r="C347" i="2"/>
  <c r="F347" i="2" s="1"/>
  <c r="C346" i="2"/>
  <c r="F346" i="2" s="1"/>
  <c r="F345" i="2"/>
  <c r="F344" i="2"/>
  <c r="F343" i="2"/>
  <c r="F342" i="2"/>
  <c r="F341" i="2"/>
  <c r="G340" i="2"/>
  <c r="F338" i="2"/>
  <c r="F337" i="2"/>
  <c r="F336" i="2"/>
  <c r="F335" i="2"/>
  <c r="F334" i="2"/>
  <c r="G333" i="2"/>
  <c r="G331" i="2"/>
  <c r="F329" i="2"/>
  <c r="G328" i="2"/>
  <c r="F326" i="2"/>
  <c r="G325" i="2"/>
  <c r="F323" i="2"/>
  <c r="G322" i="2" s="1"/>
  <c r="F320" i="2"/>
  <c r="F319" i="2"/>
  <c r="F318" i="2"/>
  <c r="F317" i="2"/>
  <c r="F316" i="2"/>
  <c r="F315" i="2"/>
  <c r="F314" i="2"/>
  <c r="G313" i="2" s="1"/>
  <c r="F311" i="2"/>
  <c r="F310" i="2"/>
  <c r="G309" i="2" s="1"/>
  <c r="F307" i="2"/>
  <c r="F306" i="2"/>
  <c r="F305" i="2"/>
  <c r="F304" i="2"/>
  <c r="F303" i="2"/>
  <c r="F302" i="2"/>
  <c r="F301" i="2"/>
  <c r="G298" i="2"/>
  <c r="F296" i="2"/>
  <c r="G295" i="2"/>
  <c r="F293" i="2"/>
  <c r="F292" i="2"/>
  <c r="G290" i="2"/>
  <c r="I275" i="2"/>
  <c r="I261" i="2" s="1"/>
  <c r="L272" i="2"/>
  <c r="M272" i="2" s="1"/>
  <c r="M261" i="2"/>
  <c r="E207" i="2"/>
  <c r="F207" i="2" s="1"/>
  <c r="G207" i="2" s="1"/>
  <c r="C206" i="2"/>
  <c r="F206" i="2" s="1"/>
  <c r="C205" i="2"/>
  <c r="F205" i="2" s="1"/>
  <c r="C204" i="2"/>
  <c r="F204" i="2" s="1"/>
  <c r="G203" i="2" s="1"/>
  <c r="E202" i="2"/>
  <c r="F202" i="2" s="1"/>
  <c r="E201" i="2"/>
  <c r="F201" i="2" s="1"/>
  <c r="E200" i="2"/>
  <c r="F200" i="2" s="1"/>
  <c r="E199" i="2"/>
  <c r="F199" i="2" s="1"/>
  <c r="E198" i="2"/>
  <c r="F198" i="2" s="1"/>
  <c r="E197" i="2"/>
  <c r="F197" i="2" s="1"/>
  <c r="E196" i="2"/>
  <c r="F196" i="2" s="1"/>
  <c r="E195" i="2"/>
  <c r="F195" i="2" s="1"/>
  <c r="E194" i="2"/>
  <c r="F194" i="2" s="1"/>
  <c r="G184" i="2"/>
  <c r="D116" i="2" s="1"/>
  <c r="G116" i="2" s="1"/>
  <c r="F182" i="2"/>
  <c r="A182" i="2"/>
  <c r="A175" i="2"/>
  <c r="A176" i="2" s="1"/>
  <c r="A177" i="2" s="1"/>
  <c r="A178" i="2" s="1"/>
  <c r="E169" i="2"/>
  <c r="A169" i="2"/>
  <c r="A170" i="2" s="1"/>
  <c r="A171" i="2" s="1"/>
  <c r="A172" i="2" s="1"/>
  <c r="A173" i="2" s="1"/>
  <c r="E167" i="2"/>
  <c r="F167" i="2" s="1"/>
  <c r="E163" i="2"/>
  <c r="F163" i="2" s="1"/>
  <c r="G161" i="2" s="1"/>
  <c r="A162" i="2"/>
  <c r="A163" i="2" s="1"/>
  <c r="A164" i="2" s="1"/>
  <c r="A165" i="2" s="1"/>
  <c r="A166" i="2" s="1"/>
  <c r="A167" i="2" s="1"/>
  <c r="A143" i="2"/>
  <c r="A142" i="2"/>
  <c r="A141" i="2"/>
  <c r="A115" i="2" s="1"/>
  <c r="A140" i="2"/>
  <c r="A114" i="2" s="1"/>
  <c r="A113" i="2"/>
  <c r="A138" i="2"/>
  <c r="A112" i="2" s="1"/>
  <c r="A117" i="2"/>
  <c r="A116" i="2"/>
  <c r="E71" i="2"/>
  <c r="A69" i="2"/>
  <c r="A16" i="2"/>
  <c r="A59" i="2" s="1"/>
  <c r="A102" i="2" s="1"/>
  <c r="C105" i="2" s="1"/>
  <c r="G193" i="2" l="1"/>
  <c r="G210" i="2" s="1"/>
  <c r="K453" i="2"/>
  <c r="K333" i="2"/>
  <c r="G300" i="2"/>
  <c r="D142" i="2"/>
  <c r="D140" i="2"/>
  <c r="C114" i="2" s="1"/>
  <c r="G114" i="2" s="1"/>
  <c r="D138" i="2"/>
  <c r="F209" i="2"/>
  <c r="G209" i="2" s="1"/>
  <c r="G452" i="2"/>
  <c r="G180" i="2"/>
  <c r="D141" i="2" s="1"/>
  <c r="C115" i="2" s="1"/>
  <c r="G115" i="2" s="1"/>
  <c r="M451" i="2"/>
  <c r="G455" i="2" l="1"/>
  <c r="E454" i="2"/>
  <c r="F454" i="2" s="1"/>
  <c r="C112" i="2"/>
  <c r="G112" i="2" s="1"/>
  <c r="G57" i="1" l="1"/>
  <c r="G58" i="1"/>
  <c r="G59" i="1"/>
  <c r="G60" i="1"/>
  <c r="D57" i="1"/>
  <c r="H57" i="1" s="1"/>
  <c r="D58" i="1"/>
  <c r="H58" i="1" s="1"/>
  <c r="D59" i="1"/>
  <c r="D60" i="1"/>
  <c r="G56" i="1"/>
  <c r="D56" i="1"/>
  <c r="H56" i="1" s="1"/>
  <c r="G36" i="1"/>
  <c r="G37" i="1"/>
  <c r="G38" i="1"/>
  <c r="G39" i="1"/>
  <c r="G40" i="1"/>
  <c r="G41" i="1"/>
  <c r="G42" i="1"/>
  <c r="G43" i="1"/>
  <c r="G44" i="1"/>
  <c r="G45" i="1"/>
  <c r="G46" i="1"/>
  <c r="G47" i="1"/>
  <c r="G48" i="1"/>
  <c r="G49" i="1"/>
  <c r="G50" i="1"/>
  <c r="G51" i="1"/>
  <c r="G52" i="1"/>
  <c r="G53" i="1"/>
  <c r="G35" i="1"/>
  <c r="D42" i="1"/>
  <c r="H42" i="1" s="1"/>
  <c r="D43" i="1"/>
  <c r="H43" i="1" s="1"/>
  <c r="D44" i="1"/>
  <c r="H44" i="1" s="1"/>
  <c r="D45" i="1"/>
  <c r="H45" i="1" s="1"/>
  <c r="D46" i="1"/>
  <c r="H46" i="1" s="1"/>
  <c r="D47" i="1"/>
  <c r="H47" i="1" s="1"/>
  <c r="D48" i="1"/>
  <c r="H48" i="1" s="1"/>
  <c r="D49" i="1"/>
  <c r="H49" i="1" s="1"/>
  <c r="D50" i="1"/>
  <c r="H50" i="1" s="1"/>
  <c r="D51" i="1"/>
  <c r="H51" i="1" s="1"/>
  <c r="D52" i="1"/>
  <c r="H52" i="1" s="1"/>
  <c r="D53" i="1"/>
  <c r="H53" i="1" s="1"/>
  <c r="D41" i="1"/>
  <c r="H41" i="1" s="1"/>
  <c r="D40" i="1"/>
  <c r="H40" i="1" s="1"/>
  <c r="D37" i="1"/>
  <c r="H37" i="1" s="1"/>
  <c r="D38" i="1"/>
  <c r="H38" i="1" s="1"/>
  <c r="D39" i="1"/>
  <c r="H39" i="1" s="1"/>
  <c r="D36" i="1"/>
  <c r="H36" i="1" s="1"/>
  <c r="D35" i="1"/>
  <c r="H35" i="1" s="1"/>
  <c r="H54" i="1" l="1"/>
  <c r="H60" i="1"/>
  <c r="H59" i="1"/>
  <c r="H61" i="1" s="1"/>
  <c r="J30" i="1"/>
  <c r="C30" i="1" l="1"/>
  <c r="G29" i="1"/>
  <c r="G28" i="1"/>
  <c r="H28" i="1" s="1"/>
  <c r="R28" i="1" s="1"/>
  <c r="G27" i="1"/>
  <c r="R27" i="1" s="1"/>
  <c r="G26" i="1"/>
  <c r="G25" i="1"/>
  <c r="R25" i="1" s="1"/>
  <c r="G24" i="1"/>
  <c r="R24" i="1" s="1"/>
  <c r="G23" i="1"/>
  <c r="H22" i="1"/>
  <c r="G22" i="1"/>
  <c r="G21" i="1"/>
  <c r="R21" i="1" s="1"/>
  <c r="G19" i="1"/>
  <c r="R19" i="1" s="1"/>
  <c r="G20" i="1"/>
  <c r="G18" i="1"/>
  <c r="H18" i="1" s="1"/>
  <c r="R18" i="1" s="1"/>
  <c r="G16" i="1"/>
  <c r="G15" i="1"/>
  <c r="R15" i="1" s="1"/>
  <c r="G17" i="1"/>
  <c r="G12" i="1"/>
  <c r="G13" i="1"/>
  <c r="G14" i="1"/>
  <c r="R14" i="1" s="1"/>
  <c r="G7" i="1"/>
  <c r="G8" i="1"/>
  <c r="M10" i="1" s="1"/>
  <c r="N10" i="1" s="1"/>
  <c r="G9" i="1"/>
  <c r="H9" i="1" s="1"/>
  <c r="G10" i="1"/>
  <c r="H10" i="1" s="1"/>
  <c r="R11" i="1" s="1"/>
  <c r="G11" i="1"/>
  <c r="H11" i="1" s="1"/>
  <c r="G6" i="1"/>
  <c r="R6" i="1" s="1"/>
  <c r="H8" i="1"/>
  <c r="R8" i="1" s="1"/>
  <c r="H7" i="1"/>
  <c r="M7" i="1" l="1"/>
  <c r="N7" i="1" s="1"/>
  <c r="R7" i="1"/>
  <c r="H12" i="1"/>
  <c r="R12" i="1"/>
  <c r="M22" i="1"/>
  <c r="N22" i="1" s="1"/>
  <c r="R22" i="1"/>
  <c r="M23" i="1"/>
  <c r="N23" i="1" s="1"/>
  <c r="R23" i="1"/>
  <c r="H29" i="1"/>
  <c r="R29" i="1"/>
  <c r="H14" i="1"/>
  <c r="H13" i="1"/>
  <c r="R13" i="1"/>
  <c r="H17" i="1"/>
  <c r="R17" i="1"/>
  <c r="H16" i="1"/>
  <c r="R16" i="1"/>
  <c r="R30" i="1" s="1"/>
  <c r="H20" i="1"/>
  <c r="R20" i="1"/>
  <c r="H26" i="1"/>
  <c r="R26" i="1"/>
  <c r="H15" i="1"/>
  <c r="M15" i="1"/>
  <c r="N15" i="1" s="1"/>
  <c r="H19" i="1"/>
  <c r="M19" i="1"/>
  <c r="N19" i="1" s="1"/>
  <c r="H25" i="1"/>
  <c r="M25" i="1"/>
  <c r="N25" i="1" s="1"/>
  <c r="H6" i="1"/>
  <c r="M6" i="1"/>
  <c r="N6" i="1" s="1"/>
  <c r="H21" i="1"/>
  <c r="M21" i="1"/>
  <c r="N21" i="1" s="1"/>
  <c r="H23" i="1"/>
  <c r="H24" i="1"/>
  <c r="M24" i="1"/>
  <c r="N24" i="1" s="1"/>
  <c r="H27" i="1"/>
  <c r="M27" i="1"/>
  <c r="N27" i="1" s="1"/>
  <c r="S56" i="1" l="1"/>
  <c r="S57" i="1"/>
  <c r="R35" i="1"/>
  <c r="N30" i="1"/>
  <c r="H30" i="1"/>
  <c r="T35" i="1" l="1"/>
  <c r="R36" i="1"/>
  <c r="T36" i="1" s="1"/>
  <c r="H63" i="1"/>
  <c r="C169" i="2" s="1"/>
  <c r="C172" i="2" s="1"/>
  <c r="F172" i="2" s="1"/>
  <c r="C13" i="3" l="1"/>
  <c r="C16" i="3" s="1"/>
  <c r="F16" i="3" s="1"/>
  <c r="C171" i="2"/>
  <c r="F171" i="2" s="1"/>
  <c r="F169" i="2"/>
  <c r="F13" i="3" l="1"/>
  <c r="C15" i="3"/>
  <c r="F15" i="3" s="1"/>
  <c r="G168" i="2"/>
  <c r="E185" i="2" s="1"/>
  <c r="F185" i="2" s="1"/>
  <c r="G185" i="2" s="1"/>
  <c r="G12" i="3" l="1"/>
  <c r="E28" i="3" s="1"/>
  <c r="F28" i="3" s="1"/>
  <c r="G28" i="3" s="1"/>
  <c r="G29" i="3" s="1"/>
  <c r="D139" i="2"/>
  <c r="C113" i="2" s="1"/>
  <c r="G113" i="2" s="1"/>
  <c r="I185" i="2"/>
  <c r="J185" i="2" s="1"/>
  <c r="G186" i="2"/>
  <c r="D25" i="2" s="1"/>
  <c r="C117" i="2"/>
  <c r="G117" i="2" s="1"/>
  <c r="G118" i="2" s="1"/>
  <c r="D143" i="2"/>
  <c r="D144" i="2" s="1"/>
  <c r="G138" i="2"/>
  <c r="G144" i="2" s="1"/>
  <c r="E149" i="2" l="1"/>
  <c r="E148" i="2"/>
  <c r="E147" i="2"/>
  <c r="E150" i="2"/>
  <c r="E151" i="2" l="1"/>
</calcChain>
</file>

<file path=xl/sharedStrings.xml><?xml version="1.0" encoding="utf-8"?>
<sst xmlns="http://schemas.openxmlformats.org/spreadsheetml/2006/main" count="1125" uniqueCount="567">
  <si>
    <t xml:space="preserve">CANTIDADES DE OBRA </t>
  </si>
  <si>
    <t>EXCAVACION</t>
  </si>
  <si>
    <t>LONGITUD</t>
  </si>
  <si>
    <t>TRAMO</t>
  </si>
  <si>
    <t>ANCHO</t>
  </si>
  <si>
    <t>ALTURA</t>
  </si>
  <si>
    <t>INICIO</t>
  </si>
  <si>
    <t>FIN</t>
  </si>
  <si>
    <t>ALTURA PROMEDIO</t>
  </si>
  <si>
    <t>PASAJE 5</t>
  </si>
  <si>
    <t>CALLE PRINCIPAL</t>
  </si>
  <si>
    <t>PASAJE 4</t>
  </si>
  <si>
    <t>SERVIDUMBRE</t>
  </si>
  <si>
    <t>PASAJE PRINCIPAL</t>
  </si>
  <si>
    <t>PASAJE 1</t>
  </si>
  <si>
    <t>PASAJE No. C</t>
  </si>
  <si>
    <t>PASAJE 2</t>
  </si>
  <si>
    <t>CALLE 1</t>
  </si>
  <si>
    <t>CALLE 2</t>
  </si>
  <si>
    <t>TOTAL</t>
  </si>
  <si>
    <t>VOLUMEN EXCAVACION TUBERIA</t>
  </si>
  <si>
    <t>No. De mechas</t>
  </si>
  <si>
    <t>largo</t>
  </si>
  <si>
    <t>Ancho</t>
  </si>
  <si>
    <t>alto</t>
  </si>
  <si>
    <t>Diametro</t>
  </si>
  <si>
    <t>POZO 1</t>
  </si>
  <si>
    <t>POZO 2</t>
  </si>
  <si>
    <t>POZO 3</t>
  </si>
  <si>
    <t>POZO 4</t>
  </si>
  <si>
    <t>POZO 5</t>
  </si>
  <si>
    <t>POZO 6</t>
  </si>
  <si>
    <t>POZO 7</t>
  </si>
  <si>
    <t>POZO 8</t>
  </si>
  <si>
    <t>POZO 9</t>
  </si>
  <si>
    <t>POZO 10</t>
  </si>
  <si>
    <t>POZO 11</t>
  </si>
  <si>
    <t>POZO 12</t>
  </si>
  <si>
    <t>POZO 13</t>
  </si>
  <si>
    <t>POZO 14</t>
  </si>
  <si>
    <t>POZO 15</t>
  </si>
  <si>
    <t>POZO 16</t>
  </si>
  <si>
    <t>POZO 17</t>
  </si>
  <si>
    <t>POZO 18</t>
  </si>
  <si>
    <t>POZO 19</t>
  </si>
  <si>
    <t>Altura de excavacion</t>
  </si>
  <si>
    <t>Area</t>
  </si>
  <si>
    <t>EXCAVACION DE POZOs Y CAJAS DE AGUAS NEGRAS</t>
  </si>
  <si>
    <t>Volumen</t>
  </si>
  <si>
    <t>Altura de pozo</t>
  </si>
  <si>
    <t>Sobre excavacion</t>
  </si>
  <si>
    <t>Pozo</t>
  </si>
  <si>
    <t>CAJA 1</t>
  </si>
  <si>
    <t>CAJA 2</t>
  </si>
  <si>
    <t>CAJA 3</t>
  </si>
  <si>
    <t>CAJA 4</t>
  </si>
  <si>
    <t>CAJA 5</t>
  </si>
  <si>
    <t>Altura de caja</t>
  </si>
  <si>
    <t>VOLUMEN TOTAL</t>
  </si>
  <si>
    <t>CARPETA TÉCNICA</t>
  </si>
  <si>
    <t>DEPARTAMENTO:</t>
  </si>
  <si>
    <t>LA PAZ</t>
  </si>
  <si>
    <t>MUNICIPIO:</t>
  </si>
  <si>
    <t>ZACATECOLUCA</t>
  </si>
  <si>
    <t>PROYECTO:</t>
  </si>
  <si>
    <t>MONTO DEL PROYECTO:</t>
  </si>
  <si>
    <t>CARPETA PRESENTADA POR:</t>
  </si>
  <si>
    <t>JOSE MAURICIO SERRANO MARTINEZ</t>
  </si>
  <si>
    <t>INGENIERO CIVIL</t>
  </si>
  <si>
    <t>Zacatecoluca, Departamento de la Paz</t>
  </si>
  <si>
    <t>DICIEMBRE DE 2O14</t>
  </si>
  <si>
    <t>PROGRAMA</t>
  </si>
  <si>
    <t>PARA EFECTOS DEL DISEÑO DE CARPETA:</t>
  </si>
  <si>
    <t>ELABORO CARPETA:</t>
  </si>
  <si>
    <t>FIRMA:</t>
  </si>
  <si>
    <t>FECHA:</t>
  </si>
  <si>
    <t>PARA EFECTOS DEL FINANCIAMIENTO:</t>
  </si>
  <si>
    <t>APROBADA POR:</t>
  </si>
  <si>
    <t>Dr.Francisco Salvador Hirezi</t>
  </si>
  <si>
    <t>Prof. Manuel Antonio Carballo</t>
  </si>
  <si>
    <t>ALCALDE MUNICIPAL</t>
  </si>
  <si>
    <t>SINDICO MUNICIPAL</t>
  </si>
  <si>
    <t>Lic. Juan carlos Martinez Rodas</t>
  </si>
  <si>
    <t xml:space="preserve"> SECRETARIO MUNICIPAL</t>
  </si>
  <si>
    <t>FINANCIAMIENTO DEL PROYECTO</t>
  </si>
  <si>
    <t>I. - REFERENCIA</t>
  </si>
  <si>
    <t>EN BASE AL ACUERDO MUNICIPAL Nº</t>
  </si>
  <si>
    <t>SE APRUEBA FINANCIAMIENTO PARA:</t>
  </si>
  <si>
    <t>II. - TIPO DE PROYECTO Y LOCALIZACIÓN</t>
  </si>
  <si>
    <t xml:space="preserve">A. SUB- PROYECTO: </t>
  </si>
  <si>
    <t>B. LOCALIZACIÓN:  .</t>
  </si>
  <si>
    <t>DEPARTAMENTO</t>
  </si>
  <si>
    <t>MUNICIPIO</t>
  </si>
  <si>
    <t>CANTÓN</t>
  </si>
  <si>
    <t>CASERÍO</t>
  </si>
  <si>
    <t>II. - PRESUPUESTO Y FUENTE DE FINANCIAMIENTO</t>
  </si>
  <si>
    <t>PARTIDA</t>
  </si>
  <si>
    <t>COSTO TOTAL</t>
  </si>
  <si>
    <t>APORTE COMUNIDAD</t>
  </si>
  <si>
    <t>MONTO</t>
  </si>
  <si>
    <t>TOTAL ESTIMADO</t>
  </si>
  <si>
    <t xml:space="preserve">                                  SECRETARIO MUNICIPAL</t>
  </si>
  <si>
    <t>RESUMEN DE PRESUPUESTO</t>
  </si>
  <si>
    <t>COSTO DIRECTO</t>
  </si>
  <si>
    <t>COSTO INDIRECTO</t>
  </si>
  <si>
    <t>IMPREVISTOS</t>
  </si>
  <si>
    <t>SUB TOTAL</t>
  </si>
  <si>
    <t>EQUIPO Y MAQUINARIA</t>
  </si>
  <si>
    <t>MATERIALES</t>
  </si>
  <si>
    <t>COMBUSTIBLE</t>
  </si>
  <si>
    <t>PLANILLA POR OBRA Y AL DIA</t>
  </si>
  <si>
    <t>DICIEMBRE DE 2014</t>
  </si>
  <si>
    <t>PRESENTA:</t>
  </si>
  <si>
    <t>UNIDAD DE PROYECTOS</t>
  </si>
  <si>
    <t>ITEM</t>
  </si>
  <si>
    <t>DETALLE</t>
  </si>
  <si>
    <t>CANTIDAD</t>
  </si>
  <si>
    <t>UNIDAD</t>
  </si>
  <si>
    <t>PRECIO UNITARIO</t>
  </si>
  <si>
    <t>CONSULTORIA, CONTROL DE CALIDAD, DIRECCION DE CAMPO</t>
  </si>
  <si>
    <t>ESTUDIO DE SUELOS</t>
  </si>
  <si>
    <t>sg</t>
  </si>
  <si>
    <t>CONTROL DE TOPOGRAFIA</t>
  </si>
  <si>
    <t>DIBUJO DE PLANIMETRIA Y ALTIMETRIA</t>
  </si>
  <si>
    <t>PRUEBAS DE ESTANQUIDAD EN TUBERIAS</t>
  </si>
  <si>
    <t>DIRECCION DE CAMPO (tecnico de campo y maestro de obra)</t>
  </si>
  <si>
    <t>CONTROL DE CALIDAD DE SUELOS Y MATERIALES</t>
  </si>
  <si>
    <t>OBRAS DE TERRACERIA</t>
  </si>
  <si>
    <t>EXCAVACION EN TUBERIA</t>
  </si>
  <si>
    <t>m3</t>
  </si>
  <si>
    <t>PREPARACION DE RASANTE</t>
  </si>
  <si>
    <t>m</t>
  </si>
  <si>
    <t>COMPACTACION CON MATERIAL SELECTO</t>
  </si>
  <si>
    <t>COMPACTACION CON MATERIAL DEL LUGAR</t>
  </si>
  <si>
    <t>ENCOFRADO</t>
  </si>
  <si>
    <t>OBRAS DE ALBANILERIA</t>
  </si>
  <si>
    <t>POZOS DE VISITA</t>
  </si>
  <si>
    <t>u</t>
  </si>
  <si>
    <t>CAJAS DE AGUAS NEGRAS</t>
  </si>
  <si>
    <t>MAMPOSTERIA PARA OBRAS DE PROTECCION.</t>
  </si>
  <si>
    <t>COMPRA, ALQUILER DE EQUIPOS Y SEŇALIZACION</t>
  </si>
  <si>
    <t>COMPRA DE MARTILLO HIDRAULICO PARA RETROEXCAVADORA JCB</t>
  </si>
  <si>
    <t xml:space="preserve">ALQUILER DE EQUIPOS </t>
  </si>
  <si>
    <t>COMPRA DE INMUEBLE PARA SERVIDUMBRE</t>
  </si>
  <si>
    <t>SG</t>
  </si>
  <si>
    <t xml:space="preserve">COSTO TOTAL DE OBRAS </t>
  </si>
  <si>
    <t>NO INCLUYE COMPRA DE SERVIDUMBRE</t>
  </si>
  <si>
    <t>COSTO DE INSTALACION DE TUBERIA</t>
  </si>
  <si>
    <t>"INTRODUCCIÓN  DEL SERVICIO DE ALCANTARILLADO SANITARIO EN COLONIA SANTA MARTA"</t>
  </si>
  <si>
    <t>MATERIALES TUBERIA</t>
  </si>
  <si>
    <t>Tuberia PVC de  8" 100 psi, junta cementada</t>
  </si>
  <si>
    <t>c/u</t>
  </si>
  <si>
    <t>Tuberia PVC de 6" 100 psi, junta cementada</t>
  </si>
  <si>
    <t>Tuberia PVC de  4" 100 psi, junta cementada</t>
  </si>
  <si>
    <r>
      <t>Yee tee de 8"x4"x45</t>
    </r>
    <r>
      <rPr>
        <sz val="11"/>
        <color theme="1"/>
        <rFont val="Calibri"/>
        <family val="2"/>
      </rPr>
      <t>°</t>
    </r>
  </si>
  <si>
    <r>
      <t>Yee tee de 6"x4"x45</t>
    </r>
    <r>
      <rPr>
        <sz val="11"/>
        <color theme="1"/>
        <rFont val="Calibri"/>
        <family val="2"/>
      </rPr>
      <t>°</t>
    </r>
  </si>
  <si>
    <t>Tapon hembra de prueba liso de 8"</t>
  </si>
  <si>
    <t>Tapon hembra de prueba liso de 6"</t>
  </si>
  <si>
    <t>Tapon hembra de prueba liso de 4"</t>
  </si>
  <si>
    <t>Cemento PVC</t>
  </si>
  <si>
    <t>gal</t>
  </si>
  <si>
    <t>MANO DE OBRA</t>
  </si>
  <si>
    <t>Tuberia PVC de  8" 100 psi, junta cementada, incluye yeetee</t>
  </si>
  <si>
    <t>Tuberia PVC de 6" 100 psi, junta cementada, incluye accesorios, yeetee</t>
  </si>
  <si>
    <t>DIRECCION TECNICA COMBUSTIBLE</t>
  </si>
  <si>
    <t>IMPREVISTOS 7%</t>
  </si>
  <si>
    <t>PRESUPUESTO: READECUACION DE INMUEBLES PARA ALBERGAR COMERCIANTES</t>
  </si>
  <si>
    <t>DESCRIPCIÓN</t>
  </si>
  <si>
    <t>P / U</t>
  </si>
  <si>
    <t>SUB - TOTAL</t>
  </si>
  <si>
    <t>Demolición, desalojo</t>
  </si>
  <si>
    <t>Combustible</t>
  </si>
  <si>
    <t>Sg</t>
  </si>
  <si>
    <t>Mano de Obra</t>
  </si>
  <si>
    <t>ARRENDAMIENTO DE INMUEBLES</t>
  </si>
  <si>
    <t>Arrendamiento de Inmuebles</t>
  </si>
  <si>
    <t>IMPRIMACION</t>
  </si>
  <si>
    <t>EQUIPO</t>
  </si>
  <si>
    <t>Cargador</t>
  </si>
  <si>
    <t>día</t>
  </si>
  <si>
    <t>Retroexcavadora</t>
  </si>
  <si>
    <t>Camión de volteo 5 m3</t>
  </si>
  <si>
    <t>Camión de volteo 10 m3</t>
  </si>
  <si>
    <t>Espaciador de Asfalto</t>
  </si>
  <si>
    <t>Rodoliso</t>
  </si>
  <si>
    <t>dia</t>
  </si>
  <si>
    <t>Carretillas</t>
  </si>
  <si>
    <t>LIMPIEZA</t>
  </si>
  <si>
    <t>PERSONAL</t>
  </si>
  <si>
    <t>Tractor D6H</t>
  </si>
  <si>
    <t>Auxiliares(8)</t>
  </si>
  <si>
    <t>SUMINISTRO E INSTALACION DE NAVES DESMONTABLES</t>
  </si>
  <si>
    <t>Suministro e instalación de Naves desmontable,incluye cubierta, divisiones interiore y mano de obra.</t>
  </si>
  <si>
    <t>INSTALACIONES ELECTRICAS</t>
  </si>
  <si>
    <t>Suministro e instalación eléctrica, incluye diseño de las instalaciones requeridas</t>
  </si>
  <si>
    <t>INSTALACIONES HIDRAULICAS</t>
  </si>
  <si>
    <t>Suministro e instalaciones hidraulicas</t>
  </si>
  <si>
    <t xml:space="preserve">MATERIALES Y HERRAMIENTAS </t>
  </si>
  <si>
    <t>PETREOS</t>
  </si>
  <si>
    <t xml:space="preserve">Arena </t>
  </si>
  <si>
    <t>Grava No.1 del (pacifico)</t>
  </si>
  <si>
    <t xml:space="preserve">Cemento tipo I </t>
  </si>
  <si>
    <t>bolsas</t>
  </si>
  <si>
    <t>Tierra blanca</t>
  </si>
  <si>
    <t>Chispa (del Pacifico)</t>
  </si>
  <si>
    <t>ACERO</t>
  </si>
  <si>
    <t>Acero liso de 1/4"</t>
  </si>
  <si>
    <t>qq</t>
  </si>
  <si>
    <t>Acero Corrugado de 3/8", grado 60</t>
  </si>
  <si>
    <t>Acero Corrugado de 1/2", grado 60</t>
  </si>
  <si>
    <t>Acero Corrugado de 5/8", grado 60</t>
  </si>
  <si>
    <t>Alambre de Amarre No. 14</t>
  </si>
  <si>
    <t>Clavo corriente de 4"</t>
  </si>
  <si>
    <t>lbs</t>
  </si>
  <si>
    <t>Clavo corriente de 2 1/2"</t>
  </si>
  <si>
    <t>Clavo para lamina de 2 1/2"</t>
  </si>
  <si>
    <t>Clavo de acero de 2"</t>
  </si>
  <si>
    <t>caja</t>
  </si>
  <si>
    <t>BLOQUES(blockitubos)</t>
  </si>
  <si>
    <t>Bloque entero 0.15x0.20x0.40 m</t>
  </si>
  <si>
    <t>Mitad  Dado 0.15x0.20x0.20 m</t>
  </si>
  <si>
    <t>Media solera(lintel) 0.15x0.02x0.20 m</t>
  </si>
  <si>
    <t>Solera 0.15x0.20x0.40 m</t>
  </si>
  <si>
    <t>Columna cajuela 0.20x0.20x0.40 m</t>
  </si>
  <si>
    <t>CONCRETO ACERAS</t>
  </si>
  <si>
    <t>Concreto corriente  (Holcim)  f'C = 100 kg/ cm2  aceras (1045.00 m2)</t>
  </si>
  <si>
    <t>Electromalla 10/10</t>
  </si>
  <si>
    <t>pliego</t>
  </si>
  <si>
    <t>ASFALTO RC 250(1655 m2)</t>
  </si>
  <si>
    <t>barriles</t>
  </si>
  <si>
    <t>Tierra Blanca</t>
  </si>
  <si>
    <t>Cemento tipo I(para estabilización)</t>
  </si>
  <si>
    <t>MISCELANEOS</t>
  </si>
  <si>
    <t>Cuartón de pino de 4 vras</t>
  </si>
  <si>
    <t>Cuartón de pino de 5  vras</t>
  </si>
  <si>
    <t>Cuartón de pino de 3 varas</t>
  </si>
  <si>
    <t>Costanera de pino de 4 varas</t>
  </si>
  <si>
    <t>Costanera de pino de 3 varas</t>
  </si>
  <si>
    <t>Regla pacha de 4 varas</t>
  </si>
  <si>
    <t>Tabla de  pino de 4 varas</t>
  </si>
  <si>
    <t>Tubo industrial de 2"x1"x6 m, tipo intupersa</t>
  </si>
  <si>
    <t>Pita Nylon</t>
  </si>
  <si>
    <t>rollo</t>
  </si>
  <si>
    <t>Durapaz 3/4" 2 x 1m</t>
  </si>
  <si>
    <t>Lamina Canal No. 26 de 3 yardas</t>
  </si>
  <si>
    <t>U</t>
  </si>
  <si>
    <t>Lámina canal  No. 28 de 3 yardas</t>
  </si>
  <si>
    <t xml:space="preserve">Tubo de 6" PVC 100 PSI </t>
  </si>
  <si>
    <t>tubo</t>
  </si>
  <si>
    <t>Tubería pvc de 3/4" 315 psi</t>
  </si>
  <si>
    <t>tubería pvc de 1" 315 psi</t>
  </si>
  <si>
    <t>Tubería de 4" 100 PSI</t>
  </si>
  <si>
    <t>Tubería de 3" 100 psi</t>
  </si>
  <si>
    <t>Tubería de 2" 100 PSI</t>
  </si>
  <si>
    <t>Grifos de 1/2" tipo manguera</t>
  </si>
  <si>
    <t>Tubería de 1/2"</t>
  </si>
  <si>
    <t>Pegamento PVC</t>
  </si>
  <si>
    <t>galón</t>
  </si>
  <si>
    <t>Servicios sanitarios Tipo económico</t>
  </si>
  <si>
    <t>Discos de concreto  de 9"</t>
  </si>
  <si>
    <t>Discos de concreto  de 14"</t>
  </si>
  <si>
    <t>Cierras para cortar acero</t>
  </si>
  <si>
    <t>Manguera de 1/2"(de 50 m)</t>
  </si>
  <si>
    <t>Cinta de 30 m metálicas</t>
  </si>
  <si>
    <t xml:space="preserve">Cinta Metálica de 8 m </t>
  </si>
  <si>
    <r>
      <t xml:space="preserve">Cable concéntrico </t>
    </r>
    <r>
      <rPr>
        <sz val="11"/>
        <color indexed="8"/>
        <rFont val="Calibri"/>
        <family val="2"/>
      </rPr>
      <t># 2 a 220 v 3 hilos</t>
    </r>
  </si>
  <si>
    <t>Receptáculo águila</t>
  </si>
  <si>
    <t>Alambre No. 12</t>
  </si>
  <si>
    <t>Caja rectangular</t>
  </si>
  <si>
    <t>Caja Octogonal</t>
  </si>
  <si>
    <t>Poliducto 3/4"</t>
  </si>
  <si>
    <t>yardas</t>
  </si>
  <si>
    <t>Cinta aislante 33M superior</t>
  </si>
  <si>
    <t>Barra Cooper de 3 pies en cepo</t>
  </si>
  <si>
    <t>Clavo de 4" para madera</t>
  </si>
  <si>
    <t>Clavo para lámina de 3"</t>
  </si>
  <si>
    <t>Clavo de tachuela galvanizada</t>
  </si>
  <si>
    <t>lb</t>
  </si>
  <si>
    <t>Alambre vulcan No. 12 x3</t>
  </si>
  <si>
    <t>Toma macho industrial</t>
  </si>
  <si>
    <t>Toma hembra industrial</t>
  </si>
  <si>
    <t>Bisagras de 4” tipo alcayate</t>
  </si>
  <si>
    <t>Candado tipo yale de 4"</t>
  </si>
  <si>
    <t>Crayones azules para topografía</t>
  </si>
  <si>
    <t>Crayones rojos para topografía</t>
  </si>
  <si>
    <t>Spray naranja fluorescente</t>
  </si>
  <si>
    <t>Cinta amarilla de PRECAUCION</t>
  </si>
  <si>
    <t>Cascos color blanco</t>
  </si>
  <si>
    <t>cascos color rojo</t>
  </si>
  <si>
    <t xml:space="preserve">Guantes de Cuero </t>
  </si>
  <si>
    <t>Caretas transparentes</t>
  </si>
  <si>
    <t>Mascarillas</t>
  </si>
  <si>
    <t>cajas</t>
  </si>
  <si>
    <t>EQUIPO y HERRAMIENTAS (compra y alquiler)</t>
  </si>
  <si>
    <t>Andamio 6 torres completas, altura 4.00 m (alquiler 1 mes)</t>
  </si>
  <si>
    <t>Concretera de 1 bolsa(3 unidades,alquiler)</t>
  </si>
  <si>
    <t>meses</t>
  </si>
  <si>
    <t>Tubo intupersa de 2"x1"</t>
  </si>
  <si>
    <t>Vibrador de 3/4" ( 2 unidades, alquiler)</t>
  </si>
  <si>
    <t>mes</t>
  </si>
  <si>
    <t>Puntas 1'</t>
  </si>
  <si>
    <t>Almádanas 6 lbs</t>
  </si>
  <si>
    <t>Almádanas de 12 lbs</t>
  </si>
  <si>
    <t>Martillos</t>
  </si>
  <si>
    <t>Planta eléctrica 5 kva (alquiler)</t>
  </si>
  <si>
    <t>Vibro compactador (2 unidades,alquiler)</t>
  </si>
  <si>
    <t>Puntales metálicos extensibles de 6 m (1 mes)</t>
  </si>
  <si>
    <t>MANO DE OBRA EN OBRAS DE PROTECCION</t>
  </si>
  <si>
    <t>Mano de Obra en actividades de obras de proteccion a colindancias; albañiles, maestro de obra, auxiliares, obreros, armadores, carpinteros.</t>
  </si>
  <si>
    <t>CONSTRUCCION DE SERVICIOS SANITARIOS</t>
  </si>
  <si>
    <t>Construccion de servicios sanitarios, incluyendo 4 servicios sanitarios, tanque para agua de 1.3 M3, pileta, lavabrasos y cuarto de CAMZ</t>
  </si>
  <si>
    <t>CONTROL DE CALIDAD</t>
  </si>
  <si>
    <t>Control de materiales, pruebas de tensión de acero, pruebas de compresion del concreto, granulometria de arena, granulometria de grava,diseño de mezclas de concreto, elaboracion de proctor y control de densidades.</t>
  </si>
  <si>
    <t>Meses</t>
  </si>
  <si>
    <t>CONTRATACION TECNICOS</t>
  </si>
  <si>
    <t>Contratacion de Técnicos de campo</t>
  </si>
  <si>
    <t>Asistente Administrativo a la Unidad de Proyectos</t>
  </si>
  <si>
    <t>TOPOGRAFIA</t>
  </si>
  <si>
    <t>Trabajos de topografía, trazo real y Nivelación de Terrazas</t>
  </si>
  <si>
    <t>IMPREVISTOS 3%</t>
  </si>
  <si>
    <t>Volumen excavacion mechas</t>
  </si>
  <si>
    <t>REPARACION DE CONCRETO HIDRAULICO F´c= 210 kg/cm2, INCLUYE CAPA DE 0.20 m DE SUELO CEMENTO.</t>
  </si>
  <si>
    <t>REPARACION Y DESVIO DE CONEXIONES DE AGUA POTABLE POR CONSTRUCCION DE POZOS E INTERFERENCIAS EN TUBERIAS.(INCLUYE VALVULAS, TUBERIAS Y ACCESORIOS DE PVC)</t>
  </si>
  <si>
    <t>VOLUMENES ADICIONALES EN TERRACERIA</t>
  </si>
  <si>
    <t>ANCHO REAL</t>
  </si>
  <si>
    <t>INCREMENTO DE ANCHO</t>
  </si>
  <si>
    <t>VOLUMEN ADICIONAL</t>
  </si>
  <si>
    <t>P9-P8</t>
  </si>
  <si>
    <t>P9-P10</t>
  </si>
  <si>
    <t>P19-P14</t>
  </si>
  <si>
    <t>P19-P9</t>
  </si>
  <si>
    <t>C5-P7</t>
  </si>
  <si>
    <t>P18-P7</t>
  </si>
  <si>
    <t>NO</t>
  </si>
  <si>
    <t>P7-P8</t>
  </si>
  <si>
    <t>P16-P8</t>
  </si>
  <si>
    <t>P10-P11</t>
  </si>
  <si>
    <t>P6-P5</t>
  </si>
  <si>
    <t>P4-P5</t>
  </si>
  <si>
    <t>C2-P3</t>
  </si>
  <si>
    <t>P3-P6</t>
  </si>
  <si>
    <t>C4-P6</t>
  </si>
  <si>
    <t>C1-P2</t>
  </si>
  <si>
    <t>P2-P4</t>
  </si>
  <si>
    <t>P1-P2</t>
  </si>
  <si>
    <t>P12-P2</t>
  </si>
  <si>
    <t>C3-P1</t>
  </si>
  <si>
    <t>VOLUMEN POR PLANTILLA DE RETROEXCAVADORA</t>
  </si>
  <si>
    <t>LARGO</t>
  </si>
  <si>
    <t>PROF</t>
  </si>
  <si>
    <t>VOLUMEN</t>
  </si>
  <si>
    <t>P5-P8</t>
  </si>
  <si>
    <t>VOLUMENES ADICIONALES</t>
  </si>
  <si>
    <t>COMPACTACION</t>
  </si>
  <si>
    <t>MONTAJE Y DESMONTAJE DE TUBERIA DE AGUA POTABLE</t>
  </si>
  <si>
    <t>Excavacion y compactacion</t>
  </si>
  <si>
    <t>Calle 1</t>
  </si>
  <si>
    <t>Pasaje C</t>
  </si>
  <si>
    <t>Pasaje 2</t>
  </si>
  <si>
    <t>Pasaje 1</t>
  </si>
  <si>
    <t>Pasaje Principal</t>
  </si>
  <si>
    <t>Pasaje 4</t>
  </si>
  <si>
    <t>Pasaje 5</t>
  </si>
  <si>
    <t>calle Principal</t>
  </si>
  <si>
    <t>VOLUMENES ADICIONALES DE EXCAVACION</t>
  </si>
  <si>
    <t>DETALLE DE OBRAS ADICIONALES</t>
  </si>
  <si>
    <t>EXCAVACION DE AGUAS NEGRAS</t>
  </si>
  <si>
    <t>CONCEPTO</t>
  </si>
  <si>
    <t>CANT</t>
  </si>
  <si>
    <t>COMPACTACION DE AGUAS NEGRAS</t>
  </si>
  <si>
    <t>COMPACTACION DE AGUA POTABLE</t>
  </si>
  <si>
    <t>COMPACTACION DE TUBERIA AGUA POTABLE</t>
  </si>
  <si>
    <t>VOLUMEN ADICIONAL DE TERRACERIA EN AGUAS NEGRAS</t>
  </si>
  <si>
    <t>Tuberia 2"</t>
  </si>
  <si>
    <t>Tuberia 3"</t>
  </si>
  <si>
    <t>HOJA DE COSTOS UNITARIOS</t>
  </si>
  <si>
    <t xml:space="preserve"> </t>
  </si>
  <si>
    <t>PRESENTA : Unidad de Pavimentacion y Caminos Vecinales</t>
  </si>
  <si>
    <t xml:space="preserve">FECHA       :  </t>
  </si>
  <si>
    <r>
      <rPr>
        <sz val="9.35"/>
        <color indexed="8"/>
        <rFont val="Arial"/>
        <family val="2"/>
      </rPr>
      <t>SUBTOTAL EQUIPO:</t>
    </r>
  </si>
  <si>
    <r>
      <rPr>
        <sz val="9.35"/>
        <color indexed="8"/>
        <rFont val="Arial"/>
        <family val="2"/>
      </rPr>
      <t>SUBTOTAL MATERIALES:</t>
    </r>
  </si>
  <si>
    <r>
      <rPr>
        <sz val="9.35"/>
        <color indexed="8"/>
        <rFont val="Arial"/>
        <family val="2"/>
      </rPr>
      <t>SUBTOTAL TRANSPORTE</t>
    </r>
  </si>
  <si>
    <t>SUBPARTIDA :</t>
  </si>
  <si>
    <r>
      <rPr>
        <sz val="9.35"/>
        <color indexed="8"/>
        <rFont val="Arial"/>
        <family val="2"/>
      </rPr>
      <t>SUBTOTAL MANO DE OBRA:</t>
    </r>
  </si>
  <si>
    <t xml:space="preserve">CANTIDAD ANALIZADA:                    </t>
  </si>
  <si>
    <t>TOTAL COSTO DIRECTO</t>
  </si>
  <si>
    <r>
      <rPr>
        <sz val="9.35"/>
        <color indexed="8"/>
        <rFont val="Arial"/>
        <family val="2"/>
      </rPr>
      <t>UNIDAD DE ANALISIS  :</t>
    </r>
  </si>
  <si>
    <t>TOTAL COSTOS INDIRECTOS+COSTO DIRECTO</t>
  </si>
  <si>
    <t>COSTO UNITARIO        :</t>
  </si>
  <si>
    <t>I-EQUIPO</t>
  </si>
  <si>
    <t xml:space="preserve">DESCRIPCION  </t>
  </si>
  <si>
    <t>MARCA</t>
  </si>
  <si>
    <t>VOL</t>
  </si>
  <si>
    <t>TARIFA/HORA</t>
  </si>
  <si>
    <t>RENDIMIENTO</t>
  </si>
  <si>
    <t>SUBTOTAL</t>
  </si>
  <si>
    <t>II-MATERIALES</t>
  </si>
  <si>
    <t>DESCRIPCION</t>
  </si>
  <si>
    <t>PRECIO UNIT.</t>
  </si>
  <si>
    <t>|</t>
  </si>
  <si>
    <t>III-TRANSPORTE</t>
  </si>
  <si>
    <t>DISTANCIA</t>
  </si>
  <si>
    <t>TARIFA</t>
  </si>
  <si>
    <t>IV-MANO DE OBRA</t>
  </si>
  <si>
    <t>PERSONAL AL DIA</t>
  </si>
  <si>
    <t>JORNALES</t>
  </si>
  <si>
    <t>PRESTACIONES</t>
  </si>
  <si>
    <t>JORNAL TOTAL</t>
  </si>
  <si>
    <t>PERSONAL POR OBRA</t>
  </si>
  <si>
    <t>PREC. UNIT</t>
  </si>
  <si>
    <t>PRESTACION</t>
  </si>
  <si>
    <t xml:space="preserve">  </t>
  </si>
  <si>
    <t>TOTAL C.D.</t>
  </si>
  <si>
    <t>PARTIDA : COSTO MONTAJE Y DESMONTAJE DE TUBERIA AGUA POTABLE 2"</t>
  </si>
  <si>
    <t>Tuberia pvc de 1/2" x 315 psi junta cementada</t>
  </si>
  <si>
    <t>Codo PVC a 90 x 1/2" JC</t>
  </si>
  <si>
    <t>Abrazadera de  2x 1/2"</t>
  </si>
  <si>
    <t>Tapon Hembra pvc de 1/2"</t>
  </si>
  <si>
    <t xml:space="preserve">Tapon Hembra pvc liso de 2" </t>
  </si>
  <si>
    <t>Codo PVC a 45 x 2" Jr</t>
  </si>
  <si>
    <t>Tee pvc de 2" JR</t>
  </si>
  <si>
    <t>Codo a 45 x 2" JR</t>
  </si>
  <si>
    <t>Pegamento tangit pvc 1/8</t>
  </si>
  <si>
    <t>Compra de Materiales</t>
  </si>
  <si>
    <t xml:space="preserve">Obrero </t>
  </si>
  <si>
    <t>Auxiliar</t>
  </si>
  <si>
    <t>Tuberia pvc de 3" x 160 PSI JR</t>
  </si>
  <si>
    <t>Codo PVC a 45 x 3" Jr</t>
  </si>
  <si>
    <t>Tee pvc de 3" JR</t>
  </si>
  <si>
    <t>PARTIDA : COSTO MONTAJE Y DESMONTAJE DE TUBERIA AGUA POTABLE 3"</t>
  </si>
  <si>
    <t>Anclajes</t>
  </si>
  <si>
    <t>Tuberia pvc de 2" x 160 PSI JC</t>
  </si>
  <si>
    <t>Desmontaje y montaje de Tuberia de agua potable de 2" JR</t>
  </si>
  <si>
    <t>REPARACION Y MANTENIMIENTO DE CALLES URBANAS Y RURALES 2012</t>
  </si>
  <si>
    <t>SUB-PROYECTO:</t>
  </si>
  <si>
    <t>Ing. José Mauricio Serrano.</t>
  </si>
  <si>
    <t>DATOS DE CAMPO PRESENTADOS POR:</t>
  </si>
  <si>
    <t>Tec. René Rodas</t>
  </si>
  <si>
    <t>Dr. Francisco Salvador Hirezi</t>
  </si>
  <si>
    <t>Lic. Juan Carlos Martínez Rodas</t>
  </si>
  <si>
    <t>SECRETARIO MUNICIPAL</t>
  </si>
  <si>
    <t>IMPREVISTOS 10%</t>
  </si>
  <si>
    <t>Sub Total</t>
  </si>
  <si>
    <t xml:space="preserve">EN BASE AL ACUERDO MUNICIPAL  </t>
  </si>
  <si>
    <t xml:space="preserve">B. LOCALIZACIÓN: </t>
  </si>
  <si>
    <t>PRESUPUESTO</t>
  </si>
  <si>
    <t>CANTIDADES DE OBRA</t>
  </si>
  <si>
    <t>LUGAR</t>
  </si>
  <si>
    <t>Área(m2)</t>
  </si>
  <si>
    <t>RENDIMIENTO (m2/DIA)</t>
  </si>
  <si>
    <t>DIAS MAQUINA</t>
  </si>
  <si>
    <t>BALASTO</t>
  </si>
  <si>
    <t>MAQUINARIA DE TERRACERÍA</t>
  </si>
  <si>
    <t>Camión de Volteo 10 M3</t>
  </si>
  <si>
    <t>Motoniveladora</t>
  </si>
  <si>
    <t>Camión cisterna</t>
  </si>
  <si>
    <t>Rodo</t>
  </si>
  <si>
    <t>MANO DE OBRA TERRACERIA</t>
  </si>
  <si>
    <t>Ayudante de operador de equipo</t>
  </si>
  <si>
    <t>Operador cargador</t>
  </si>
  <si>
    <t>Operador de rodo</t>
  </si>
  <si>
    <t>Operador de Motoniveladora</t>
  </si>
  <si>
    <t>IMPREVISTO(Viáticos otros)</t>
  </si>
  <si>
    <t>FOTOGRAFIAS DE AREAS PARA CONFORMACION DE RASANTE</t>
  </si>
  <si>
    <r>
      <rPr>
        <b/>
        <u/>
        <sz val="10"/>
        <color indexed="8"/>
        <rFont val="Arial"/>
        <family val="2"/>
      </rPr>
      <t>REPARACION</t>
    </r>
    <r>
      <rPr>
        <u/>
        <sz val="10"/>
        <color indexed="8"/>
        <rFont val="Arial"/>
        <family val="2"/>
      </rPr>
      <t>:</t>
    </r>
    <r>
      <rPr>
        <sz val="10"/>
        <color indexed="8"/>
        <rFont val="Arial"/>
        <family val="2"/>
      </rPr>
      <t xml:space="preserve"> Consiste en mejorar la accesibilidad, para esto es necesario efectuar actividades de terracería que consisten en conformación de rasante y colocación de balasto en las zonas intransitables.</t>
    </r>
  </si>
  <si>
    <t>ESPECIFICACIONES TECNICAS:</t>
  </si>
  <si>
    <t>No aplican, únicamente se verificará la colocación de balasto extraído de ríos, conformación de rasante y actividades de mejorar drenajes en superficie del terreno natural.</t>
  </si>
  <si>
    <t>OBJETIVO:</t>
  </si>
  <si>
    <t>ALCANCE</t>
  </si>
  <si>
    <t>Desarrollar las actividades necesarias descritas en el plan de oferta para mejorar la circulación peatonal y vehicular de la zona</t>
  </si>
  <si>
    <t>METAS</t>
  </si>
  <si>
    <t xml:space="preserve">Mejorar las condiciones de vida para los habitantes de la zona, realizando en el tiempo programado las obras descritas. </t>
  </si>
  <si>
    <t>JUSTIFICACION</t>
  </si>
  <si>
    <t>"CONFORMACION DE RASANTE DE  COLONIA SANTA MARTA"</t>
  </si>
  <si>
    <t>Motorista pipa (1)</t>
  </si>
  <si>
    <t>DICIEMBRE DE 2015</t>
  </si>
  <si>
    <t>IMPREVISTOS 6%</t>
  </si>
  <si>
    <r>
      <rPr>
        <b/>
        <u/>
        <sz val="10"/>
        <color indexed="8"/>
        <rFont val="Arial"/>
        <family val="2"/>
      </rPr>
      <t>DIAGNOSTICO</t>
    </r>
    <r>
      <rPr>
        <sz val="10"/>
        <color indexed="8"/>
        <rFont val="Arial"/>
        <family val="2"/>
      </rPr>
      <t>: A solicitud de los directivos de la comunidad, se ha inspeccionado el área intervenir, para efectuar la conformación de las calles internas, que ejecutaran con el presupuesto de "INTRODUCCION DE AGUAS NEGRAS COLONIA SANTA MARTA" . Las calles se observan deterioradas y requieren mantenimiento para evitar que se produzca erosión y evitar mas daños.</t>
    </r>
  </si>
  <si>
    <t>PROYECTO: Introduccion de Aguas Negras de Colonia Santa Marta</t>
  </si>
  <si>
    <t>CONFORMACION Y BALASTADO</t>
  </si>
  <si>
    <t>REDUCCION DE OBRA</t>
  </si>
  <si>
    <t>Cantidad</t>
  </si>
  <si>
    <t>Monto</t>
  </si>
  <si>
    <t>CANTIDADES NUEVAS</t>
  </si>
  <si>
    <t>TUBERIA DE AGUA POTABLE DE 2" Y 3"</t>
  </si>
  <si>
    <t>PRESUPUESTO APROBADO</t>
  </si>
  <si>
    <t>COSTO M2</t>
  </si>
  <si>
    <t>m2</t>
  </si>
  <si>
    <t>Nuevo monto</t>
  </si>
  <si>
    <t>Diferencia</t>
  </si>
  <si>
    <t xml:space="preserve">Desmontaje y montaje de Tuberia de agua potable de 3"  </t>
  </si>
  <si>
    <t>RESUMEN</t>
  </si>
  <si>
    <t>INCREMENTO DE OBRA</t>
  </si>
  <si>
    <t>PRESUPUESTO MODIFICADO POR INCREMENTOS Y DISMINUCIONES DE OBRA</t>
  </si>
  <si>
    <t>Monto original</t>
  </si>
  <si>
    <t>Mejorar la accesibilidad de las familias residentes en los caseríos y colonias, dar mantenimiento a las vías de acceso para el transito   vehicular, ayudando así al desarrollo de las economías locales.</t>
  </si>
  <si>
    <t>La obra beneficiará  directamente a mas de 90 familias, se requiere intervención inmediata para evitar que se deterioren los accesos existentes.</t>
  </si>
  <si>
    <t>DEMOLICION DE PAVIMENTO(CONCRETO HIDRAULICO)</t>
  </si>
  <si>
    <t>Desalojo de Material</t>
  </si>
  <si>
    <t>Desmontaje de viga de madera</t>
  </si>
  <si>
    <t xml:space="preserve">FUNDACION </t>
  </si>
  <si>
    <t>TRAZO Y NIVELACION TOPOGRAFICA</t>
  </si>
  <si>
    <t>EXCAVACION A MANO HASTA 1.50</t>
  </si>
  <si>
    <t>RELLENO COMPACTADO SUELO-CEM. 20:1 (C/MAT.SELECTO)</t>
  </si>
  <si>
    <t>Zapata 1.20X1.20X0.25 m; ref #4@0.15 m A.S. 1L; f´c=210 kg/cm2; Inc encofrado</t>
  </si>
  <si>
    <t xml:space="preserve">PEDESTAL 6 varillas Ho. ∅ de 5/8" con punta roscada, 0.35x0.35x1.10, Estribo Ho. ∅ de 3/8" @ 0.15 m
</t>
  </si>
  <si>
    <t>PAREDES</t>
  </si>
  <si>
    <t>PICADO DE REPELLO PAREDES Y ESTRCTURAS DE CONCRETO</t>
  </si>
  <si>
    <t>REPELLO Y AFINADO DE SUPERFICIES VERTICALES Y HORIZONTALES  1:1</t>
  </si>
  <si>
    <t>PISOS</t>
  </si>
  <si>
    <t>Piso de concreto FC = 210 KG/CM2 ref.con electromalla 6/6 E=10 CMS</t>
  </si>
  <si>
    <t>FORJADO DE RAMPA CON LADRILLO DE BARRO, CON PISO DE CONCRETO DE  e=3 cm f´c=210 kg/cm2 Y REPELLO EN LATERAL.</t>
  </si>
  <si>
    <t>ACABADOS</t>
  </si>
  <si>
    <t xml:space="preserve"> PINTURA EPOXICA E10 EN PARED (para agua)</t>
  </si>
  <si>
    <t>PINTURA DE AGUA (LATEX)</t>
  </si>
  <si>
    <t>ADITIVO PARA CONCRETO EN PAREDES, INCLUYE MATERIAL Y MANO DE OBRA</t>
  </si>
  <si>
    <t>ESTRUCTURAS</t>
  </si>
  <si>
    <t>VIGA W 12X22</t>
  </si>
  <si>
    <t>VIGA VR TUBO 3XX3/16" 6M</t>
  </si>
  <si>
    <t>COLUMNA C-1 TUBO CUADRADO 6"X6"X1/4X"6M</t>
  </si>
  <si>
    <t>Placa de 0.30mx0.30mx3/8" con pernos #4; Incluye pintura</t>
  </si>
  <si>
    <t>Varillas Ho. ∅ de 5/8" con punta roscada</t>
  </si>
  <si>
    <t>MESAS METALICAS PARA RESES</t>
  </si>
  <si>
    <t>Caño galvanizado Ø 2 1/2” tipo pesado</t>
  </si>
  <si>
    <t>Tapones liso de pvc Ø 2 1/2”</t>
  </si>
  <si>
    <t>Caja de electrodo 3/32</t>
  </si>
  <si>
    <t>MATERIALES  ELECTRICOS</t>
  </si>
  <si>
    <t>EQUIPO ESPECIALES</t>
  </si>
  <si>
    <t>SUMINISTRO E INSTALACION TECLE ELECTRICO DE 2 TON</t>
  </si>
  <si>
    <t>PRODUCTOS TEXTILESY VESTUARIOS</t>
  </si>
  <si>
    <t>VESTUARIO PARA MATARIFES</t>
  </si>
  <si>
    <t>COMBUSTIBLE Y LUBRICANTES</t>
  </si>
  <si>
    <t>COMISIONES Y GASTOS BANCARIOS</t>
  </si>
  <si>
    <t>COMPRA DE CHEQUERA</t>
  </si>
  <si>
    <t>ML</t>
  </si>
  <si>
    <t>ml</t>
  </si>
  <si>
    <t>DEMOLICIONES</t>
  </si>
  <si>
    <t>TERRACERIA</t>
  </si>
  <si>
    <t>Demolición manual de concreto en pavimento de piso en sector de destazo, incluye desalojo externo con maquinaria</t>
  </si>
  <si>
    <t xml:space="preserve">Tapones inodoro de limpieza en pisos </t>
  </si>
  <si>
    <t>Capote para cumbrera</t>
  </si>
  <si>
    <t>Repello y afinado de paredes espesor de 3.5 cm, mortero al 3x1  en volumen</t>
  </si>
  <si>
    <t>OBRAS DE ALBAÑILERIA ESTRUCTURA METALICA</t>
  </si>
  <si>
    <t>Obras de desalojo interno y externo</t>
  </si>
  <si>
    <t>Acabado final de pintura en estructura para Tecle</t>
  </si>
  <si>
    <t>OBRAS NUEVAS Y MODIFICADAS</t>
  </si>
  <si>
    <t>Demolición</t>
  </si>
  <si>
    <t>Anclaje con epóxido Ho. ∅ de 1/2"x 4" a la pared</t>
  </si>
  <si>
    <t>Demolición de repello en pared espesor de 3 cm, incluye limpieza y remoción en superficie de columnas y ladrillo de barro,</t>
  </si>
  <si>
    <t>Excavación a mano en terreno rocoso, incluye desalojo interno</t>
  </si>
  <si>
    <t>Compactado, de piso, incluye, nivelación sacado de rasante, acarreo interno</t>
  </si>
  <si>
    <t>Instalaciones de tuberías de aguas negras, incluye terracería</t>
  </si>
  <si>
    <t>Resane y limpieza de paredes, incluye, raspado, lijado, resane de protuberancias y oquedades, lavado de paredes, incluye armado, desarmado y movilización de andamios, incluye equipo</t>
  </si>
  <si>
    <t>Construcción de cajas de conexión de ladrillo de barro puesto de lazo, fundación de 0.20 m, dimensiones de 0.30 x0.30x0.30 m</t>
  </si>
  <si>
    <t>Construcción de pila de 3.40x 1.20 m, base de concreto  reforzado, espesor 0.15 m, con refuerzo de hierro de 3/8" @ 0.15 m, ambos sentidos, paredes de ladrillo de mampostería de ladrillo de barro, nervios de concreto reforzado, losa de concreto de 0.12 m de espesor, repellada, afinada y pulida, aristas boceladas, incluye, terracería, y desalojo</t>
  </si>
  <si>
    <t>Construcción de mesas de estructura metálica para mesas de tubo de Ho. Go. De 21/2, incluye mano de obra</t>
  </si>
  <si>
    <t>Construcción de cubierta de techos tipo zinc alum cal. 26</t>
  </si>
  <si>
    <t>Desmontaje de cubierta de techo existente</t>
  </si>
  <si>
    <t>Pintura y limpieza de estructura metálica de cubierta de techos</t>
  </si>
  <si>
    <t>Hechura de muro para  rampa, pared de bloque de 0.15x0.20x0.40m, fundación de 0.30 x0.20, hierro de 3/8" @ 0.10 en ambos sentidos, incluye, excavación, compactación</t>
  </si>
  <si>
    <t xml:space="preserve">Construcción de piso de concreto espesor de 12 cm, incluye, acarreo de materiales, colocación de electromalla, hechura de concreto, nivelación de piso, rostreado, moldeado, colado, repellado y pulido de superficie, construcción de juntas, sisado y curado. </t>
  </si>
  <si>
    <t>Limpieza, raspado y pintura acrílica de vigas de madera existentes</t>
  </si>
  <si>
    <t>Estructura metálica para montaje de tecle eléctrico, incluye, columnas de 6x4x1/42, vigas W de 12x26, placas de anclaje y pernos, y atiezadores</t>
  </si>
  <si>
    <t>Nivelación de Pedestales con grout de alta Resistencia</t>
  </si>
  <si>
    <t>Reparación parcial de puerta  y ventanas, incluye, reparación de estructura parcial de puerta principal, pintura de puertas y ventanas, reposición de cedazo en ventanas dañadas</t>
  </si>
  <si>
    <t>"MEJORAS EN RASTRO MUNICIPAL DE ZACATECOLUCA"</t>
  </si>
  <si>
    <t>ENERO DE 2017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</si>
</sst>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7" formatCode="&quot;$&quot;#,##0.00_);\(&quot;$&quot;#,##0.00\)"/>
    <numFmt numFmtId="8" formatCode="&quot;$&quot;#,##0.00_);[Red]\(&quot;$&quot;#,##0.00\)"/>
    <numFmt numFmtId="44" formatCode="_(&quot;$&quot;* #,##0.00_);_(&quot;$&quot;* \(#,##0.00\);_(&quot;$&quot;* &quot;-&quot;??_);_(@_)"/>
    <numFmt numFmtId="43" formatCode="_(* #,##0.00_);_(* \(#,##0.00\);_(* &quot;-&quot;??_);_(@_)"/>
    <numFmt numFmtId="164" formatCode="&quot;$&quot;#,##0.00"/>
    <numFmt numFmtId="165" formatCode="_-&quot;$&quot;* #,##0.00_-;\-&quot;$&quot;* #,##0.00_-;_-&quot;$&quot;* &quot;-&quot;??_-;_-@_-"/>
    <numFmt numFmtId="166" formatCode="_-* #,##0.00\ _€_-;\-* #,##0.00\ _€_-;_-* &quot;-&quot;??\ _€_-;_-@_-"/>
    <numFmt numFmtId="167" formatCode="_-[$$-440A]* #,##0.00_ ;_-[$$-440A]* \-#,##0.00\ ;_-[$$-440A]* &quot;-&quot;??_ ;_-@_ "/>
    <numFmt numFmtId="168" formatCode="_-* #,##0.0\ _€_-;\-* #,##0.0\ _€_-;_-* &quot;-&quot;??\ _€_-;_-@_-"/>
    <numFmt numFmtId="169" formatCode="_-* #,##0.00\ _D_M_-;\-* #,##0.00\ _D_M_-;_-* &quot;-&quot;??\ _D_M_-;_-@_-"/>
    <numFmt numFmtId="170" formatCode="_-* #,##0.0000\ _D_M_-;\-* #,##0.0000\ _D_M_-;_-* &quot;-&quot;??\ _D_M_-;_-@_-"/>
    <numFmt numFmtId="171" formatCode="[$$-440A]#,##0.00"/>
  </numFmts>
  <fonts count="84" x14ac:knownFonts="1">
    <font>
      <sz val="11"/>
      <color theme="1"/>
      <name val="Calibri"/>
      <family val="2"/>
      <scheme val="minor"/>
    </font>
    <font>
      <b/>
      <sz val="11"/>
      <color theme="1"/>
      <name val="Calibri"/>
      <family val="2"/>
      <scheme val="minor"/>
    </font>
    <font>
      <sz val="11"/>
      <color theme="1"/>
      <name val="Calibri"/>
      <family val="2"/>
      <scheme val="minor"/>
    </font>
    <font>
      <sz val="11"/>
      <color rgb="FFFF0000"/>
      <name val="Calibri"/>
      <family val="2"/>
      <scheme val="minor"/>
    </font>
    <font>
      <sz val="11"/>
      <color theme="0"/>
      <name val="Calibri"/>
      <family val="2"/>
      <scheme val="minor"/>
    </font>
    <font>
      <b/>
      <sz val="36"/>
      <name val="Arial"/>
      <family val="2"/>
    </font>
    <font>
      <sz val="10"/>
      <name val="Arial"/>
      <family val="2"/>
    </font>
    <font>
      <b/>
      <sz val="18"/>
      <name val="Arial"/>
      <family val="2"/>
    </font>
    <font>
      <b/>
      <sz val="22"/>
      <name val="Arial"/>
      <family val="2"/>
    </font>
    <font>
      <sz val="9"/>
      <name val="Arial"/>
      <family val="2"/>
    </font>
    <font>
      <b/>
      <sz val="10"/>
      <name val="Arial"/>
      <family val="2"/>
    </font>
    <font>
      <sz val="36"/>
      <name val="Arial"/>
      <family val="2"/>
    </font>
    <font>
      <sz val="14"/>
      <name val="Arial"/>
      <family val="2"/>
    </font>
    <font>
      <sz val="8"/>
      <name val="Arial"/>
      <family val="2"/>
    </font>
    <font>
      <sz val="26"/>
      <color theme="1"/>
      <name val="Calibri"/>
      <family val="2"/>
      <scheme val="minor"/>
    </font>
    <font>
      <b/>
      <sz val="9"/>
      <name val="Arial"/>
      <family val="2"/>
    </font>
    <font>
      <b/>
      <sz val="8"/>
      <name val="Arial"/>
      <family val="2"/>
    </font>
    <font>
      <sz val="12"/>
      <name val="Arial"/>
      <family val="2"/>
    </font>
    <font>
      <b/>
      <sz val="14"/>
      <name val="Arial"/>
      <family val="2"/>
    </font>
    <font>
      <b/>
      <sz val="12"/>
      <name val="Arial"/>
      <family val="2"/>
    </font>
    <font>
      <sz val="11"/>
      <name val="Arial"/>
      <family val="2"/>
    </font>
    <font>
      <b/>
      <sz val="11"/>
      <name val="Arial"/>
      <family val="2"/>
    </font>
    <font>
      <b/>
      <u val="singleAccounting"/>
      <sz val="11"/>
      <name val="Arial"/>
      <family val="2"/>
    </font>
    <font>
      <b/>
      <sz val="14"/>
      <name val="Calibri"/>
      <family val="2"/>
      <scheme val="minor"/>
    </font>
    <font>
      <b/>
      <sz val="10"/>
      <color theme="1"/>
      <name val="Calibri"/>
      <family val="2"/>
      <scheme val="minor"/>
    </font>
    <font>
      <b/>
      <sz val="12"/>
      <color theme="1"/>
      <name val="Calibri"/>
      <family val="2"/>
      <scheme val="minor"/>
    </font>
    <font>
      <i/>
      <sz val="9"/>
      <color rgb="FFFF0000"/>
      <name val="Arial"/>
      <family val="2"/>
    </font>
    <font>
      <sz val="10"/>
      <color theme="1"/>
      <name val="Arial"/>
      <family val="2"/>
    </font>
    <font>
      <b/>
      <sz val="10"/>
      <color theme="1"/>
      <name val="Arial"/>
      <family val="2"/>
    </font>
    <font>
      <b/>
      <sz val="14"/>
      <color theme="1"/>
      <name val="Calibri"/>
      <family val="2"/>
      <scheme val="minor"/>
    </font>
    <font>
      <i/>
      <sz val="12"/>
      <name val="Arial"/>
      <family val="2"/>
    </font>
    <font>
      <i/>
      <sz val="9"/>
      <name val="Arial"/>
      <family val="2"/>
    </font>
    <font>
      <i/>
      <sz val="11"/>
      <name val="Arial"/>
      <family val="2"/>
    </font>
    <font>
      <sz val="11"/>
      <color theme="1"/>
      <name val="Calibri"/>
      <family val="2"/>
    </font>
    <font>
      <sz val="10"/>
      <name val="Calibri"/>
      <family val="2"/>
      <scheme val="minor"/>
    </font>
    <font>
      <i/>
      <sz val="11"/>
      <name val="Calibri"/>
      <family val="2"/>
      <scheme val="minor"/>
    </font>
    <font>
      <i/>
      <sz val="9"/>
      <name val="Calibri"/>
      <family val="2"/>
      <scheme val="minor"/>
    </font>
    <font>
      <i/>
      <sz val="12"/>
      <name val="Calibri"/>
      <family val="2"/>
      <scheme val="minor"/>
    </font>
    <font>
      <sz val="11"/>
      <color theme="1"/>
      <name val="Arial"/>
      <family val="2"/>
    </font>
    <font>
      <sz val="11"/>
      <name val="Calibri"/>
      <family val="2"/>
      <scheme val="minor"/>
    </font>
    <font>
      <i/>
      <sz val="10"/>
      <name val="Arial"/>
      <family val="2"/>
    </font>
    <font>
      <b/>
      <sz val="12"/>
      <name val="Calibri"/>
      <family val="2"/>
      <scheme val="minor"/>
    </font>
    <font>
      <sz val="9"/>
      <color theme="1"/>
      <name val="Calibri"/>
      <family val="2"/>
      <scheme val="minor"/>
    </font>
    <font>
      <sz val="10"/>
      <color theme="1"/>
      <name val="Calibri"/>
      <family val="2"/>
      <scheme val="minor"/>
    </font>
    <font>
      <b/>
      <i/>
      <sz val="10"/>
      <name val="Arial"/>
      <family val="2"/>
    </font>
    <font>
      <sz val="11"/>
      <color indexed="8"/>
      <name val="Calibri"/>
      <family val="2"/>
    </font>
    <font>
      <b/>
      <sz val="11"/>
      <color theme="1"/>
      <name val="Calibri"/>
      <family val="2"/>
      <scheme val="minor"/>
    </font>
    <font>
      <b/>
      <sz val="10"/>
      <color indexed="8"/>
      <name val="Arial"/>
      <family val="2"/>
    </font>
    <font>
      <sz val="10"/>
      <color indexed="8"/>
      <name val="Arial"/>
      <family val="2"/>
    </font>
    <font>
      <b/>
      <sz val="8"/>
      <color indexed="8"/>
      <name val="Arial"/>
      <family val="2"/>
    </font>
    <font>
      <b/>
      <sz val="9.35"/>
      <color indexed="8"/>
      <name val="Arial"/>
      <family val="2"/>
    </font>
    <font>
      <sz val="9.35"/>
      <color indexed="8"/>
      <name val="Arial"/>
      <family val="2"/>
    </font>
    <font>
      <sz val="10"/>
      <color indexed="9"/>
      <name val="Arial"/>
      <family val="2"/>
    </font>
    <font>
      <sz val="8"/>
      <color indexed="8"/>
      <name val="Arial"/>
      <family val="2"/>
    </font>
    <font>
      <b/>
      <sz val="16"/>
      <name val="Arial"/>
      <family val="2"/>
    </font>
    <font>
      <b/>
      <sz val="28"/>
      <name val="Arial"/>
      <family val="2"/>
    </font>
    <font>
      <sz val="26"/>
      <color indexed="8"/>
      <name val="Calibri"/>
      <family val="2"/>
    </font>
    <font>
      <i/>
      <sz val="11"/>
      <color indexed="8"/>
      <name val="Calibri"/>
      <family val="2"/>
    </font>
    <font>
      <b/>
      <i/>
      <sz val="11"/>
      <name val="Arial"/>
      <family val="2"/>
    </font>
    <font>
      <b/>
      <u/>
      <sz val="10"/>
      <color indexed="8"/>
      <name val="Arial"/>
      <family val="2"/>
    </font>
    <font>
      <u/>
      <sz val="10"/>
      <color indexed="8"/>
      <name val="Arial"/>
      <family val="2"/>
    </font>
    <font>
      <b/>
      <u/>
      <sz val="9"/>
      <color theme="1"/>
      <name val="Arial"/>
      <family val="2"/>
    </font>
    <font>
      <b/>
      <sz val="11"/>
      <color theme="1"/>
      <name val="Arial"/>
      <family val="2"/>
    </font>
    <font>
      <b/>
      <sz val="11"/>
      <color rgb="FF000000"/>
      <name val="Calibri"/>
      <family val="2"/>
    </font>
    <font>
      <b/>
      <sz val="10"/>
      <color rgb="FF000000"/>
      <name val="Calibri"/>
      <family val="2"/>
    </font>
    <font>
      <b/>
      <sz val="12"/>
      <color rgb="FF000000"/>
      <name val="Calibri"/>
      <family val="2"/>
    </font>
    <font>
      <sz val="10"/>
      <color rgb="FF000000"/>
      <name val="Arial"/>
      <family val="2"/>
    </font>
    <font>
      <b/>
      <sz val="10"/>
      <color rgb="FF000000"/>
      <name val="Arial"/>
      <family val="2"/>
    </font>
    <font>
      <b/>
      <sz val="14"/>
      <color rgb="FF000000"/>
      <name val="Calibri"/>
      <family val="2"/>
    </font>
    <font>
      <sz val="10"/>
      <name val="Calibri"/>
      <family val="2"/>
    </font>
    <font>
      <i/>
      <sz val="11"/>
      <name val="Calibri"/>
      <family val="2"/>
    </font>
    <font>
      <i/>
      <sz val="9"/>
      <name val="Calibri"/>
      <family val="2"/>
    </font>
    <font>
      <i/>
      <sz val="12"/>
      <name val="Calibri"/>
      <family val="2"/>
    </font>
    <font>
      <b/>
      <sz val="11"/>
      <color theme="1"/>
      <name val="Calibri"/>
      <family val="2"/>
    </font>
    <font>
      <b/>
      <sz val="11"/>
      <name val="Calibri"/>
      <family val="2"/>
    </font>
    <font>
      <b/>
      <sz val="16"/>
      <color theme="1"/>
      <name val="Calibri"/>
      <family val="2"/>
    </font>
    <font>
      <b/>
      <sz val="12"/>
      <color indexed="8"/>
      <name val="Calibri"/>
      <family val="2"/>
    </font>
    <font>
      <sz val="12"/>
      <color indexed="8"/>
      <name val="Calibri"/>
      <family val="2"/>
    </font>
    <font>
      <sz val="12"/>
      <color theme="1"/>
      <name val="Calibri"/>
      <family val="2"/>
      <scheme val="minor"/>
    </font>
    <font>
      <b/>
      <sz val="11"/>
      <color indexed="8"/>
      <name val="Calibri"/>
      <family val="2"/>
    </font>
    <font>
      <sz val="12"/>
      <color theme="1"/>
      <name val="Calibri"/>
      <family val="2"/>
    </font>
    <font>
      <sz val="12"/>
      <name val="Calibri"/>
      <family val="2"/>
    </font>
    <font>
      <sz val="11"/>
      <color rgb="FFFF0000"/>
      <name val="Calibri"/>
      <family val="2"/>
    </font>
    <font>
      <sz val="11"/>
      <color rgb="FF000000"/>
      <name val="Calibri"/>
      <family val="2"/>
    </font>
  </fonts>
  <fills count="26">
    <fill>
      <patternFill patternType="none"/>
    </fill>
    <fill>
      <patternFill patternType="gray125"/>
    </fill>
    <fill>
      <patternFill patternType="solid">
        <fgColor theme="9" tint="0.59999389629810485"/>
        <bgColor indexed="64"/>
      </patternFill>
    </fill>
    <fill>
      <patternFill patternType="solid">
        <fgColor indexed="34"/>
        <bgColor indexed="64"/>
      </patternFill>
    </fill>
    <fill>
      <patternFill patternType="solid">
        <fgColor rgb="FFFFFF00"/>
        <bgColor indexed="64"/>
      </patternFill>
    </fill>
    <fill>
      <patternFill patternType="solid">
        <fgColor theme="6" tint="0.59999389629810485"/>
        <bgColor indexed="64"/>
      </patternFill>
    </fill>
    <fill>
      <patternFill patternType="solid">
        <fgColor rgb="FFFFC0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9" tint="0.39997558519241921"/>
        <bgColor indexed="64"/>
      </patternFill>
    </fill>
    <fill>
      <patternFill patternType="solid">
        <fgColor theme="7"/>
        <bgColor indexed="64"/>
      </patternFill>
    </fill>
    <fill>
      <patternFill patternType="solid">
        <fgColor indexed="55"/>
        <bgColor indexed="9"/>
      </patternFill>
    </fill>
    <fill>
      <patternFill patternType="solid">
        <fgColor indexed="55"/>
        <bgColor indexed="8"/>
      </patternFill>
    </fill>
    <fill>
      <patternFill patternType="solid">
        <fgColor theme="0" tint="-0.34998626667073579"/>
        <bgColor indexed="64"/>
      </patternFill>
    </fill>
    <fill>
      <patternFill patternType="solid">
        <fgColor indexed="12"/>
        <bgColor indexed="8"/>
      </patternFill>
    </fill>
    <fill>
      <patternFill patternType="solid">
        <fgColor indexed="13"/>
        <bgColor indexed="9"/>
      </patternFill>
    </fill>
    <fill>
      <patternFill patternType="solid">
        <fgColor indexed="13"/>
        <bgColor indexed="64"/>
      </patternFill>
    </fill>
    <fill>
      <patternFill patternType="solid">
        <fgColor indexed="55"/>
        <bgColor indexed="64"/>
      </patternFill>
    </fill>
    <fill>
      <patternFill patternType="solid">
        <fgColor rgb="FFFFC000"/>
        <bgColor rgb="FF000000"/>
      </patternFill>
    </fill>
    <fill>
      <patternFill patternType="solid">
        <fgColor rgb="FF92D050"/>
        <bgColor rgb="FF000000"/>
      </patternFill>
    </fill>
    <fill>
      <patternFill patternType="solid">
        <fgColor theme="7" tint="0.59999389629810485"/>
        <bgColor indexed="64"/>
      </patternFill>
    </fill>
    <fill>
      <patternFill patternType="solid">
        <fgColor theme="5" tint="0.79998168889431442"/>
        <bgColor indexed="64"/>
      </patternFill>
    </fill>
    <fill>
      <patternFill patternType="solid">
        <fgColor theme="4" tint="0.59999389629810485"/>
        <bgColor indexed="64"/>
      </patternFill>
    </fill>
    <fill>
      <patternFill patternType="solid">
        <fgColor theme="0" tint="-0.499984740745262"/>
        <bgColor indexed="64"/>
      </patternFill>
    </fill>
    <fill>
      <patternFill patternType="solid">
        <fgColor theme="0"/>
        <bgColor indexed="64"/>
      </patternFill>
    </fill>
  </fills>
  <borders count="74">
    <border>
      <left/>
      <right/>
      <top/>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medium">
        <color indexed="8"/>
      </left>
      <right/>
      <top style="medium">
        <color indexed="8"/>
      </top>
      <bottom/>
      <diagonal/>
    </border>
    <border>
      <left/>
      <right/>
      <top style="medium">
        <color indexed="8"/>
      </top>
      <bottom/>
      <diagonal/>
    </border>
    <border>
      <left/>
      <right style="medium">
        <color indexed="8"/>
      </right>
      <top style="medium">
        <color indexed="8"/>
      </top>
      <bottom/>
      <diagonal/>
    </border>
    <border>
      <left style="medium">
        <color indexed="8"/>
      </left>
      <right/>
      <top/>
      <bottom/>
      <diagonal/>
    </border>
    <border>
      <left/>
      <right style="medium">
        <color indexed="8"/>
      </right>
      <top/>
      <bottom/>
      <diagonal/>
    </border>
    <border>
      <left style="medium">
        <color indexed="8"/>
      </left>
      <right/>
      <top/>
      <bottom style="medium">
        <color indexed="8"/>
      </bottom>
      <diagonal/>
    </border>
    <border>
      <left/>
      <right/>
      <top/>
      <bottom style="medium">
        <color indexed="8"/>
      </bottom>
      <diagonal/>
    </border>
    <border>
      <left/>
      <right style="medium">
        <color indexed="8"/>
      </right>
      <top/>
      <bottom style="medium">
        <color indexed="8"/>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
      <left style="medium">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style="thin">
        <color indexed="8"/>
      </left>
      <right style="thin">
        <color indexed="8"/>
      </right>
      <top/>
      <bottom style="thin">
        <color indexed="8"/>
      </bottom>
      <diagonal/>
    </border>
    <border>
      <left style="thin">
        <color indexed="8"/>
      </left>
      <right style="medium">
        <color indexed="8"/>
      </right>
      <top/>
      <bottom/>
      <diagonal/>
    </border>
    <border>
      <left style="medium">
        <color indexed="8"/>
      </left>
      <right/>
      <top style="thin">
        <color indexed="8"/>
      </top>
      <bottom style="thin">
        <color indexed="8"/>
      </bottom>
      <diagonal/>
    </border>
    <border>
      <left/>
      <right/>
      <top style="thin">
        <color indexed="8"/>
      </top>
      <bottom style="thin">
        <color indexed="8"/>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medium">
        <color indexed="8"/>
      </right>
      <top/>
      <bottom style="thin">
        <color indexed="8"/>
      </bottom>
      <diagonal/>
    </border>
    <border>
      <left style="thin">
        <color indexed="8"/>
      </left>
      <right style="medium">
        <color indexed="8"/>
      </right>
      <top style="thin">
        <color indexed="8"/>
      </top>
      <bottom/>
      <diagonal/>
    </border>
    <border>
      <left style="medium">
        <color indexed="8"/>
      </left>
      <right/>
      <top style="medium">
        <color indexed="8"/>
      </top>
      <bottom style="medium">
        <color indexed="8"/>
      </bottom>
      <diagonal/>
    </border>
    <border>
      <left style="thin">
        <color indexed="8"/>
      </left>
      <right style="medium">
        <color indexed="8"/>
      </right>
      <top style="thin">
        <color indexed="8"/>
      </top>
      <bottom style="thin">
        <color indexed="8"/>
      </bottom>
      <diagonal/>
    </border>
    <border>
      <left style="medium">
        <color indexed="8"/>
      </left>
      <right/>
      <top style="thin">
        <color indexed="8"/>
      </top>
      <bottom/>
      <diagonal/>
    </border>
    <border>
      <left/>
      <right/>
      <top style="thin">
        <color indexed="8"/>
      </top>
      <bottom/>
      <diagonal/>
    </border>
    <border>
      <left/>
      <right style="thin">
        <color indexed="8"/>
      </right>
      <top style="thin">
        <color indexed="8"/>
      </top>
      <bottom/>
      <diagonal/>
    </border>
    <border>
      <left style="medium">
        <color indexed="8"/>
      </left>
      <right style="medium">
        <color indexed="8"/>
      </right>
      <top style="medium">
        <color indexed="8"/>
      </top>
      <bottom style="medium">
        <color indexed="8"/>
      </bottom>
      <diagonal/>
    </border>
    <border>
      <left style="medium">
        <color indexed="64"/>
      </left>
      <right/>
      <top style="medium">
        <color indexed="64"/>
      </top>
      <bottom style="medium">
        <color indexed="64"/>
      </bottom>
      <diagonal/>
    </border>
    <border>
      <left/>
      <right style="medium">
        <color indexed="64"/>
      </right>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thin">
        <color indexed="64"/>
      </bottom>
      <diagonal/>
    </border>
  </borders>
  <cellStyleXfs count="6">
    <xf numFmtId="0" fontId="0" fillId="0" borderId="0"/>
    <xf numFmtId="44" fontId="2" fillId="0" borderId="0" applyFont="0" applyFill="0" applyBorder="0" applyAlignment="0" applyProtection="0"/>
    <xf numFmtId="43" fontId="2" fillId="0" borderId="0" applyFont="0" applyFill="0" applyBorder="0" applyAlignment="0" applyProtection="0"/>
    <xf numFmtId="166"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cellStyleXfs>
  <cellXfs count="733">
    <xf numFmtId="0" fontId="0" fillId="0" borderId="0" xfId="0"/>
    <xf numFmtId="4" fontId="0" fillId="0" borderId="0" xfId="0" applyNumberFormat="1"/>
    <xf numFmtId="4" fontId="1" fillId="0" borderId="0" xfId="0" applyNumberFormat="1" applyFont="1"/>
    <xf numFmtId="4" fontId="1" fillId="0" borderId="0" xfId="0" applyNumberFormat="1" applyFont="1" applyAlignment="1">
      <alignment horizontal="center" vertical="center"/>
    </xf>
    <xf numFmtId="4" fontId="1" fillId="0" borderId="0" xfId="0" applyNumberFormat="1" applyFont="1" applyAlignment="1">
      <alignment horizontal="center" vertical="center" wrapText="1"/>
    </xf>
    <xf numFmtId="4" fontId="1" fillId="2" borderId="0" xfId="0" applyNumberFormat="1" applyFont="1" applyFill="1"/>
    <xf numFmtId="0" fontId="6" fillId="0" borderId="0" xfId="0" applyFont="1" applyFill="1" applyBorder="1"/>
    <xf numFmtId="0" fontId="6" fillId="0" borderId="0" xfId="0" applyFont="1" applyFill="1" applyBorder="1" applyAlignment="1">
      <alignment horizontal="left"/>
    </xf>
    <xf numFmtId="0" fontId="10" fillId="0" borderId="0" xfId="0" applyFont="1" applyFill="1" applyBorder="1" applyAlignment="1">
      <alignment horizontal="center"/>
    </xf>
    <xf numFmtId="17" fontId="6" fillId="0" borderId="0" xfId="0" applyNumberFormat="1" applyFont="1" applyFill="1" applyBorder="1"/>
    <xf numFmtId="0" fontId="6" fillId="0" borderId="0" xfId="0" applyFont="1" applyFill="1" applyBorder="1" applyAlignment="1"/>
    <xf numFmtId="0" fontId="13" fillId="0" borderId="0" xfId="0" applyFont="1" applyFill="1" applyBorder="1" applyAlignment="1"/>
    <xf numFmtId="0" fontId="13" fillId="0" borderId="1" xfId="0" applyFont="1" applyFill="1" applyBorder="1" applyAlignment="1"/>
    <xf numFmtId="0" fontId="6" fillId="0" borderId="0" xfId="0" applyFont="1" applyFill="1" applyBorder="1" applyAlignment="1">
      <alignment vertical="top"/>
    </xf>
    <xf numFmtId="0" fontId="6" fillId="0" borderId="0" xfId="0" applyFont="1" applyBorder="1"/>
    <xf numFmtId="0" fontId="15" fillId="0" borderId="1" xfId="0" applyFont="1" applyBorder="1" applyAlignment="1">
      <alignment horizontal="center"/>
    </xf>
    <xf numFmtId="0" fontId="10" fillId="0" borderId="0" xfId="0" applyFont="1" applyBorder="1" applyAlignment="1"/>
    <xf numFmtId="0" fontId="6" fillId="0" borderId="0" xfId="0" applyFont="1" applyBorder="1" applyAlignment="1"/>
    <xf numFmtId="0" fontId="13" fillId="0" borderId="1" xfId="0" applyFont="1" applyBorder="1" applyAlignment="1">
      <alignment horizontal="center"/>
    </xf>
    <xf numFmtId="0" fontId="6" fillId="0" borderId="1" xfId="0" applyFont="1" applyBorder="1"/>
    <xf numFmtId="0" fontId="13" fillId="0" borderId="0" xfId="0" applyFont="1" applyBorder="1"/>
    <xf numFmtId="0" fontId="10" fillId="0" borderId="5" xfId="0" applyFont="1" applyBorder="1" applyAlignment="1">
      <alignment horizontal="center"/>
    </xf>
    <xf numFmtId="44" fontId="6" fillId="0" borderId="5" xfId="0" applyNumberFormat="1" applyFont="1" applyBorder="1" applyAlignment="1">
      <alignment vertical="center"/>
    </xf>
    <xf numFmtId="166" fontId="17" fillId="0" borderId="3" xfId="0" applyNumberFormat="1" applyFont="1" applyBorder="1" applyAlignment="1">
      <alignment horizontal="center"/>
    </xf>
    <xf numFmtId="164" fontId="17" fillId="0" borderId="4" xfId="0" applyNumberFormat="1" applyFont="1" applyBorder="1" applyAlignment="1">
      <alignment horizontal="center"/>
    </xf>
    <xf numFmtId="0" fontId="6" fillId="0" borderId="3" xfId="0" applyFont="1" applyBorder="1" applyAlignment="1">
      <alignment horizontal="center"/>
    </xf>
    <xf numFmtId="0" fontId="6" fillId="0" borderId="4" xfId="0" applyFont="1" applyBorder="1" applyAlignment="1">
      <alignment horizontal="center"/>
    </xf>
    <xf numFmtId="164" fontId="6" fillId="0" borderId="5" xfId="0" applyNumberFormat="1" applyFont="1" applyBorder="1" applyAlignment="1">
      <alignment vertical="center"/>
    </xf>
    <xf numFmtId="0" fontId="18" fillId="4" borderId="6" xfId="0" applyFont="1" applyFill="1" applyBorder="1" applyAlignment="1">
      <alignment vertical="center"/>
    </xf>
    <xf numFmtId="0" fontId="18" fillId="4" borderId="7" xfId="0" applyFont="1" applyFill="1" applyBorder="1" applyAlignment="1">
      <alignment vertical="center"/>
    </xf>
    <xf numFmtId="0" fontId="18" fillId="4" borderId="8" xfId="0" applyFont="1" applyFill="1" applyBorder="1" applyAlignment="1">
      <alignment vertical="center"/>
    </xf>
    <xf numFmtId="44" fontId="19" fillId="4" borderId="9" xfId="0" applyNumberFormat="1" applyFont="1" applyFill="1" applyBorder="1" applyAlignment="1">
      <alignment horizontal="center" vertical="center"/>
    </xf>
    <xf numFmtId="0" fontId="20" fillId="0" borderId="0" xfId="0" applyFont="1" applyBorder="1"/>
    <xf numFmtId="0" fontId="0" fillId="0" borderId="0" xfId="0" applyBorder="1"/>
    <xf numFmtId="44" fontId="0" fillId="0" borderId="14" xfId="1" applyFont="1" applyBorder="1"/>
    <xf numFmtId="0" fontId="0" fillId="0" borderId="13" xfId="0" applyBorder="1" applyAlignment="1"/>
    <xf numFmtId="0" fontId="0" fillId="0" borderId="0" xfId="0" applyBorder="1" applyAlignment="1"/>
    <xf numFmtId="164" fontId="0" fillId="0" borderId="14" xfId="1" applyNumberFormat="1" applyFont="1" applyBorder="1"/>
    <xf numFmtId="0" fontId="0" fillId="0" borderId="14" xfId="0" applyBorder="1"/>
    <xf numFmtId="0" fontId="0" fillId="0" borderId="0" xfId="0" applyBorder="1" applyAlignment="1">
      <alignment horizontal="left"/>
    </xf>
    <xf numFmtId="0" fontId="1" fillId="0" borderId="13" xfId="0" applyFont="1" applyBorder="1" applyAlignment="1"/>
    <xf numFmtId="2" fontId="0" fillId="0" borderId="13" xfId="0" applyNumberFormat="1" applyFont="1" applyFill="1" applyBorder="1"/>
    <xf numFmtId="164" fontId="0" fillId="0" borderId="14" xfId="1" applyNumberFormat="1" applyFont="1" applyFill="1" applyBorder="1"/>
    <xf numFmtId="2" fontId="1" fillId="0" borderId="15" xfId="0" applyNumberFormat="1" applyFont="1" applyFill="1" applyBorder="1"/>
    <xf numFmtId="44" fontId="10" fillId="0" borderId="17" xfId="1" applyFont="1" applyFill="1" applyBorder="1"/>
    <xf numFmtId="167" fontId="6" fillId="0" borderId="17" xfId="0" applyNumberFormat="1" applyFont="1" applyBorder="1"/>
    <xf numFmtId="2" fontId="1" fillId="0" borderId="0" xfId="0" applyNumberFormat="1" applyFont="1" applyFill="1" applyBorder="1"/>
    <xf numFmtId="0" fontId="6" fillId="0" borderId="0" xfId="0" applyFont="1" applyFill="1" applyBorder="1" applyAlignment="1">
      <alignment horizontal="left" wrapText="1"/>
    </xf>
    <xf numFmtId="44" fontId="10" fillId="0" borderId="0" xfId="1" applyFont="1" applyFill="1" applyBorder="1"/>
    <xf numFmtId="164" fontId="20" fillId="0" borderId="0" xfId="0" applyNumberFormat="1" applyFont="1" applyFill="1" applyBorder="1" applyAlignment="1">
      <alignment horizontal="left" wrapText="1"/>
    </xf>
    <xf numFmtId="167" fontId="6" fillId="0" borderId="0" xfId="0" applyNumberFormat="1" applyFont="1" applyBorder="1"/>
    <xf numFmtId="2" fontId="0" fillId="0" borderId="0" xfId="0" applyNumberFormat="1" applyFont="1" applyFill="1"/>
    <xf numFmtId="2" fontId="1" fillId="0" borderId="0" xfId="0" applyNumberFormat="1" applyFont="1" applyFill="1" applyAlignment="1"/>
    <xf numFmtId="44" fontId="21" fillId="0" borderId="0" xfId="0" applyNumberFormat="1" applyFont="1" applyFill="1" applyBorder="1"/>
    <xf numFmtId="44" fontId="21" fillId="0" borderId="0" xfId="1" applyFont="1" applyFill="1" applyBorder="1" applyAlignment="1">
      <alignment horizontal="center"/>
    </xf>
    <xf numFmtId="0" fontId="6" fillId="0" borderId="0" xfId="0" applyFont="1" applyBorder="1" applyAlignment="1">
      <alignment horizontal="center"/>
    </xf>
    <xf numFmtId="44" fontId="21" fillId="0" borderId="0" xfId="0" applyNumberFormat="1" applyFont="1" applyFill="1" applyBorder="1" applyAlignment="1">
      <alignment horizontal="center"/>
    </xf>
    <xf numFmtId="164" fontId="0" fillId="0" borderId="0" xfId="0" applyNumberFormat="1"/>
    <xf numFmtId="44" fontId="22" fillId="0" borderId="0" xfId="0" applyNumberFormat="1" applyFont="1" applyFill="1" applyBorder="1" applyAlignment="1">
      <alignment horizontal="center"/>
    </xf>
    <xf numFmtId="0" fontId="10" fillId="0" borderId="0" xfId="0" applyFont="1" applyFill="1" applyBorder="1" applyAlignment="1">
      <alignment horizontal="right" wrapText="1"/>
    </xf>
    <xf numFmtId="0" fontId="20" fillId="0" borderId="0" xfId="0" applyFont="1" applyFill="1" applyBorder="1" applyAlignment="1">
      <alignment horizontal="center"/>
    </xf>
    <xf numFmtId="0" fontId="6" fillId="0" borderId="0" xfId="0" applyFont="1" applyFill="1" applyBorder="1" applyAlignment="1">
      <alignment horizontal="center" vertical="top"/>
    </xf>
    <xf numFmtId="0" fontId="1" fillId="5" borderId="0" xfId="0" applyFont="1" applyFill="1" applyAlignment="1">
      <alignment horizontal="right" vertical="center" wrapText="1"/>
    </xf>
    <xf numFmtId="0" fontId="1" fillId="0" borderId="0" xfId="0" applyFont="1" applyAlignment="1">
      <alignment horizontal="right" vertical="center" wrapText="1"/>
    </xf>
    <xf numFmtId="0" fontId="1" fillId="0" borderId="0" xfId="0" applyFont="1" applyAlignment="1">
      <alignment horizontal="left" vertical="center" wrapText="1"/>
    </xf>
    <xf numFmtId="0" fontId="24" fillId="0" borderId="0" xfId="0" applyFont="1" applyAlignment="1">
      <alignment horizontal="right" vertical="center" wrapText="1"/>
    </xf>
    <xf numFmtId="0" fontId="1" fillId="0" borderId="0" xfId="0" applyFont="1" applyBorder="1"/>
    <xf numFmtId="0" fontId="1" fillId="6" borderId="18" xfId="0" applyFont="1" applyFill="1" applyBorder="1" applyAlignment="1">
      <alignment horizontal="center" vertical="center" wrapText="1"/>
    </xf>
    <xf numFmtId="0" fontId="25" fillId="6" borderId="19" xfId="0" applyFont="1" applyFill="1" applyBorder="1" applyAlignment="1">
      <alignment horizontal="center" vertical="center" wrapText="1"/>
    </xf>
    <xf numFmtId="0" fontId="1" fillId="6" borderId="19" xfId="0" applyFont="1" applyFill="1" applyBorder="1" applyAlignment="1">
      <alignment horizontal="center" vertical="center" wrapText="1"/>
    </xf>
    <xf numFmtId="0" fontId="1" fillId="6" borderId="20" xfId="0" applyFont="1" applyFill="1" applyBorder="1" applyAlignment="1">
      <alignment horizontal="center" vertical="center" wrapText="1"/>
    </xf>
    <xf numFmtId="0" fontId="1" fillId="0" borderId="21" xfId="0" applyFont="1" applyBorder="1" applyAlignment="1">
      <alignment horizontal="center" vertical="top" wrapText="1"/>
    </xf>
    <xf numFmtId="0" fontId="1" fillId="0" borderId="5" xfId="0" applyFont="1" applyBorder="1" applyAlignment="1">
      <alignment horizontal="left" vertical="center" wrapText="1"/>
    </xf>
    <xf numFmtId="0" fontId="0" fillId="0" borderId="5" xfId="0" applyBorder="1"/>
    <xf numFmtId="164" fontId="0" fillId="0" borderId="5" xfId="0" applyNumberFormat="1" applyBorder="1" applyAlignment="1">
      <alignment wrapText="1"/>
    </xf>
    <xf numFmtId="164" fontId="1" fillId="0" borderId="22" xfId="0" applyNumberFormat="1" applyFont="1" applyBorder="1" applyAlignment="1">
      <alignment wrapText="1"/>
    </xf>
    <xf numFmtId="164" fontId="26" fillId="0" borderId="0" xfId="0" applyNumberFormat="1" applyFont="1" applyFill="1" applyBorder="1" applyAlignment="1">
      <alignment vertical="center"/>
    </xf>
    <xf numFmtId="164" fontId="1" fillId="0" borderId="0" xfId="0" applyNumberFormat="1" applyFont="1" applyBorder="1" applyAlignment="1">
      <alignment wrapText="1"/>
    </xf>
    <xf numFmtId="0" fontId="0" fillId="0" borderId="21" xfId="0" applyBorder="1" applyAlignment="1">
      <alignment horizontal="center" vertical="top" wrapText="1"/>
    </xf>
    <xf numFmtId="0" fontId="0" fillId="0" borderId="5" xfId="0" applyBorder="1" applyAlignment="1">
      <alignment horizontal="left" wrapText="1"/>
    </xf>
    <xf numFmtId="4" fontId="0" fillId="0" borderId="5" xfId="0" applyNumberFormat="1" applyBorder="1" applyAlignment="1">
      <alignment wrapText="1"/>
    </xf>
    <xf numFmtId="0" fontId="0" fillId="0" borderId="5" xfId="0" applyBorder="1" applyAlignment="1">
      <alignment horizontal="center" wrapText="1"/>
    </xf>
    <xf numFmtId="164" fontId="0" fillId="0" borderId="22" xfId="0" applyNumberFormat="1" applyBorder="1" applyAlignment="1">
      <alignment wrapText="1"/>
    </xf>
    <xf numFmtId="0" fontId="3" fillId="0" borderId="0" xfId="0" applyFont="1" applyBorder="1"/>
    <xf numFmtId="164" fontId="0" fillId="0" borderId="0" xfId="0" applyNumberFormat="1" applyBorder="1" applyAlignment="1">
      <alignment wrapText="1"/>
    </xf>
    <xf numFmtId="0" fontId="1" fillId="0" borderId="5" xfId="0" applyFont="1" applyBorder="1" applyAlignment="1">
      <alignment wrapText="1"/>
    </xf>
    <xf numFmtId="0" fontId="0" fillId="0" borderId="5" xfId="0" applyBorder="1" applyAlignment="1">
      <alignment wrapText="1"/>
    </xf>
    <xf numFmtId="164" fontId="0" fillId="0" borderId="0" xfId="0" applyNumberFormat="1" applyBorder="1"/>
    <xf numFmtId="164" fontId="0" fillId="0" borderId="5" xfId="0" applyNumberFormat="1" applyFill="1" applyBorder="1" applyAlignment="1">
      <alignment wrapText="1"/>
    </xf>
    <xf numFmtId="164" fontId="3" fillId="0" borderId="0" xfId="0" applyNumberFormat="1" applyFont="1" applyBorder="1"/>
    <xf numFmtId="4" fontId="27" fillId="0" borderId="5" xfId="0" applyNumberFormat="1" applyFont="1" applyBorder="1" applyAlignment="1">
      <alignment horizontal="left" vertical="center" wrapText="1"/>
    </xf>
    <xf numFmtId="4" fontId="27" fillId="0" borderId="5" xfId="0" applyNumberFormat="1" applyFont="1" applyBorder="1" applyAlignment="1">
      <alignment horizontal="right" vertical="center" wrapText="1"/>
    </xf>
    <xf numFmtId="0" fontId="27" fillId="0" borderId="5" xfId="0" applyFont="1" applyBorder="1" applyAlignment="1">
      <alignment horizontal="center" vertical="center" wrapText="1"/>
    </xf>
    <xf numFmtId="164" fontId="27" fillId="0" borderId="5" xfId="0" applyNumberFormat="1" applyFont="1" applyBorder="1" applyAlignment="1">
      <alignment vertical="center" wrapText="1"/>
    </xf>
    <xf numFmtId="0" fontId="0" fillId="0" borderId="22" xfId="0" applyBorder="1" applyAlignment="1">
      <alignment wrapText="1"/>
    </xf>
    <xf numFmtId="0" fontId="0" fillId="0" borderId="0" xfId="0" applyBorder="1" applyAlignment="1">
      <alignment wrapText="1"/>
    </xf>
    <xf numFmtId="0" fontId="28" fillId="0" borderId="5" xfId="0" applyFont="1" applyBorder="1" applyAlignment="1">
      <alignment horizontal="left" vertical="center" wrapText="1"/>
    </xf>
    <xf numFmtId="0" fontId="27" fillId="0" borderId="21" xfId="0" applyFont="1" applyBorder="1" applyAlignment="1">
      <alignment horizontal="center" vertical="center" wrapText="1"/>
    </xf>
    <xf numFmtId="0" fontId="27" fillId="0" borderId="5" xfId="0" applyFont="1" applyBorder="1" applyAlignment="1">
      <alignment horizontal="left" vertical="center" wrapText="1"/>
    </xf>
    <xf numFmtId="0" fontId="0" fillId="0" borderId="4" xfId="0" applyBorder="1" applyAlignment="1">
      <alignment horizontal="center" vertical="top" wrapText="1"/>
    </xf>
    <xf numFmtId="0" fontId="28" fillId="0" borderId="5" xfId="0" applyFont="1" applyBorder="1" applyAlignment="1">
      <alignment horizontal="center" vertical="center" wrapText="1"/>
    </xf>
    <xf numFmtId="4" fontId="28" fillId="0" borderId="5" xfId="0" applyNumberFormat="1" applyFont="1" applyBorder="1" applyAlignment="1">
      <alignment horizontal="right" vertical="center" wrapText="1"/>
    </xf>
    <xf numFmtId="164" fontId="28" fillId="0" borderId="5" xfId="0" applyNumberFormat="1" applyFont="1" applyBorder="1" applyAlignment="1">
      <alignment vertical="center" wrapText="1"/>
    </xf>
    <xf numFmtId="164" fontId="28" fillId="0" borderId="22" xfId="0" applyNumberFormat="1" applyFont="1" applyBorder="1" applyAlignment="1">
      <alignment vertical="center" wrapText="1"/>
    </xf>
    <xf numFmtId="0" fontId="1" fillId="0" borderId="23" xfId="0" applyFont="1" applyFill="1" applyBorder="1" applyAlignment="1">
      <alignment horizontal="left" wrapText="1"/>
    </xf>
    <xf numFmtId="4" fontId="0" fillId="0" borderId="23" xfId="0" applyNumberFormat="1" applyFill="1" applyBorder="1" applyAlignment="1">
      <alignment wrapText="1"/>
    </xf>
    <xf numFmtId="0" fontId="0" fillId="0" borderId="23" xfId="0" applyFill="1" applyBorder="1" applyAlignment="1">
      <alignment horizontal="center" wrapText="1"/>
    </xf>
    <xf numFmtId="0" fontId="0" fillId="7" borderId="21" xfId="0" applyFill="1" applyBorder="1" applyAlignment="1">
      <alignment horizontal="center" vertical="top" wrapText="1"/>
    </xf>
    <xf numFmtId="0" fontId="29" fillId="7" borderId="5" xfId="0" applyFont="1" applyFill="1" applyBorder="1" applyAlignment="1">
      <alignment horizontal="left" wrapText="1"/>
    </xf>
    <xf numFmtId="4" fontId="0" fillId="7" borderId="5" xfId="0" applyNumberFormat="1" applyFill="1" applyBorder="1" applyAlignment="1">
      <alignment wrapText="1"/>
    </xf>
    <xf numFmtId="0" fontId="0" fillId="7" borderId="5" xfId="0" applyFill="1" applyBorder="1" applyAlignment="1">
      <alignment horizontal="center" wrapText="1"/>
    </xf>
    <xf numFmtId="164" fontId="0" fillId="7" borderId="5" xfId="0" applyNumberFormat="1" applyFill="1" applyBorder="1" applyAlignment="1">
      <alignment wrapText="1"/>
    </xf>
    <xf numFmtId="164" fontId="29" fillId="7" borderId="22" xfId="0" applyNumberFormat="1" applyFont="1" applyFill="1" applyBorder="1" applyAlignment="1">
      <alignment wrapText="1"/>
    </xf>
    <xf numFmtId="0" fontId="0" fillId="0" borderId="0" xfId="0" applyFill="1" applyBorder="1" applyAlignment="1">
      <alignment horizontal="center"/>
    </xf>
    <xf numFmtId="4" fontId="1" fillId="0" borderId="0" xfId="0" applyNumberFormat="1" applyFont="1" applyFill="1" applyBorder="1"/>
    <xf numFmtId="4" fontId="0" fillId="0" borderId="0" xfId="0" applyNumberFormat="1" applyFill="1" applyBorder="1"/>
    <xf numFmtId="4" fontId="0" fillId="0" borderId="0" xfId="0" applyNumberFormat="1" applyFill="1" applyBorder="1" applyAlignment="1">
      <alignment horizontal="center"/>
    </xf>
    <xf numFmtId="164" fontId="30" fillId="0" borderId="0" xfId="0" applyNumberFormat="1" applyFont="1" applyFill="1" applyBorder="1" applyAlignment="1">
      <alignment vertical="center"/>
    </xf>
    <xf numFmtId="164" fontId="31" fillId="0" borderId="0" xfId="0" applyNumberFormat="1" applyFont="1" applyFill="1" applyBorder="1" applyAlignment="1">
      <alignment vertical="center"/>
    </xf>
    <xf numFmtId="0" fontId="0" fillId="0" borderId="0" xfId="0" applyFill="1" applyBorder="1"/>
    <xf numFmtId="164" fontId="32" fillId="0" borderId="0" xfId="2" applyNumberFormat="1" applyFont="1" applyFill="1" applyBorder="1" applyAlignment="1">
      <alignment horizontal="right" vertical="center" wrapText="1"/>
    </xf>
    <xf numFmtId="164" fontId="0" fillId="0" borderId="0" xfId="0" applyNumberFormat="1" applyFill="1" applyBorder="1" applyAlignment="1">
      <alignment wrapText="1"/>
    </xf>
    <xf numFmtId="0" fontId="1" fillId="5" borderId="0" xfId="0" applyFont="1" applyFill="1" applyAlignment="1">
      <alignment horizontal="left" vertical="center" wrapText="1"/>
    </xf>
    <xf numFmtId="0" fontId="1" fillId="6" borderId="24" xfId="0" applyFont="1" applyFill="1" applyBorder="1" applyAlignment="1">
      <alignment horizontal="center" vertical="center" wrapText="1"/>
    </xf>
    <xf numFmtId="0" fontId="25" fillId="6" borderId="18" xfId="0" applyFont="1" applyFill="1" applyBorder="1" applyAlignment="1">
      <alignment horizontal="center" vertical="center" wrapText="1"/>
    </xf>
    <xf numFmtId="0" fontId="1" fillId="0" borderId="13" xfId="0" applyFont="1" applyFill="1" applyBorder="1" applyAlignment="1">
      <alignment horizontal="center" vertical="center" wrapText="1"/>
    </xf>
    <xf numFmtId="0" fontId="25" fillId="0" borderId="25" xfId="0" applyFont="1" applyFill="1" applyBorder="1" applyAlignment="1">
      <alignment horizontal="left" vertical="center" wrapText="1"/>
    </xf>
    <xf numFmtId="0" fontId="1" fillId="0" borderId="26" xfId="0" applyFont="1" applyFill="1" applyBorder="1" applyAlignment="1">
      <alignment horizontal="center" vertical="center" wrapText="1"/>
    </xf>
    <xf numFmtId="164" fontId="1" fillId="0" borderId="22" xfId="0" applyNumberFormat="1" applyFont="1" applyFill="1" applyBorder="1" applyAlignment="1">
      <alignment horizontal="right" vertical="center" wrapText="1"/>
    </xf>
    <xf numFmtId="0" fontId="1" fillId="0" borderId="21" xfId="0" applyFont="1" applyBorder="1" applyAlignment="1">
      <alignment horizontal="center" vertical="center"/>
    </xf>
    <xf numFmtId="0" fontId="0" fillId="0" borderId="4" xfId="0" applyFill="1" applyBorder="1" applyAlignment="1">
      <alignment horizontal="left" vertical="top" wrapText="1"/>
    </xf>
    <xf numFmtId="4" fontId="0" fillId="0" borderId="5" xfId="0" applyNumberFormat="1" applyBorder="1"/>
    <xf numFmtId="0" fontId="0" fillId="0" borderId="5" xfId="0" applyFill="1" applyBorder="1" applyAlignment="1">
      <alignment horizontal="center"/>
    </xf>
    <xf numFmtId="164" fontId="0" fillId="0" borderId="22" xfId="0" applyNumberFormat="1" applyFill="1" applyBorder="1" applyAlignment="1">
      <alignment wrapText="1"/>
    </xf>
    <xf numFmtId="0" fontId="1" fillId="0" borderId="21" xfId="0" applyFont="1" applyFill="1" applyBorder="1" applyAlignment="1">
      <alignment horizontal="center" vertical="center" wrapText="1"/>
    </xf>
    <xf numFmtId="164" fontId="1" fillId="0" borderId="22" xfId="0" applyNumberFormat="1" applyFont="1" applyFill="1" applyBorder="1" applyAlignment="1">
      <alignment wrapText="1"/>
    </xf>
    <xf numFmtId="0" fontId="0" fillId="0" borderId="4" xfId="0" applyFill="1" applyBorder="1" applyAlignment="1"/>
    <xf numFmtId="0" fontId="0" fillId="0" borderId="4" xfId="0" applyFill="1" applyBorder="1" applyAlignment="1">
      <alignment horizontal="left" indent="1"/>
    </xf>
    <xf numFmtId="0" fontId="1" fillId="0" borderId="21" xfId="0" applyFont="1" applyFill="1" applyBorder="1" applyAlignment="1">
      <alignment horizontal="center" vertical="top" wrapText="1"/>
    </xf>
    <xf numFmtId="0" fontId="1" fillId="0" borderId="4" xfId="0" applyFont="1" applyFill="1" applyBorder="1"/>
    <xf numFmtId="4" fontId="0" fillId="0" borderId="5" xfId="0" applyNumberFormat="1" applyFill="1" applyBorder="1" applyAlignment="1">
      <alignment wrapText="1"/>
    </xf>
    <xf numFmtId="0" fontId="0" fillId="0" borderId="5" xfId="0" applyFill="1" applyBorder="1"/>
    <xf numFmtId="0" fontId="0" fillId="0" borderId="21" xfId="0" applyFill="1" applyBorder="1" applyAlignment="1">
      <alignment horizontal="center" vertical="top" wrapText="1"/>
    </xf>
    <xf numFmtId="0" fontId="1" fillId="0" borderId="4" xfId="0" applyFont="1" applyFill="1" applyBorder="1" applyAlignment="1">
      <alignment horizontal="left" vertical="top" wrapText="1"/>
    </xf>
    <xf numFmtId="0" fontId="1" fillId="0" borderId="4" xfId="0" applyFont="1" applyFill="1" applyBorder="1" applyAlignment="1">
      <alignment horizontal="left" wrapText="1" indent="1"/>
    </xf>
    <xf numFmtId="0" fontId="0" fillId="0" borderId="27" xfId="0" applyFill="1" applyBorder="1"/>
    <xf numFmtId="0" fontId="0" fillId="0" borderId="28" xfId="0" applyFill="1" applyBorder="1"/>
    <xf numFmtId="0" fontId="0" fillId="0" borderId="29" xfId="0" applyFill="1" applyBorder="1"/>
    <xf numFmtId="0" fontId="1" fillId="0" borderId="29" xfId="0" applyFont="1" applyFill="1" applyBorder="1" applyAlignment="1">
      <alignment horizontal="right"/>
    </xf>
    <xf numFmtId="164" fontId="1" fillId="0" borderId="30" xfId="0" applyNumberFormat="1" applyFont="1" applyFill="1" applyBorder="1"/>
    <xf numFmtId="168" fontId="34" fillId="0" borderId="0" xfId="3" applyNumberFormat="1" applyFont="1" applyFill="1" applyBorder="1" applyAlignment="1">
      <alignment horizontal="left" vertical="center"/>
    </xf>
    <xf numFmtId="0" fontId="35" fillId="0" borderId="0" xfId="0" applyFont="1" applyFill="1" applyBorder="1" applyAlignment="1">
      <alignment horizontal="center" vertical="center"/>
    </xf>
    <xf numFmtId="0" fontId="36" fillId="0" borderId="0" xfId="0" applyFont="1" applyFill="1" applyBorder="1" applyAlignment="1">
      <alignment horizontal="center" vertical="center"/>
    </xf>
    <xf numFmtId="0" fontId="37" fillId="0" borderId="0" xfId="0" applyFont="1" applyFill="1" applyBorder="1" applyAlignment="1">
      <alignment horizontal="center" vertical="center"/>
    </xf>
    <xf numFmtId="2" fontId="0" fillId="0" borderId="0" xfId="0" applyNumberFormat="1" applyFill="1" applyBorder="1" applyAlignment="1">
      <alignment horizontal="center"/>
    </xf>
    <xf numFmtId="0" fontId="38" fillId="0" borderId="0" xfId="0" applyFont="1" applyFill="1" applyBorder="1"/>
    <xf numFmtId="4" fontId="39" fillId="0" borderId="0" xfId="0" applyNumberFormat="1" applyFont="1" applyFill="1" applyBorder="1"/>
    <xf numFmtId="4" fontId="39" fillId="0" borderId="0" xfId="0" applyNumberFormat="1" applyFont="1" applyFill="1" applyBorder="1" applyAlignment="1">
      <alignment horizontal="center"/>
    </xf>
    <xf numFmtId="0" fontId="40" fillId="0" borderId="0" xfId="0" applyFont="1" applyFill="1" applyBorder="1" applyAlignment="1">
      <alignment vertical="top" wrapText="1"/>
    </xf>
    <xf numFmtId="164" fontId="32" fillId="0" borderId="0" xfId="0" applyNumberFormat="1" applyFont="1" applyFill="1" applyBorder="1" applyAlignment="1">
      <alignment vertical="center"/>
    </xf>
    <xf numFmtId="164" fontId="31" fillId="0" borderId="0" xfId="0" applyNumberFormat="1" applyFont="1" applyFill="1" applyBorder="1" applyAlignment="1"/>
    <xf numFmtId="0" fontId="31" fillId="0" borderId="0" xfId="0" applyFont="1" applyFill="1" applyBorder="1" applyAlignment="1">
      <alignment vertical="top" wrapText="1"/>
    </xf>
    <xf numFmtId="164" fontId="32" fillId="0" borderId="0" xfId="0" applyNumberFormat="1" applyFont="1" applyFill="1" applyBorder="1" applyAlignment="1"/>
    <xf numFmtId="0" fontId="0" fillId="0" borderId="0" xfId="0" applyFill="1" applyBorder="1" applyAlignment="1">
      <alignment horizontal="center" vertical="center"/>
    </xf>
    <xf numFmtId="164" fontId="40" fillId="0" borderId="0" xfId="0" applyNumberFormat="1" applyFont="1" applyFill="1" applyBorder="1" applyAlignment="1">
      <alignment vertical="center"/>
    </xf>
    <xf numFmtId="164" fontId="40" fillId="0" borderId="0" xfId="0" applyNumberFormat="1" applyFont="1" applyFill="1" applyBorder="1" applyAlignment="1">
      <alignment horizontal="center" vertical="center"/>
    </xf>
    <xf numFmtId="44" fontId="0" fillId="0" borderId="0" xfId="0" applyNumberFormat="1"/>
    <xf numFmtId="164" fontId="32" fillId="0" borderId="0" xfId="0" applyNumberFormat="1" applyFont="1" applyFill="1" applyBorder="1" applyAlignment="1">
      <alignment horizontal="center" vertical="center"/>
    </xf>
    <xf numFmtId="164" fontId="31" fillId="0" borderId="0" xfId="0" applyNumberFormat="1" applyFont="1" applyFill="1" applyBorder="1" applyAlignment="1">
      <alignment horizontal="center" vertical="center"/>
    </xf>
    <xf numFmtId="44" fontId="42" fillId="0" borderId="0" xfId="1" applyFont="1" applyFill="1" applyBorder="1" applyAlignment="1">
      <alignment horizontal="center"/>
    </xf>
    <xf numFmtId="44" fontId="43" fillId="0" borderId="0" xfId="0" applyNumberFormat="1" applyFont="1" applyFill="1" applyBorder="1"/>
    <xf numFmtId="164" fontId="0" fillId="0" borderId="0" xfId="0" applyNumberFormat="1" applyFill="1" applyBorder="1"/>
    <xf numFmtId="168" fontId="34" fillId="0" borderId="5" xfId="3" applyNumberFormat="1" applyFont="1" applyFill="1" applyBorder="1" applyAlignment="1">
      <alignment horizontal="left" vertical="center"/>
    </xf>
    <xf numFmtId="0" fontId="35" fillId="0" borderId="5" xfId="0" applyFont="1" applyFill="1" applyBorder="1" applyAlignment="1">
      <alignment horizontal="center" vertical="center"/>
    </xf>
    <xf numFmtId="0" fontId="36" fillId="0" borderId="5" xfId="0" applyFont="1" applyFill="1" applyBorder="1" applyAlignment="1">
      <alignment horizontal="center" vertical="center"/>
    </xf>
    <xf numFmtId="0" fontId="37" fillId="0" borderId="5" xfId="0" applyFont="1" applyFill="1" applyBorder="1" applyAlignment="1">
      <alignment horizontal="center" vertical="center"/>
    </xf>
    <xf numFmtId="0" fontId="0" fillId="8" borderId="5" xfId="0" applyFill="1" applyBorder="1" applyAlignment="1">
      <alignment horizontal="center"/>
    </xf>
    <xf numFmtId="164" fontId="32" fillId="8" borderId="5" xfId="2" applyNumberFormat="1" applyFont="1" applyFill="1" applyBorder="1" applyAlignment="1">
      <alignment horizontal="right" vertical="center" wrapText="1"/>
    </xf>
    <xf numFmtId="0" fontId="0" fillId="0" borderId="5" xfId="0" applyBorder="1" applyAlignment="1">
      <alignment horizontal="center"/>
    </xf>
    <xf numFmtId="0" fontId="44" fillId="0" borderId="5" xfId="0" applyFont="1" applyBorder="1" applyAlignment="1">
      <alignment vertical="top" wrapText="1"/>
    </xf>
    <xf numFmtId="44" fontId="43" fillId="0" borderId="5" xfId="1" applyFont="1" applyBorder="1" applyAlignment="1">
      <alignment horizontal="center"/>
    </xf>
    <xf numFmtId="44" fontId="43" fillId="0" borderId="5" xfId="0" applyNumberFormat="1" applyFont="1" applyBorder="1"/>
    <xf numFmtId="0" fontId="40" fillId="0" borderId="5" xfId="0" applyFont="1" applyBorder="1" applyAlignment="1">
      <alignment vertical="top" wrapText="1"/>
    </xf>
    <xf numFmtId="164" fontId="40" fillId="0" borderId="5" xfId="0" applyNumberFormat="1" applyFont="1" applyFill="1" applyBorder="1" applyAlignment="1">
      <alignment vertical="center"/>
    </xf>
    <xf numFmtId="166" fontId="40" fillId="0" borderId="5" xfId="2" applyNumberFormat="1" applyFont="1" applyBorder="1" applyAlignment="1">
      <alignment horizontal="right" vertical="center" wrapText="1"/>
    </xf>
    <xf numFmtId="0" fontId="40" fillId="0" borderId="3" xfId="0" applyFont="1" applyBorder="1" applyAlignment="1">
      <alignment vertical="top" wrapText="1"/>
    </xf>
    <xf numFmtId="0" fontId="0" fillId="0" borderId="35" xfId="0" applyBorder="1" applyAlignment="1">
      <alignment horizontal="center"/>
    </xf>
    <xf numFmtId="164" fontId="40" fillId="0" borderId="35" xfId="0" applyNumberFormat="1" applyFont="1" applyFill="1" applyBorder="1" applyAlignment="1">
      <alignment vertical="center"/>
    </xf>
    <xf numFmtId="166" fontId="40" fillId="0" borderId="35" xfId="2" applyNumberFormat="1" applyFont="1" applyBorder="1" applyAlignment="1">
      <alignment horizontal="right" vertical="center" wrapText="1"/>
    </xf>
    <xf numFmtId="0" fontId="38" fillId="0" borderId="5" xfId="0" applyFont="1" applyBorder="1" applyAlignment="1">
      <alignment horizontal="center"/>
    </xf>
    <xf numFmtId="0" fontId="30" fillId="0" borderId="5" xfId="2" applyNumberFormat="1" applyFont="1" applyBorder="1" applyAlignment="1">
      <alignment horizontal="center" vertical="center"/>
    </xf>
    <xf numFmtId="164" fontId="30" fillId="0" borderId="5" xfId="0" applyNumberFormat="1" applyFont="1" applyFill="1" applyBorder="1" applyAlignment="1">
      <alignment vertical="center"/>
    </xf>
    <xf numFmtId="166" fontId="32" fillId="0" borderId="5" xfId="2" applyNumberFormat="1" applyFont="1" applyBorder="1" applyAlignment="1">
      <alignment horizontal="right" vertical="center" wrapText="1"/>
    </xf>
    <xf numFmtId="0" fontId="38" fillId="0" borderId="35" xfId="0" applyFont="1" applyBorder="1" applyAlignment="1">
      <alignment horizontal="center"/>
    </xf>
    <xf numFmtId="0" fontId="30" fillId="0" borderId="35" xfId="2" applyNumberFormat="1" applyFont="1" applyBorder="1" applyAlignment="1">
      <alignment horizontal="center" vertical="center"/>
    </xf>
    <xf numFmtId="164" fontId="30" fillId="0" borderId="35" xfId="0" applyNumberFormat="1" applyFont="1" applyFill="1" applyBorder="1" applyAlignment="1">
      <alignment vertical="center"/>
    </xf>
    <xf numFmtId="166" fontId="32" fillId="0" borderId="35" xfId="2" applyNumberFormat="1" applyFont="1" applyBorder="1" applyAlignment="1">
      <alignment horizontal="right" vertical="center" wrapText="1"/>
    </xf>
    <xf numFmtId="4" fontId="43" fillId="0" borderId="5" xfId="3" applyNumberFormat="1" applyFont="1" applyBorder="1" applyAlignment="1">
      <alignment horizontal="right" vertical="center" indent="2"/>
    </xf>
    <xf numFmtId="2" fontId="0" fillId="0" borderId="5" xfId="0" applyNumberFormat="1" applyBorder="1" applyAlignment="1">
      <alignment horizontal="center"/>
    </xf>
    <xf numFmtId="166" fontId="40" fillId="0" borderId="4" xfId="2" applyNumberFormat="1" applyFont="1" applyBorder="1" applyAlignment="1">
      <alignment horizontal="right" vertical="center" wrapText="1"/>
    </xf>
    <xf numFmtId="0" fontId="0" fillId="9" borderId="5" xfId="0" applyFill="1" applyBorder="1" applyAlignment="1">
      <alignment horizontal="center"/>
    </xf>
    <xf numFmtId="0" fontId="0" fillId="0" borderId="5" xfId="0" applyBorder="1" applyAlignment="1">
      <alignment horizontal="center" vertical="center"/>
    </xf>
    <xf numFmtId="164" fontId="31" fillId="0" borderId="5" xfId="0" applyNumberFormat="1" applyFont="1" applyFill="1" applyBorder="1" applyAlignment="1">
      <alignment vertical="center"/>
    </xf>
    <xf numFmtId="0" fontId="0" fillId="0" borderId="35" xfId="0" applyBorder="1" applyAlignment="1">
      <alignment horizontal="center" vertical="center"/>
    </xf>
    <xf numFmtId="164" fontId="31" fillId="0" borderId="35" xfId="0" applyNumberFormat="1" applyFont="1" applyFill="1" applyBorder="1" applyAlignment="1">
      <alignment vertical="center"/>
    </xf>
    <xf numFmtId="164" fontId="31" fillId="0" borderId="4" xfId="0" applyNumberFormat="1" applyFont="1" applyFill="1" applyBorder="1" applyAlignment="1">
      <alignment vertical="center"/>
    </xf>
    <xf numFmtId="166" fontId="32" fillId="8" borderId="5" xfId="2" applyNumberFormat="1" applyFont="1" applyFill="1" applyBorder="1" applyAlignment="1">
      <alignment horizontal="right" vertical="center" wrapText="1"/>
    </xf>
    <xf numFmtId="4" fontId="1" fillId="8" borderId="5" xfId="0" applyNumberFormat="1" applyFont="1" applyFill="1" applyBorder="1"/>
    <xf numFmtId="4" fontId="0" fillId="8" borderId="5" xfId="0" applyNumberFormat="1" applyFill="1" applyBorder="1"/>
    <xf numFmtId="4" fontId="0" fillId="8" borderId="5" xfId="0" applyNumberFormat="1" applyFill="1" applyBorder="1" applyAlignment="1">
      <alignment horizontal="center"/>
    </xf>
    <xf numFmtId="0" fontId="0" fillId="8" borderId="5" xfId="0" applyFill="1" applyBorder="1"/>
    <xf numFmtId="4" fontId="0" fillId="0" borderId="4" xfId="0" applyNumberFormat="1" applyBorder="1"/>
    <xf numFmtId="4" fontId="0" fillId="0" borderId="5" xfId="0" applyNumberFormat="1" applyBorder="1" applyAlignment="1">
      <alignment horizontal="center"/>
    </xf>
    <xf numFmtId="4" fontId="1" fillId="8" borderId="4" xfId="0" applyNumberFormat="1" applyFont="1" applyFill="1" applyBorder="1"/>
    <xf numFmtId="164" fontId="31" fillId="8" borderId="5" xfId="0" applyNumberFormat="1" applyFont="1" applyFill="1" applyBorder="1" applyAlignment="1">
      <alignment vertical="center"/>
    </xf>
    <xf numFmtId="4" fontId="42" fillId="0" borderId="5" xfId="0" applyNumberFormat="1" applyFont="1" applyBorder="1"/>
    <xf numFmtId="4" fontId="0" fillId="0" borderId="4" xfId="0" applyNumberFormat="1" applyBorder="1" applyAlignment="1">
      <alignment wrapText="1"/>
    </xf>
    <xf numFmtId="4" fontId="39" fillId="0" borderId="5" xfId="0" applyNumberFormat="1" applyFont="1" applyBorder="1"/>
    <xf numFmtId="4" fontId="39" fillId="0" borderId="5" xfId="0" applyNumberFormat="1" applyFont="1" applyBorder="1" applyAlignment="1">
      <alignment horizontal="center"/>
    </xf>
    <xf numFmtId="0" fontId="38" fillId="0" borderId="0" xfId="0" applyFont="1"/>
    <xf numFmtId="2" fontId="0" fillId="0" borderId="36" xfId="0" applyNumberFormat="1" applyBorder="1" applyAlignment="1">
      <alignment horizontal="center"/>
    </xf>
    <xf numFmtId="4" fontId="0" fillId="0" borderId="32" xfId="0" applyNumberFormat="1" applyBorder="1"/>
    <xf numFmtId="4" fontId="0" fillId="0" borderId="36" xfId="0" applyNumberFormat="1" applyBorder="1"/>
    <xf numFmtId="4" fontId="0" fillId="0" borderId="36" xfId="0" applyNumberFormat="1" applyBorder="1" applyAlignment="1">
      <alignment horizontal="center"/>
    </xf>
    <xf numFmtId="164" fontId="30" fillId="0" borderId="36" xfId="0" applyNumberFormat="1" applyFont="1" applyFill="1" applyBorder="1" applyAlignment="1">
      <alignment vertical="center"/>
    </xf>
    <xf numFmtId="164" fontId="31" fillId="0" borderId="36" xfId="0" applyNumberFormat="1" applyFont="1" applyFill="1" applyBorder="1" applyAlignment="1">
      <alignment vertical="center"/>
    </xf>
    <xf numFmtId="0" fontId="0" fillId="0" borderId="36" xfId="0" applyBorder="1"/>
    <xf numFmtId="4" fontId="39" fillId="0" borderId="4" xfId="0" applyNumberFormat="1" applyFont="1" applyBorder="1"/>
    <xf numFmtId="4" fontId="39" fillId="0" borderId="35" xfId="0" applyNumberFormat="1" applyFont="1" applyBorder="1"/>
    <xf numFmtId="4" fontId="39" fillId="0" borderId="35" xfId="0" applyNumberFormat="1" applyFont="1" applyBorder="1" applyAlignment="1">
      <alignment horizontal="center"/>
    </xf>
    <xf numFmtId="164" fontId="32" fillId="0" borderId="5" xfId="0" applyNumberFormat="1" applyFont="1" applyFill="1" applyBorder="1" applyAlignment="1">
      <alignment vertical="center"/>
    </xf>
    <xf numFmtId="164" fontId="31" fillId="0" borderId="5" xfId="0" applyNumberFormat="1" applyFont="1" applyFill="1" applyBorder="1" applyAlignment="1"/>
    <xf numFmtId="0" fontId="31" fillId="0" borderId="5" xfId="0" applyFont="1" applyBorder="1" applyAlignment="1">
      <alignment vertical="top" wrapText="1"/>
    </xf>
    <xf numFmtId="0" fontId="31" fillId="0" borderId="36" xfId="0" applyFont="1" applyBorder="1" applyAlignment="1">
      <alignment vertical="top" wrapText="1"/>
    </xf>
    <xf numFmtId="4" fontId="39" fillId="0" borderId="36" xfId="0" applyNumberFormat="1" applyFont="1" applyBorder="1"/>
    <xf numFmtId="4" fontId="39" fillId="0" borderId="36" xfId="0" applyNumberFormat="1" applyFont="1" applyBorder="1" applyAlignment="1">
      <alignment horizontal="center"/>
    </xf>
    <xf numFmtId="164" fontId="32" fillId="0" borderId="36" xfId="0" applyNumberFormat="1" applyFont="1" applyFill="1" applyBorder="1" applyAlignment="1"/>
    <xf numFmtId="164" fontId="31" fillId="0" borderId="36" xfId="0" applyNumberFormat="1" applyFont="1" applyFill="1" applyBorder="1" applyAlignment="1"/>
    <xf numFmtId="0" fontId="31" fillId="0" borderId="31" xfId="0" applyFont="1" applyBorder="1" applyAlignment="1">
      <alignment vertical="top" wrapText="1"/>
    </xf>
    <xf numFmtId="4" fontId="39" fillId="0" borderId="2" xfId="0" applyNumberFormat="1" applyFont="1" applyBorder="1"/>
    <xf numFmtId="4" fontId="39" fillId="0" borderId="2" xfId="0" applyNumberFormat="1" applyFont="1" applyBorder="1" applyAlignment="1">
      <alignment horizontal="center"/>
    </xf>
    <xf numFmtId="164" fontId="32" fillId="0" borderId="2" xfId="0" applyNumberFormat="1" applyFont="1" applyFill="1" applyBorder="1" applyAlignment="1"/>
    <xf numFmtId="164" fontId="31" fillId="0" borderId="2" xfId="0" applyNumberFormat="1" applyFont="1" applyFill="1" applyBorder="1" applyAlignment="1"/>
    <xf numFmtId="164" fontId="40" fillId="0" borderId="3" xfId="0" applyNumberFormat="1" applyFont="1" applyFill="1" applyBorder="1" applyAlignment="1">
      <alignment horizontal="center" vertical="center"/>
    </xf>
    <xf numFmtId="0" fontId="31" fillId="0" borderId="3" xfId="0" applyFont="1" applyBorder="1" applyAlignment="1">
      <alignment vertical="top" wrapText="1"/>
    </xf>
    <xf numFmtId="164" fontId="40" fillId="0" borderId="35" xfId="0" applyNumberFormat="1" applyFont="1" applyFill="1" applyBorder="1" applyAlignment="1">
      <alignment horizontal="center" vertical="center"/>
    </xf>
    <xf numFmtId="2" fontId="0" fillId="0" borderId="5" xfId="0" applyNumberFormat="1" applyBorder="1" applyAlignment="1">
      <alignment horizontal="center" vertical="center"/>
    </xf>
    <xf numFmtId="164" fontId="32" fillId="0" borderId="3" xfId="0" applyNumberFormat="1" applyFont="1" applyFill="1" applyBorder="1" applyAlignment="1">
      <alignment horizontal="center" vertical="center"/>
    </xf>
    <xf numFmtId="164" fontId="32" fillId="0" borderId="35" xfId="0" applyNumberFormat="1" applyFont="1" applyFill="1" applyBorder="1" applyAlignment="1">
      <alignment vertical="center"/>
    </xf>
    <xf numFmtId="164" fontId="32" fillId="0" borderId="35" xfId="0" applyNumberFormat="1" applyFont="1" applyFill="1" applyBorder="1" applyAlignment="1">
      <alignment horizontal="center" vertical="center"/>
    </xf>
    <xf numFmtId="164" fontId="31" fillId="0" borderId="3" xfId="0" applyNumberFormat="1" applyFont="1" applyFill="1" applyBorder="1" applyAlignment="1">
      <alignment horizontal="center" vertical="center"/>
    </xf>
    <xf numFmtId="164" fontId="31" fillId="0" borderId="35" xfId="0" applyNumberFormat="1" applyFont="1" applyFill="1" applyBorder="1" applyAlignment="1">
      <alignment horizontal="center" vertical="center"/>
    </xf>
    <xf numFmtId="164" fontId="4" fillId="0" borderId="5" xfId="0" applyNumberFormat="1" applyFont="1" applyBorder="1"/>
    <xf numFmtId="44" fontId="42" fillId="0" borderId="5" xfId="1" applyFont="1" applyBorder="1" applyAlignment="1">
      <alignment horizontal="center"/>
    </xf>
    <xf numFmtId="44" fontId="0" fillId="0" borderId="3" xfId="0" applyNumberFormat="1" applyBorder="1"/>
    <xf numFmtId="164" fontId="0" fillId="10" borderId="5" xfId="0" applyNumberFormat="1" applyFill="1" applyBorder="1"/>
    <xf numFmtId="4" fontId="1" fillId="0" borderId="0" xfId="0" applyNumberFormat="1" applyFont="1" applyAlignment="1">
      <alignment horizontal="right"/>
    </xf>
    <xf numFmtId="4" fontId="29" fillId="0" borderId="0" xfId="0" applyNumberFormat="1" applyFont="1"/>
    <xf numFmtId="0" fontId="1" fillId="6" borderId="33" xfId="0" applyFont="1" applyFill="1" applyBorder="1" applyAlignment="1">
      <alignment horizontal="center" vertical="center" wrapText="1"/>
    </xf>
    <xf numFmtId="4" fontId="0" fillId="4" borderId="0" xfId="0" applyNumberFormat="1" applyFill="1"/>
    <xf numFmtId="0" fontId="0" fillId="0" borderId="0" xfId="0" applyBorder="1" applyAlignment="1">
      <alignment horizontal="center" vertical="center" wrapText="1"/>
    </xf>
    <xf numFmtId="4" fontId="0" fillId="0" borderId="0" xfId="0" applyNumberFormat="1" applyAlignment="1">
      <alignment wrapText="1"/>
    </xf>
    <xf numFmtId="4" fontId="46" fillId="0" borderId="0" xfId="0" applyNumberFormat="1" applyFont="1"/>
    <xf numFmtId="4" fontId="0" fillId="0" borderId="0" xfId="0" applyNumberFormat="1" applyAlignment="1">
      <alignment horizontal="center"/>
    </xf>
    <xf numFmtId="4" fontId="0" fillId="0" borderId="0" xfId="0" applyNumberFormat="1" applyAlignment="1">
      <alignment horizontal="center"/>
    </xf>
    <xf numFmtId="0" fontId="1" fillId="0" borderId="0" xfId="0" applyFont="1" applyBorder="1" applyAlignment="1">
      <alignment horizontal="center" vertical="center" wrapText="1"/>
    </xf>
    <xf numFmtId="4" fontId="0" fillId="11" borderId="0" xfId="0" applyNumberFormat="1" applyFill="1"/>
    <xf numFmtId="0" fontId="0" fillId="0" borderId="0" xfId="0" applyBorder="1" applyAlignment="1">
      <alignment horizontal="left"/>
    </xf>
    <xf numFmtId="0" fontId="6" fillId="0" borderId="0" xfId="0" applyFont="1" applyFill="1" applyBorder="1" applyAlignment="1">
      <alignment horizontal="center" vertical="top"/>
    </xf>
    <xf numFmtId="0" fontId="13" fillId="0" borderId="1" xfId="0" applyFont="1" applyFill="1" applyBorder="1" applyAlignment="1">
      <alignment horizontal="center"/>
    </xf>
    <xf numFmtId="0" fontId="6" fillId="0" borderId="1" xfId="0" applyFont="1" applyFill="1" applyBorder="1" applyAlignment="1">
      <alignment horizontal="center"/>
    </xf>
    <xf numFmtId="0" fontId="6" fillId="0" borderId="0" xfId="0" applyFont="1" applyBorder="1" applyAlignment="1">
      <alignment horizontal="center"/>
    </xf>
    <xf numFmtId="0" fontId="13" fillId="0" borderId="1" xfId="0" applyFont="1" applyBorder="1" applyAlignment="1">
      <alignment horizontal="center"/>
    </xf>
    <xf numFmtId="0" fontId="6" fillId="0" borderId="0" xfId="0" applyFont="1" applyFill="1" applyBorder="1" applyAlignment="1">
      <alignment horizontal="center" vertical="center"/>
    </xf>
    <xf numFmtId="0" fontId="10" fillId="0" borderId="0" xfId="0" applyFont="1" applyFill="1" applyBorder="1" applyAlignment="1">
      <alignment horizontal="center" vertical="center"/>
    </xf>
    <xf numFmtId="0" fontId="10" fillId="0" borderId="0" xfId="0" applyFont="1" applyFill="1" applyBorder="1" applyAlignment="1">
      <alignment horizontal="center"/>
    </xf>
    <xf numFmtId="0" fontId="6" fillId="0" borderId="0" xfId="0" applyFont="1" applyFill="1" applyBorder="1" applyAlignment="1">
      <alignment horizontal="left"/>
    </xf>
    <xf numFmtId="4" fontId="1" fillId="0" borderId="0" xfId="0" applyNumberFormat="1" applyFont="1" applyAlignment="1">
      <alignment horizontal="center"/>
    </xf>
    <xf numFmtId="0" fontId="47" fillId="0" borderId="37" xfId="0" applyFont="1" applyBorder="1" applyAlignment="1"/>
    <xf numFmtId="0" fontId="47" fillId="0" borderId="38" xfId="0" applyFont="1" applyBorder="1" applyAlignment="1"/>
    <xf numFmtId="0" fontId="48" fillId="0" borderId="38" xfId="0" applyFont="1" applyBorder="1" applyAlignment="1"/>
    <xf numFmtId="0" fontId="47" fillId="0" borderId="39" xfId="0" applyFont="1" applyBorder="1" applyAlignment="1"/>
    <xf numFmtId="0" fontId="50" fillId="0" borderId="40" xfId="0" applyFont="1" applyBorder="1" applyAlignment="1"/>
    <xf numFmtId="0" fontId="47" fillId="0" borderId="0" xfId="0" applyFont="1" applyAlignment="1"/>
    <xf numFmtId="0" fontId="48" fillId="0" borderId="0" xfId="0" applyFont="1" applyAlignment="1"/>
    <xf numFmtId="0" fontId="48" fillId="0" borderId="41" xfId="0" applyFont="1" applyBorder="1" applyAlignment="1"/>
    <xf numFmtId="169" fontId="48" fillId="0" borderId="0" xfId="0" applyNumberFormat="1" applyFont="1" applyAlignment="1"/>
    <xf numFmtId="0" fontId="48" fillId="0" borderId="40" xfId="0" applyFont="1" applyBorder="1" applyAlignment="1"/>
    <xf numFmtId="14" fontId="48" fillId="0" borderId="0" xfId="0" applyNumberFormat="1" applyFont="1" applyAlignment="1"/>
    <xf numFmtId="0" fontId="0" fillId="0" borderId="34" xfId="0" applyBorder="1" applyAlignment="1" applyProtection="1">
      <alignment horizontal="fill"/>
      <protection locked="0"/>
    </xf>
    <xf numFmtId="0" fontId="0" fillId="0" borderId="34" xfId="0" applyBorder="1" applyAlignment="1" applyProtection="1">
      <alignment horizontal="right"/>
      <protection locked="0"/>
    </xf>
    <xf numFmtId="0" fontId="0" fillId="0" borderId="34" xfId="0" applyBorder="1" applyAlignment="1" applyProtection="1">
      <alignment horizontal="centerContinuous"/>
      <protection locked="0"/>
    </xf>
    <xf numFmtId="0" fontId="0" fillId="0" borderId="0" xfId="0" applyBorder="1" applyAlignment="1">
      <alignment horizontal="justify"/>
    </xf>
    <xf numFmtId="2" fontId="48" fillId="0" borderId="0" xfId="0" applyNumberFormat="1" applyFont="1" applyAlignment="1"/>
    <xf numFmtId="0" fontId="0" fillId="0" borderId="2" xfId="0" applyBorder="1" applyAlignment="1" applyProtection="1">
      <alignment horizontal="justify"/>
      <protection locked="0"/>
    </xf>
    <xf numFmtId="0" fontId="47" fillId="0" borderId="40" xfId="0" applyFont="1" applyBorder="1" applyAlignment="1"/>
    <xf numFmtId="43" fontId="47" fillId="0" borderId="0" xfId="0" applyNumberFormat="1" applyFont="1" applyAlignment="1">
      <alignment horizontal="justify"/>
    </xf>
    <xf numFmtId="4" fontId="52" fillId="12" borderId="0" xfId="0" applyNumberFormat="1" applyFont="1" applyFill="1" applyAlignment="1"/>
    <xf numFmtId="169" fontId="48" fillId="0" borderId="0" xfId="0" applyNumberFormat="1" applyFont="1" applyFill="1" applyAlignment="1"/>
    <xf numFmtId="0" fontId="48" fillId="0" borderId="42" xfId="0" applyFont="1" applyBorder="1" applyAlignment="1"/>
    <xf numFmtId="0" fontId="48" fillId="0" borderId="43" xfId="0" applyFont="1" applyBorder="1" applyAlignment="1"/>
    <xf numFmtId="0" fontId="48" fillId="0" borderId="44" xfId="0" applyFont="1" applyBorder="1" applyAlignment="1"/>
    <xf numFmtId="0" fontId="47" fillId="13" borderId="42" xfId="0" applyFont="1" applyFill="1" applyBorder="1" applyAlignment="1"/>
    <xf numFmtId="0" fontId="48" fillId="13" borderId="43" xfId="0" applyFont="1" applyFill="1" applyBorder="1" applyAlignment="1"/>
    <xf numFmtId="169" fontId="48" fillId="0" borderId="45" xfId="0" applyNumberFormat="1" applyFont="1" applyBorder="1" applyAlignment="1"/>
    <xf numFmtId="0" fontId="48" fillId="0" borderId="46" xfId="0" applyFont="1" applyBorder="1" applyAlignment="1"/>
    <xf numFmtId="0" fontId="53" fillId="0" borderId="47" xfId="0" applyFont="1" applyBorder="1" applyAlignment="1"/>
    <xf numFmtId="0" fontId="53" fillId="0" borderId="48" xfId="0" applyFont="1" applyBorder="1" applyAlignment="1"/>
    <xf numFmtId="0" fontId="53" fillId="0" borderId="49" xfId="0" applyFont="1" applyBorder="1" applyAlignment="1"/>
    <xf numFmtId="0" fontId="53" fillId="0" borderId="50" xfId="0" applyFont="1" applyBorder="1" applyAlignment="1">
      <alignment horizontal="center"/>
    </xf>
    <xf numFmtId="169" fontId="53" fillId="0" borderId="50" xfId="0" applyNumberFormat="1" applyFont="1" applyBorder="1" applyAlignment="1">
      <alignment horizontal="center"/>
    </xf>
    <xf numFmtId="0" fontId="48" fillId="0" borderId="51" xfId="0" applyFont="1" applyBorder="1" applyAlignment="1"/>
    <xf numFmtId="0" fontId="53" fillId="0" borderId="52" xfId="0" applyFont="1" applyBorder="1" applyAlignment="1"/>
    <xf numFmtId="0" fontId="53" fillId="0" borderId="53" xfId="0" applyFont="1" applyBorder="1" applyAlignment="1"/>
    <xf numFmtId="0" fontId="13" fillId="0" borderId="0" xfId="0" applyFont="1" applyAlignment="1" applyProtection="1">
      <alignment horizontal="left"/>
      <protection locked="0"/>
    </xf>
    <xf numFmtId="0" fontId="53" fillId="0" borderId="54" xfId="0" applyFont="1" applyBorder="1" applyAlignment="1">
      <alignment horizontal="center"/>
    </xf>
    <xf numFmtId="169" fontId="53" fillId="0" borderId="54" xfId="0" applyNumberFormat="1" applyFont="1" applyBorder="1" applyAlignment="1"/>
    <xf numFmtId="170" fontId="53" fillId="0" borderId="54" xfId="0" applyNumberFormat="1" applyFont="1" applyBorder="1" applyAlignment="1"/>
    <xf numFmtId="0" fontId="53" fillId="0" borderId="55" xfId="0" applyFont="1" applyBorder="1" applyAlignment="1"/>
    <xf numFmtId="0" fontId="48" fillId="0" borderId="56" xfId="0" applyFont="1" applyBorder="1" applyAlignment="1"/>
    <xf numFmtId="0" fontId="53" fillId="0" borderId="40" xfId="0" applyFont="1" applyBorder="1" applyAlignment="1"/>
    <xf numFmtId="0" fontId="53" fillId="0" borderId="0" xfId="0" applyFont="1" applyAlignment="1"/>
    <xf numFmtId="169" fontId="53" fillId="0" borderId="0" xfId="0" applyNumberFormat="1" applyFont="1" applyAlignment="1"/>
    <xf numFmtId="169" fontId="49" fillId="0" borderId="0" xfId="0" applyNumberFormat="1" applyFont="1" applyAlignment="1"/>
    <xf numFmtId="4" fontId="48" fillId="0" borderId="57" xfId="0" applyNumberFormat="1" applyFont="1" applyBorder="1" applyAlignment="1"/>
    <xf numFmtId="0" fontId="49" fillId="13" borderId="58" xfId="0" applyFont="1" applyFill="1" applyBorder="1" applyAlignment="1"/>
    <xf numFmtId="0" fontId="49" fillId="13" borderId="45" xfId="0" applyFont="1" applyFill="1" applyBorder="1" applyAlignment="1"/>
    <xf numFmtId="0" fontId="53" fillId="13" borderId="45" xfId="0" applyFont="1" applyFill="1" applyBorder="1" applyAlignment="1"/>
    <xf numFmtId="0" fontId="53" fillId="0" borderId="45" xfId="0" applyFont="1" applyBorder="1" applyAlignment="1"/>
    <xf numFmtId="169" fontId="53" fillId="0" borderId="45" xfId="0" applyNumberFormat="1" applyFont="1" applyBorder="1" applyAlignment="1"/>
    <xf numFmtId="0" fontId="53" fillId="0" borderId="47" xfId="0" applyFont="1" applyBorder="1" applyAlignment="1">
      <alignment horizontal="left"/>
    </xf>
    <xf numFmtId="0" fontId="53" fillId="0" borderId="48" xfId="0" applyFont="1" applyBorder="1" applyAlignment="1">
      <alignment horizontal="left"/>
    </xf>
    <xf numFmtId="0" fontId="53" fillId="0" borderId="49" xfId="0" applyFont="1" applyBorder="1" applyAlignment="1">
      <alignment horizontal="left"/>
    </xf>
    <xf numFmtId="169" fontId="53" fillId="0" borderId="54" xfId="0" applyNumberFormat="1" applyFont="1" applyBorder="1" applyAlignment="1">
      <alignment vertical="center"/>
    </xf>
    <xf numFmtId="169" fontId="53" fillId="0" borderId="54" xfId="0" applyNumberFormat="1" applyFont="1" applyBorder="1" applyAlignment="1">
      <alignment horizontal="right"/>
    </xf>
    <xf numFmtId="0" fontId="53" fillId="0" borderId="54" xfId="0" applyFont="1" applyBorder="1" applyAlignment="1"/>
    <xf numFmtId="43" fontId="53" fillId="0" borderId="50" xfId="0" applyNumberFormat="1" applyFont="1" applyBorder="1" applyAlignment="1"/>
    <xf numFmtId="0" fontId="53" fillId="0" borderId="50" xfId="0" applyFont="1" applyBorder="1" applyAlignment="1"/>
    <xf numFmtId="169" fontId="53" fillId="0" borderId="50" xfId="0" applyNumberFormat="1" applyFont="1" applyBorder="1" applyAlignment="1"/>
    <xf numFmtId="2" fontId="48" fillId="0" borderId="57" xfId="0" applyNumberFormat="1" applyFont="1" applyBorder="1" applyAlignment="1"/>
    <xf numFmtId="0" fontId="49" fillId="14" borderId="58" xfId="0" applyFont="1" applyFill="1" applyBorder="1" applyAlignment="1"/>
    <xf numFmtId="0" fontId="49" fillId="14" borderId="45" xfId="0" applyFont="1" applyFill="1" applyBorder="1" applyAlignment="1"/>
    <xf numFmtId="0" fontId="53" fillId="14" borderId="45" xfId="0" applyFont="1" applyFill="1" applyBorder="1" applyAlignment="1"/>
    <xf numFmtId="0" fontId="49" fillId="0" borderId="50" xfId="0" applyFont="1" applyBorder="1" applyAlignment="1"/>
    <xf numFmtId="169" fontId="49" fillId="0" borderId="50" xfId="0" applyNumberFormat="1" applyFont="1" applyBorder="1" applyAlignment="1"/>
    <xf numFmtId="4" fontId="53" fillId="0" borderId="54" xfId="0" applyNumberFormat="1" applyFont="1" applyBorder="1" applyAlignment="1"/>
    <xf numFmtId="10" fontId="53" fillId="0" borderId="54" xfId="0" applyNumberFormat="1" applyFont="1" applyBorder="1" applyAlignment="1"/>
    <xf numFmtId="4" fontId="53" fillId="0" borderId="54" xfId="0" applyNumberFormat="1" applyFont="1" applyBorder="1" applyAlignment="1">
      <alignment horizontal="center"/>
    </xf>
    <xf numFmtId="169" fontId="53" fillId="0" borderId="54" xfId="0" applyNumberFormat="1" applyFont="1" applyBorder="1" applyAlignment="1">
      <alignment horizontal="center"/>
    </xf>
    <xf numFmtId="169" fontId="49" fillId="0" borderId="54" xfId="0" applyNumberFormat="1" applyFont="1" applyBorder="1" applyAlignment="1"/>
    <xf numFmtId="4" fontId="48" fillId="0" borderId="59" xfId="0" applyNumberFormat="1" applyFont="1" applyBorder="1" applyAlignment="1"/>
    <xf numFmtId="0" fontId="53" fillId="0" borderId="60" xfId="0" applyFont="1" applyBorder="1" applyAlignment="1"/>
    <xf numFmtId="0" fontId="53" fillId="0" borderId="61" xfId="0" applyFont="1" applyBorder="1" applyAlignment="1"/>
    <xf numFmtId="0" fontId="53" fillId="0" borderId="62" xfId="0" applyFont="1" applyBorder="1" applyAlignment="1"/>
    <xf numFmtId="2" fontId="53" fillId="0" borderId="54" xfId="0" applyNumberFormat="1" applyFont="1" applyBorder="1" applyAlignment="1"/>
    <xf numFmtId="4" fontId="53" fillId="0" borderId="54" xfId="4" applyNumberFormat="1" applyFont="1" applyBorder="1" applyAlignment="1"/>
    <xf numFmtId="4" fontId="48" fillId="0" borderId="51" xfId="0" applyNumberFormat="1" applyFont="1" applyBorder="1" applyAlignment="1"/>
    <xf numFmtId="0" fontId="53" fillId="0" borderId="42" xfId="0" applyFont="1" applyBorder="1" applyAlignment="1"/>
    <xf numFmtId="0" fontId="53" fillId="0" borderId="43" xfId="0" applyFont="1" applyBorder="1" applyAlignment="1"/>
    <xf numFmtId="169" fontId="53" fillId="0" borderId="43" xfId="0" applyNumberFormat="1" applyFont="1" applyBorder="1" applyAlignment="1"/>
    <xf numFmtId="169" fontId="49" fillId="15" borderId="43" xfId="0" applyNumberFormat="1" applyFont="1" applyFill="1" applyBorder="1" applyAlignment="1"/>
    <xf numFmtId="4" fontId="48" fillId="16" borderId="63" xfId="0" applyNumberFormat="1" applyFont="1" applyFill="1" applyBorder="1" applyAlignment="1"/>
    <xf numFmtId="169" fontId="53" fillId="0" borderId="50" xfId="0" applyNumberFormat="1" applyFont="1" applyBorder="1" applyAlignment="1">
      <alignment horizontal="center" wrapText="1"/>
    </xf>
    <xf numFmtId="0" fontId="0" fillId="0" borderId="0" xfId="0" applyBorder="1" applyAlignment="1" applyProtection="1">
      <protection locked="0"/>
    </xf>
    <xf numFmtId="169" fontId="48" fillId="0" borderId="0" xfId="0" applyNumberFormat="1" applyFont="1" applyBorder="1" applyAlignment="1"/>
    <xf numFmtId="4" fontId="0" fillId="0" borderId="0" xfId="0" applyNumberFormat="1" applyAlignment="1">
      <alignment horizontal="center" vertical="center"/>
    </xf>
    <xf numFmtId="44" fontId="55" fillId="0" borderId="0" xfId="0" applyNumberFormat="1" applyFont="1" applyFill="1" applyBorder="1" applyAlignment="1"/>
    <xf numFmtId="0" fontId="55" fillId="0" borderId="0" xfId="0" applyFont="1" applyFill="1" applyBorder="1" applyAlignment="1"/>
    <xf numFmtId="0" fontId="13" fillId="0" borderId="1" xfId="0" applyFont="1" applyFill="1" applyBorder="1" applyAlignment="1">
      <alignment horizontal="center" vertical="center"/>
    </xf>
    <xf numFmtId="0" fontId="0" fillId="0" borderId="0" xfId="0" applyAlignment="1">
      <alignment horizontal="center" vertical="center"/>
    </xf>
    <xf numFmtId="0" fontId="6" fillId="0" borderId="13" xfId="0" applyFont="1" applyBorder="1"/>
    <xf numFmtId="0" fontId="6" fillId="0" borderId="14" xfId="0" applyFont="1" applyBorder="1" applyAlignment="1">
      <alignment horizontal="center" vertical="center"/>
    </xf>
    <xf numFmtId="0" fontId="6" fillId="0" borderId="13" xfId="0" applyFont="1" applyBorder="1" applyAlignment="1">
      <alignment horizontal="left"/>
    </xf>
    <xf numFmtId="0" fontId="6" fillId="0" borderId="0" xfId="0" applyFont="1" applyBorder="1" applyAlignment="1">
      <alignment horizontal="left"/>
    </xf>
    <xf numFmtId="0" fontId="6" fillId="0" borderId="12" xfId="0" applyFont="1" applyBorder="1"/>
    <xf numFmtId="0" fontId="6" fillId="0" borderId="14" xfId="0" applyFont="1" applyBorder="1"/>
    <xf numFmtId="43" fontId="6" fillId="0" borderId="13" xfId="0" applyNumberFormat="1" applyFont="1" applyBorder="1"/>
    <xf numFmtId="43" fontId="6" fillId="0" borderId="0" xfId="0" applyNumberFormat="1" applyFont="1" applyBorder="1"/>
    <xf numFmtId="44" fontId="6" fillId="0" borderId="14" xfId="1" applyFont="1" applyBorder="1"/>
    <xf numFmtId="167" fontId="6" fillId="0" borderId="0" xfId="0" applyNumberFormat="1" applyFont="1" applyBorder="1" applyAlignment="1">
      <alignment horizontal="center"/>
    </xf>
    <xf numFmtId="44" fontId="6" fillId="0" borderId="14" xfId="0" applyNumberFormat="1" applyFont="1" applyBorder="1" applyAlignment="1"/>
    <xf numFmtId="44" fontId="6" fillId="0" borderId="14" xfId="0" applyNumberFormat="1" applyFont="1" applyBorder="1"/>
    <xf numFmtId="0" fontId="6" fillId="0" borderId="13" xfId="0" applyFont="1" applyBorder="1" applyAlignment="1"/>
    <xf numFmtId="167" fontId="6" fillId="0" borderId="14" xfId="0" applyNumberFormat="1" applyFont="1" applyBorder="1" applyAlignment="1"/>
    <xf numFmtId="0" fontId="6" fillId="0" borderId="1" xfId="0" applyFont="1" applyBorder="1" applyAlignment="1">
      <alignment horizontal="left"/>
    </xf>
    <xf numFmtId="44" fontId="6" fillId="0" borderId="65" xfId="0" applyNumberFormat="1" applyFont="1" applyBorder="1"/>
    <xf numFmtId="165" fontId="6" fillId="0" borderId="0" xfId="0" applyNumberFormat="1" applyFont="1" applyBorder="1" applyAlignment="1">
      <alignment horizontal="center"/>
    </xf>
    <xf numFmtId="165" fontId="6" fillId="0" borderId="14" xfId="0" applyNumberFormat="1" applyFont="1" applyBorder="1" applyAlignment="1">
      <alignment horizontal="center" vertical="center"/>
    </xf>
    <xf numFmtId="167" fontId="6" fillId="0" borderId="14" xfId="0" applyNumberFormat="1" applyFont="1" applyBorder="1"/>
    <xf numFmtId="165" fontId="6" fillId="0" borderId="0" xfId="0" applyNumberFormat="1" applyFont="1" applyBorder="1" applyAlignment="1"/>
    <xf numFmtId="44" fontId="6" fillId="0" borderId="0" xfId="0" applyNumberFormat="1" applyFont="1" applyBorder="1" applyAlignment="1">
      <alignment horizontal="center"/>
    </xf>
    <xf numFmtId="44" fontId="6" fillId="0" borderId="14" xfId="0" applyNumberFormat="1" applyFont="1" applyBorder="1" applyAlignment="1">
      <alignment horizontal="center" vertical="center"/>
    </xf>
    <xf numFmtId="0" fontId="6" fillId="0" borderId="15" xfId="0" applyFont="1" applyBorder="1"/>
    <xf numFmtId="0" fontId="6" fillId="0" borderId="16" xfId="0" applyFont="1" applyBorder="1"/>
    <xf numFmtId="0" fontId="6" fillId="0" borderId="17" xfId="0" applyFont="1" applyBorder="1" applyAlignment="1">
      <alignment horizontal="center" vertical="center"/>
    </xf>
    <xf numFmtId="0" fontId="6" fillId="0" borderId="0" xfId="0" applyFont="1" applyBorder="1" applyAlignment="1">
      <alignment horizontal="center" vertical="center"/>
    </xf>
    <xf numFmtId="0" fontId="20" fillId="0" borderId="0" xfId="0" applyFont="1" applyBorder="1" applyAlignment="1">
      <alignment horizontal="center" vertical="center"/>
    </xf>
    <xf numFmtId="44" fontId="6" fillId="0" borderId="0" xfId="1" applyFont="1" applyBorder="1"/>
    <xf numFmtId="44" fontId="6" fillId="0" borderId="1" xfId="1" applyFont="1" applyBorder="1"/>
    <xf numFmtId="0" fontId="21" fillId="0" borderId="0" xfId="0" applyFont="1" applyBorder="1"/>
    <xf numFmtId="165" fontId="9" fillId="0" borderId="0" xfId="0" applyNumberFormat="1" applyFont="1" applyBorder="1" applyAlignment="1">
      <alignment horizontal="center"/>
    </xf>
    <xf numFmtId="165" fontId="6" fillId="0" borderId="1" xfId="0" applyNumberFormat="1" applyFont="1" applyBorder="1" applyAlignment="1">
      <alignment horizontal="center"/>
    </xf>
    <xf numFmtId="9" fontId="20" fillId="0" borderId="0" xfId="0" applyNumberFormat="1" applyFont="1" applyBorder="1" applyAlignment="1">
      <alignment horizontal="center" vertical="center"/>
    </xf>
    <xf numFmtId="165" fontId="10" fillId="0" borderId="0" xfId="0" applyNumberFormat="1" applyFont="1" applyBorder="1" applyAlignment="1">
      <alignment horizontal="center"/>
    </xf>
    <xf numFmtId="0" fontId="9" fillId="0" borderId="1" xfId="0" applyFont="1" applyBorder="1" applyAlignment="1">
      <alignment horizontal="left" vertical="center"/>
    </xf>
    <xf numFmtId="0" fontId="6" fillId="0" borderId="5" xfId="0" applyFont="1" applyBorder="1" applyAlignment="1">
      <alignment horizontal="center"/>
    </xf>
    <xf numFmtId="44" fontId="6" fillId="0" borderId="5" xfId="0" applyNumberFormat="1" applyFont="1" applyBorder="1"/>
    <xf numFmtId="44" fontId="10" fillId="17" borderId="5" xfId="0" applyNumberFormat="1" applyFont="1" applyFill="1" applyBorder="1"/>
    <xf numFmtId="0" fontId="1" fillId="0" borderId="0" xfId="0" applyFont="1"/>
    <xf numFmtId="0" fontId="42" fillId="0" borderId="5" xfId="0" applyFont="1" applyBorder="1" applyAlignment="1">
      <alignment horizontal="center" vertical="center" wrapText="1"/>
    </xf>
    <xf numFmtId="4" fontId="24" fillId="0" borderId="5" xfId="0" applyNumberFormat="1" applyFont="1" applyFill="1" applyBorder="1"/>
    <xf numFmtId="4" fontId="43" fillId="0" borderId="5" xfId="0" applyNumberFormat="1" applyFont="1" applyBorder="1"/>
    <xf numFmtId="4" fontId="1" fillId="0" borderId="5" xfId="0" applyNumberFormat="1" applyFont="1" applyBorder="1"/>
    <xf numFmtId="0" fontId="0" fillId="0" borderId="0" xfId="0" applyAlignment="1">
      <alignment horizontal="right"/>
    </xf>
    <xf numFmtId="4" fontId="1" fillId="0" borderId="5" xfId="0" applyNumberFormat="1" applyFont="1" applyBorder="1" applyAlignment="1">
      <alignment horizontal="center" vertical="center"/>
    </xf>
    <xf numFmtId="0" fontId="0" fillId="0" borderId="13" xfId="0" applyBorder="1"/>
    <xf numFmtId="0" fontId="0" fillId="0" borderId="0" xfId="0" applyBorder="1" applyAlignment="1">
      <alignment horizontal="center"/>
    </xf>
    <xf numFmtId="0" fontId="0" fillId="0" borderId="0" xfId="0" applyBorder="1" applyAlignment="1">
      <alignment horizontal="center" vertical="center"/>
    </xf>
    <xf numFmtId="0" fontId="0" fillId="0" borderId="14" xfId="0" applyBorder="1" applyAlignment="1">
      <alignment horizontal="center"/>
    </xf>
    <xf numFmtId="0" fontId="57" fillId="0" borderId="66" xfId="0" applyFont="1" applyBorder="1" applyAlignment="1">
      <alignment horizontal="center" vertical="center"/>
    </xf>
    <xf numFmtId="0" fontId="57" fillId="0" borderId="67" xfId="0" applyFont="1" applyBorder="1" applyAlignment="1">
      <alignment horizontal="center"/>
    </xf>
    <xf numFmtId="0" fontId="57" fillId="0" borderId="6" xfId="0" applyFont="1" applyBorder="1" applyAlignment="1">
      <alignment horizontal="center"/>
    </xf>
    <xf numFmtId="0" fontId="57" fillId="0" borderId="68" xfId="0" applyFont="1" applyBorder="1" applyAlignment="1">
      <alignment horizontal="center"/>
    </xf>
    <xf numFmtId="0" fontId="0" fillId="18" borderId="69" xfId="0" applyFill="1" applyBorder="1"/>
    <xf numFmtId="43" fontId="2" fillId="18" borderId="0" xfId="5" applyFont="1" applyFill="1" applyBorder="1" applyAlignment="1"/>
    <xf numFmtId="0" fontId="0" fillId="18" borderId="23" xfId="0" applyFill="1" applyBorder="1" applyAlignment="1">
      <alignment horizontal="center"/>
    </xf>
    <xf numFmtId="43" fontId="2" fillId="18" borderId="23" xfId="5" applyFont="1" applyFill="1" applyBorder="1"/>
    <xf numFmtId="167" fontId="43" fillId="18" borderId="14" xfId="0" applyNumberFormat="1" applyFont="1" applyFill="1" applyBorder="1"/>
    <xf numFmtId="0" fontId="0" fillId="0" borderId="69" xfId="0" applyBorder="1"/>
    <xf numFmtId="43" fontId="2" fillId="0" borderId="0" xfId="5" applyFont="1" applyFill="1" applyBorder="1" applyAlignment="1"/>
    <xf numFmtId="0" fontId="0" fillId="0" borderId="23" xfId="0" applyFill="1" applyBorder="1" applyAlignment="1">
      <alignment horizontal="center"/>
    </xf>
    <xf numFmtId="7" fontId="2" fillId="0" borderId="23" xfId="5" applyNumberFormat="1" applyFont="1" applyBorder="1"/>
    <xf numFmtId="167" fontId="0" fillId="0" borderId="14" xfId="0" applyNumberFormat="1" applyBorder="1"/>
    <xf numFmtId="0" fontId="0" fillId="0" borderId="0" xfId="0" applyFill="1" applyBorder="1" applyAlignment="1">
      <alignment horizontal="left"/>
    </xf>
    <xf numFmtId="0" fontId="0" fillId="0" borderId="34" xfId="0" applyFill="1" applyBorder="1" applyAlignment="1">
      <alignment horizontal="left"/>
    </xf>
    <xf numFmtId="43" fontId="2" fillId="0" borderId="0" xfId="5" applyFont="1" applyBorder="1" applyAlignment="1"/>
    <xf numFmtId="0" fontId="0" fillId="18" borderId="0" xfId="0" applyFill="1" applyBorder="1" applyAlignment="1"/>
    <xf numFmtId="0" fontId="40" fillId="18" borderId="0" xfId="0" applyFont="1" applyFill="1" applyBorder="1" applyAlignment="1">
      <alignment vertical="top"/>
    </xf>
    <xf numFmtId="0" fontId="40" fillId="18" borderId="34" xfId="0" applyFont="1" applyFill="1" applyBorder="1" applyAlignment="1">
      <alignment vertical="top"/>
    </xf>
    <xf numFmtId="167" fontId="0" fillId="18" borderId="14" xfId="0" applyNumberFormat="1" applyFill="1" applyBorder="1"/>
    <xf numFmtId="0" fontId="0" fillId="0" borderId="23" xfId="0" applyBorder="1" applyAlignment="1">
      <alignment horizontal="center"/>
    </xf>
    <xf numFmtId="0" fontId="0" fillId="0" borderId="34" xfId="0" applyBorder="1" applyAlignment="1">
      <alignment horizontal="left"/>
    </xf>
    <xf numFmtId="0" fontId="0" fillId="0" borderId="23" xfId="0" applyBorder="1" applyAlignment="1">
      <alignment horizontal="center" vertical="center"/>
    </xf>
    <xf numFmtId="0" fontId="40" fillId="18" borderId="0" xfId="0" applyFont="1" applyFill="1" applyBorder="1" applyAlignment="1">
      <alignment horizontal="left" vertical="top"/>
    </xf>
    <xf numFmtId="0" fontId="40" fillId="18" borderId="34" xfId="0" applyFont="1" applyFill="1" applyBorder="1" applyAlignment="1">
      <alignment horizontal="left" vertical="top"/>
    </xf>
    <xf numFmtId="0" fontId="0" fillId="0" borderId="0" xfId="0" applyFill="1" applyBorder="1" applyAlignment="1"/>
    <xf numFmtId="43" fontId="58" fillId="0" borderId="0" xfId="5" applyFont="1" applyBorder="1" applyAlignment="1"/>
    <xf numFmtId="43" fontId="58" fillId="0" borderId="34" xfId="5" applyFont="1" applyBorder="1" applyAlignment="1"/>
    <xf numFmtId="0" fontId="0" fillId="0" borderId="34" xfId="0" applyBorder="1" applyAlignment="1">
      <alignment horizontal="center"/>
    </xf>
    <xf numFmtId="0" fontId="40" fillId="0" borderId="0" xfId="0" applyFont="1" applyBorder="1" applyAlignment="1">
      <alignment vertical="top"/>
    </xf>
    <xf numFmtId="0" fontId="40" fillId="0" borderId="34" xfId="0" applyFont="1" applyBorder="1" applyAlignment="1">
      <alignment vertical="top"/>
    </xf>
    <xf numFmtId="0" fontId="0" fillId="0" borderId="69" xfId="0" applyFill="1" applyBorder="1"/>
    <xf numFmtId="9" fontId="32" fillId="18" borderId="23" xfId="5" applyNumberFormat="1" applyFont="1" applyFill="1" applyBorder="1" applyAlignment="1">
      <alignment horizontal="center" vertical="center"/>
    </xf>
    <xf numFmtId="0" fontId="32" fillId="18" borderId="34" xfId="5" applyNumberFormat="1" applyFont="1" applyFill="1" applyBorder="1" applyAlignment="1">
      <alignment horizontal="center"/>
    </xf>
    <xf numFmtId="44" fontId="9" fillId="18" borderId="23" xfId="1" applyFont="1" applyFill="1" applyBorder="1" applyAlignment="1">
      <alignment horizontal="center"/>
    </xf>
    <xf numFmtId="44" fontId="6" fillId="18" borderId="70" xfId="0" applyNumberFormat="1" applyFont="1" applyFill="1" applyBorder="1" applyAlignment="1">
      <alignment horizontal="center"/>
    </xf>
    <xf numFmtId="44" fontId="2" fillId="0" borderId="0" xfId="1" applyFont="1"/>
    <xf numFmtId="44" fontId="58" fillId="0" borderId="8" xfId="0" applyNumberFormat="1" applyFont="1" applyBorder="1" applyAlignment="1">
      <alignment horizontal="center"/>
    </xf>
    <xf numFmtId="43" fontId="21" fillId="0" borderId="0" xfId="5" applyFont="1" applyBorder="1" applyAlignment="1"/>
    <xf numFmtId="0" fontId="0" fillId="0" borderId="0" xfId="0" applyAlignment="1">
      <alignment horizontal="left"/>
    </xf>
    <xf numFmtId="43" fontId="32" fillId="0" borderId="0" xfId="5" applyFont="1" applyBorder="1" applyAlignment="1">
      <alignment horizontal="center"/>
    </xf>
    <xf numFmtId="44" fontId="58" fillId="0" borderId="0" xfId="0" applyNumberFormat="1" applyFont="1" applyBorder="1" applyAlignment="1">
      <alignment horizontal="center"/>
    </xf>
    <xf numFmtId="0" fontId="24" fillId="0" borderId="0" xfId="0" applyFont="1" applyBorder="1" applyAlignment="1">
      <alignment horizontal="left"/>
    </xf>
    <xf numFmtId="0" fontId="1" fillId="0" borderId="0" xfId="0" applyFont="1" applyBorder="1" applyAlignment="1"/>
    <xf numFmtId="0" fontId="0" fillId="0" borderId="0" xfId="0" applyAlignment="1">
      <alignment horizontal="justify"/>
    </xf>
    <xf numFmtId="0" fontId="61" fillId="0" borderId="0" xfId="0" applyFont="1" applyBorder="1" applyAlignment="1">
      <alignment vertical="center" wrapText="1"/>
    </xf>
    <xf numFmtId="167" fontId="0" fillId="0" borderId="0" xfId="0" applyNumberFormat="1"/>
    <xf numFmtId="0" fontId="62" fillId="0" borderId="0" xfId="0" applyFont="1" applyAlignment="1">
      <alignment vertical="center"/>
    </xf>
    <xf numFmtId="0" fontId="27" fillId="0" borderId="0" xfId="0" applyFont="1" applyBorder="1" applyAlignment="1">
      <alignment horizontal="left" vertical="center"/>
    </xf>
    <xf numFmtId="0" fontId="27" fillId="0" borderId="0" xfId="0" applyFont="1" applyBorder="1" applyAlignment="1">
      <alignment horizontal="left" wrapText="1"/>
    </xf>
    <xf numFmtId="0" fontId="27" fillId="0" borderId="0" xfId="0" applyFont="1" applyBorder="1" applyAlignment="1">
      <alignment horizontal="left"/>
    </xf>
    <xf numFmtId="4" fontId="48" fillId="0" borderId="41" xfId="0" applyNumberFormat="1" applyFont="1" applyBorder="1" applyAlignment="1"/>
    <xf numFmtId="2" fontId="48" fillId="0" borderId="41" xfId="0" applyNumberFormat="1" applyFont="1" applyBorder="1" applyAlignment="1"/>
    <xf numFmtId="0" fontId="33" fillId="0" borderId="0" xfId="0" applyFont="1" applyFill="1" applyBorder="1"/>
    <xf numFmtId="0" fontId="63" fillId="0" borderId="0" xfId="0" applyFont="1" applyFill="1" applyBorder="1" applyAlignment="1">
      <alignment horizontal="right" vertical="center" wrapText="1"/>
    </xf>
    <xf numFmtId="0" fontId="63" fillId="0" borderId="0" xfId="0" applyFont="1" applyFill="1" applyBorder="1" applyAlignment="1">
      <alignment horizontal="left" vertical="center" wrapText="1"/>
    </xf>
    <xf numFmtId="0" fontId="64" fillId="0" borderId="0" xfId="0" applyFont="1" applyFill="1" applyBorder="1" applyAlignment="1">
      <alignment horizontal="right" vertical="center" wrapText="1"/>
    </xf>
    <xf numFmtId="0" fontId="63" fillId="0" borderId="0" xfId="0" applyFont="1" applyFill="1" applyBorder="1"/>
    <xf numFmtId="0" fontId="63" fillId="19" borderId="18" xfId="0" applyFont="1" applyFill="1" applyBorder="1" applyAlignment="1">
      <alignment horizontal="center" vertical="center" wrapText="1"/>
    </xf>
    <xf numFmtId="0" fontId="65" fillId="19" borderId="19" xfId="0" applyFont="1" applyFill="1" applyBorder="1" applyAlignment="1">
      <alignment horizontal="center" vertical="center" wrapText="1"/>
    </xf>
    <xf numFmtId="0" fontId="63" fillId="19" borderId="19" xfId="0" applyFont="1" applyFill="1" applyBorder="1" applyAlignment="1">
      <alignment horizontal="center" vertical="center" wrapText="1"/>
    </xf>
    <xf numFmtId="0" fontId="63" fillId="0" borderId="21" xfId="0" applyFont="1" applyFill="1" applyBorder="1" applyAlignment="1">
      <alignment horizontal="center" vertical="top" wrapText="1"/>
    </xf>
    <xf numFmtId="0" fontId="63" fillId="0" borderId="5" xfId="0" applyFont="1" applyFill="1" applyBorder="1" applyAlignment="1">
      <alignment horizontal="left" vertical="center" wrapText="1"/>
    </xf>
    <xf numFmtId="164" fontId="33" fillId="0" borderId="0" xfId="0" applyNumberFormat="1" applyFont="1" applyFill="1" applyBorder="1"/>
    <xf numFmtId="168" fontId="69" fillId="0" borderId="0" xfId="3" applyNumberFormat="1" applyFont="1" applyFill="1" applyBorder="1" applyAlignment="1">
      <alignment horizontal="left" vertical="center"/>
    </xf>
    <xf numFmtId="0" fontId="70" fillId="0" borderId="0" xfId="0" applyFont="1" applyFill="1" applyBorder="1" applyAlignment="1">
      <alignment horizontal="center" vertical="center"/>
    </xf>
    <xf numFmtId="0" fontId="71" fillId="0" borderId="0" xfId="0" applyFont="1" applyFill="1" applyBorder="1" applyAlignment="1">
      <alignment horizontal="center" vertical="center"/>
    </xf>
    <xf numFmtId="0" fontId="72" fillId="0" borderId="0" xfId="0" applyFont="1" applyFill="1" applyBorder="1" applyAlignment="1">
      <alignment horizontal="center" vertical="center"/>
    </xf>
    <xf numFmtId="0" fontId="63" fillId="19" borderId="21" xfId="0" applyFont="1" applyFill="1" applyBorder="1" applyAlignment="1">
      <alignment horizontal="center" vertical="center" wrapText="1"/>
    </xf>
    <xf numFmtId="0" fontId="63" fillId="19" borderId="22" xfId="0" applyFont="1" applyFill="1" applyBorder="1" applyAlignment="1">
      <alignment horizontal="center" vertical="center" wrapText="1"/>
    </xf>
    <xf numFmtId="0" fontId="33" fillId="0" borderId="21" xfId="0" applyFont="1" applyFill="1" applyBorder="1" applyAlignment="1">
      <alignment horizontal="right" vertical="center"/>
    </xf>
    <xf numFmtId="164" fontId="66" fillId="0" borderId="5" xfId="0" applyNumberFormat="1" applyFont="1" applyFill="1" applyBorder="1" applyAlignment="1">
      <alignment horizontal="right" vertical="center" wrapText="1"/>
    </xf>
    <xf numFmtId="0" fontId="33" fillId="0" borderId="22" xfId="0" applyFont="1" applyFill="1" applyBorder="1" applyAlignment="1">
      <alignment horizontal="right" vertical="center"/>
    </xf>
    <xf numFmtId="0" fontId="73" fillId="0" borderId="0" xfId="0" applyFont="1" applyFill="1" applyBorder="1"/>
    <xf numFmtId="0" fontId="63" fillId="19" borderId="20" xfId="0" applyFont="1" applyFill="1" applyBorder="1" applyAlignment="1">
      <alignment horizontal="center" vertical="center" wrapText="1"/>
    </xf>
    <xf numFmtId="0" fontId="33" fillId="20" borderId="27" xfId="0" applyFont="1" applyFill="1" applyBorder="1" applyAlignment="1">
      <alignment horizontal="center" vertical="top" wrapText="1"/>
    </xf>
    <xf numFmtId="0" fontId="68" fillId="20" borderId="29" xfId="0" applyFont="1" applyFill="1" applyBorder="1" applyAlignment="1">
      <alignment horizontal="left" wrapText="1"/>
    </xf>
    <xf numFmtId="0" fontId="76" fillId="24" borderId="5" xfId="0" applyFont="1" applyFill="1" applyBorder="1"/>
    <xf numFmtId="0" fontId="0" fillId="0" borderId="5" xfId="0" applyBorder="1" applyAlignment="1">
      <alignment horizontal="left" vertical="center" wrapText="1"/>
    </xf>
    <xf numFmtId="0" fontId="77" fillId="25" borderId="5" xfId="0" applyFont="1" applyFill="1" applyBorder="1"/>
    <xf numFmtId="0" fontId="78" fillId="0" borderId="5" xfId="0" applyFont="1" applyBorder="1" applyAlignment="1">
      <alignment horizontal="left" vertical="center" wrapText="1"/>
    </xf>
    <xf numFmtId="0" fontId="1" fillId="24" borderId="5" xfId="0" applyFont="1" applyFill="1" applyBorder="1" applyAlignment="1">
      <alignment horizontal="left" vertical="center" wrapText="1"/>
    </xf>
    <xf numFmtId="0" fontId="0" fillId="0" borderId="5" xfId="0" applyFont="1" applyBorder="1" applyAlignment="1">
      <alignment horizontal="left" vertical="center" wrapText="1"/>
    </xf>
    <xf numFmtId="0" fontId="1" fillId="24" borderId="5" xfId="0" applyFont="1" applyFill="1" applyBorder="1"/>
    <xf numFmtId="0" fontId="3" fillId="0" borderId="5" xfId="0" applyFont="1" applyBorder="1" applyAlignment="1">
      <alignment horizontal="left" vertical="center" wrapText="1"/>
    </xf>
    <xf numFmtId="164" fontId="79" fillId="24" borderId="5" xfId="0" applyNumberFormat="1" applyFont="1" applyFill="1" applyBorder="1"/>
    <xf numFmtId="0" fontId="79" fillId="24" borderId="5" xfId="0" applyFont="1" applyFill="1" applyBorder="1"/>
    <xf numFmtId="164" fontId="45" fillId="25" borderId="5" xfId="0" applyNumberFormat="1" applyFont="1" applyFill="1" applyBorder="1"/>
    <xf numFmtId="0" fontId="45" fillId="25" borderId="5" xfId="0" applyFont="1" applyFill="1" applyBorder="1"/>
    <xf numFmtId="0" fontId="0" fillId="0" borderId="5" xfId="0" applyFont="1" applyBorder="1" applyAlignment="1">
      <alignment wrapText="1"/>
    </xf>
    <xf numFmtId="0" fontId="76" fillId="24" borderId="5" xfId="0" applyFont="1" applyFill="1" applyBorder="1" applyAlignment="1">
      <alignment horizontal="center"/>
    </xf>
    <xf numFmtId="164" fontId="76" fillId="24" borderId="5" xfId="0" applyNumberFormat="1" applyFont="1" applyFill="1" applyBorder="1"/>
    <xf numFmtId="0" fontId="78" fillId="0" borderId="5" xfId="0" applyFont="1" applyBorder="1" applyAlignment="1">
      <alignment horizontal="center" vertical="center" wrapText="1"/>
    </xf>
    <xf numFmtId="0" fontId="83" fillId="0" borderId="5" xfId="0" applyFont="1" applyFill="1" applyBorder="1" applyAlignment="1">
      <alignment horizontal="left" vertical="center" wrapText="1"/>
    </xf>
    <xf numFmtId="0" fontId="33" fillId="0" borderId="5" xfId="0" applyFont="1" applyFill="1" applyBorder="1" applyAlignment="1">
      <alignment horizontal="center" vertical="center"/>
    </xf>
    <xf numFmtId="0" fontId="83" fillId="0" borderId="5" xfId="0" applyFont="1" applyFill="1" applyBorder="1" applyAlignment="1">
      <alignment horizontal="center" vertical="center" wrapText="1"/>
    </xf>
    <xf numFmtId="164" fontId="0" fillId="0" borderId="5" xfId="0" applyNumberFormat="1" applyFont="1" applyBorder="1" applyAlignment="1">
      <alignment vertical="center"/>
    </xf>
    <xf numFmtId="4" fontId="33" fillId="0" borderId="21" xfId="0" applyNumberFormat="1" applyFont="1" applyFill="1" applyBorder="1" applyAlignment="1">
      <alignment horizontal="right" vertical="center"/>
    </xf>
    <xf numFmtId="4" fontId="33" fillId="0" borderId="0" xfId="0" applyNumberFormat="1" applyFont="1" applyFill="1" applyBorder="1"/>
    <xf numFmtId="4" fontId="63" fillId="19" borderId="21" xfId="0" applyNumberFormat="1" applyFont="1" applyFill="1" applyBorder="1" applyAlignment="1">
      <alignment horizontal="center" vertical="center" wrapText="1"/>
    </xf>
    <xf numFmtId="164" fontId="63" fillId="0" borderId="22" xfId="0" applyNumberFormat="1" applyFont="1" applyFill="1" applyBorder="1" applyAlignment="1">
      <alignment vertical="center" wrapText="1"/>
    </xf>
    <xf numFmtId="4" fontId="33" fillId="0" borderId="21" xfId="0" applyNumberFormat="1" applyFont="1" applyFill="1" applyBorder="1" applyAlignment="1">
      <alignment vertical="center"/>
    </xf>
    <xf numFmtId="164" fontId="66" fillId="0" borderId="5" xfId="0" applyNumberFormat="1" applyFont="1" applyFill="1" applyBorder="1" applyAlignment="1">
      <alignment vertical="center" wrapText="1"/>
    </xf>
    <xf numFmtId="0" fontId="33" fillId="0" borderId="22" xfId="0" applyFont="1" applyFill="1" applyBorder="1" applyAlignment="1">
      <alignment vertical="center"/>
    </xf>
    <xf numFmtId="8" fontId="78" fillId="0" borderId="5" xfId="0" applyNumberFormat="1" applyFont="1" applyBorder="1" applyAlignment="1">
      <alignment vertical="center" wrapText="1"/>
    </xf>
    <xf numFmtId="164" fontId="33" fillId="0" borderId="22" xfId="0" applyNumberFormat="1" applyFont="1" applyFill="1" applyBorder="1" applyAlignment="1">
      <alignment vertical="center"/>
    </xf>
    <xf numFmtId="0" fontId="33" fillId="0" borderId="5" xfId="0" applyFont="1" applyFill="1" applyBorder="1" applyAlignment="1">
      <alignment vertical="center"/>
    </xf>
    <xf numFmtId="164" fontId="33" fillId="0" borderId="5" xfId="0" applyNumberFormat="1" applyFont="1" applyFill="1" applyBorder="1" applyAlignment="1">
      <alignment vertical="center" wrapText="1"/>
    </xf>
    <xf numFmtId="4" fontId="33" fillId="0" borderId="5" xfId="0" applyNumberFormat="1" applyFont="1" applyFill="1" applyBorder="1" applyAlignment="1">
      <alignment vertical="center"/>
    </xf>
    <xf numFmtId="4" fontId="33" fillId="20" borderId="29" xfId="0" applyNumberFormat="1" applyFont="1" applyFill="1" applyBorder="1" applyAlignment="1">
      <alignment vertical="center" wrapText="1"/>
    </xf>
    <xf numFmtId="0" fontId="33" fillId="20" borderId="29" xfId="0" applyFont="1" applyFill="1" applyBorder="1" applyAlignment="1">
      <alignment vertical="center" wrapText="1"/>
    </xf>
    <xf numFmtId="164" fontId="33" fillId="20" borderId="29" xfId="0" applyNumberFormat="1" applyFont="1" applyFill="1" applyBorder="1" applyAlignment="1">
      <alignment vertical="center" wrapText="1"/>
    </xf>
    <xf numFmtId="164" fontId="68" fillId="20" borderId="30" xfId="0" applyNumberFormat="1" applyFont="1" applyFill="1" applyBorder="1" applyAlignment="1">
      <alignment vertical="center" wrapText="1"/>
    </xf>
    <xf numFmtId="0" fontId="33" fillId="7" borderId="27" xfId="0" applyFont="1" applyFill="1" applyBorder="1" applyAlignment="1">
      <alignment vertical="center"/>
    </xf>
    <xf numFmtId="164" fontId="67" fillId="7" borderId="30" xfId="0" applyNumberFormat="1" applyFont="1" applyFill="1" applyBorder="1" applyAlignment="1">
      <alignment vertical="center" wrapText="1"/>
    </xf>
    <xf numFmtId="164" fontId="74" fillId="7" borderId="30" xfId="0" applyNumberFormat="1" applyFont="1" applyFill="1" applyBorder="1" applyAlignment="1">
      <alignment vertical="center"/>
    </xf>
    <xf numFmtId="4" fontId="33" fillId="7" borderId="27" xfId="0" applyNumberFormat="1" applyFont="1" applyFill="1" applyBorder="1" applyAlignment="1">
      <alignment vertical="center"/>
    </xf>
    <xf numFmtId="4" fontId="77" fillId="25" borderId="5" xfId="0" applyNumberFormat="1" applyFont="1" applyFill="1" applyBorder="1" applyAlignment="1">
      <alignment vertical="center"/>
    </xf>
    <xf numFmtId="0" fontId="77" fillId="25" borderId="5" xfId="0" applyFont="1" applyFill="1" applyBorder="1" applyAlignment="1">
      <alignment vertical="center"/>
    </xf>
    <xf numFmtId="8" fontId="77" fillId="25" borderId="5" xfId="0" applyNumberFormat="1" applyFont="1" applyFill="1" applyBorder="1" applyAlignment="1">
      <alignment vertical="center"/>
    </xf>
    <xf numFmtId="164" fontId="78" fillId="0" borderId="5" xfId="0" applyNumberFormat="1" applyFont="1" applyBorder="1" applyAlignment="1">
      <alignment vertical="center"/>
    </xf>
    <xf numFmtId="0" fontId="76" fillId="24" borderId="5" xfId="0" applyFont="1" applyFill="1" applyBorder="1" applyAlignment="1">
      <alignment vertical="center"/>
    </xf>
    <xf numFmtId="164" fontId="76" fillId="24" borderId="5" xfId="0" applyNumberFormat="1" applyFont="1" applyFill="1" applyBorder="1" applyAlignment="1">
      <alignment vertical="center"/>
    </xf>
    <xf numFmtId="8" fontId="81" fillId="25" borderId="5" xfId="0" applyNumberFormat="1" applyFont="1" applyFill="1" applyBorder="1" applyAlignment="1">
      <alignment vertical="center"/>
    </xf>
    <xf numFmtId="0" fontId="78" fillId="0" borderId="5" xfId="0" applyFont="1" applyBorder="1" applyAlignment="1">
      <alignment vertical="center"/>
    </xf>
    <xf numFmtId="8" fontId="78" fillId="0" borderId="5" xfId="0" applyNumberFormat="1" applyFont="1" applyBorder="1" applyAlignment="1">
      <alignment vertical="center"/>
    </xf>
    <xf numFmtId="0" fontId="0" fillId="24" borderId="5" xfId="0" applyFont="1" applyFill="1" applyBorder="1" applyAlignment="1">
      <alignment vertical="center"/>
    </xf>
    <xf numFmtId="164" fontId="0" fillId="24" borderId="5" xfId="0" applyNumberFormat="1" applyFont="1" applyFill="1" applyBorder="1" applyAlignment="1">
      <alignment vertical="center"/>
    </xf>
    <xf numFmtId="164" fontId="1" fillId="24" borderId="5" xfId="0" applyNumberFormat="1" applyFont="1" applyFill="1" applyBorder="1" applyAlignment="1">
      <alignment vertical="center"/>
    </xf>
    <xf numFmtId="8" fontId="0" fillId="0" borderId="5" xfId="0" applyNumberFormat="1" applyFont="1" applyBorder="1" applyAlignment="1">
      <alignment vertical="center"/>
    </xf>
    <xf numFmtId="164" fontId="45" fillId="25" borderId="5" xfId="0" applyNumberFormat="1" applyFont="1" applyFill="1" applyBorder="1" applyAlignment="1">
      <alignment vertical="center"/>
    </xf>
    <xf numFmtId="164" fontId="33" fillId="25" borderId="5" xfId="0" applyNumberFormat="1" applyFont="1" applyFill="1" applyBorder="1" applyAlignment="1">
      <alignment vertical="center"/>
    </xf>
    <xf numFmtId="164" fontId="82" fillId="25" borderId="5" xfId="0" applyNumberFormat="1" applyFont="1" applyFill="1" applyBorder="1" applyAlignment="1">
      <alignment vertical="center"/>
    </xf>
    <xf numFmtId="164" fontId="3" fillId="0" borderId="5" xfId="0" applyNumberFormat="1" applyFont="1" applyBorder="1" applyAlignment="1">
      <alignment vertical="center"/>
    </xf>
    <xf numFmtId="164" fontId="79" fillId="24" borderId="5" xfId="0" applyNumberFormat="1" applyFont="1" applyFill="1" applyBorder="1" applyAlignment="1">
      <alignment vertical="center"/>
    </xf>
    <xf numFmtId="0" fontId="77" fillId="25" borderId="5" xfId="0" applyFont="1" applyFill="1" applyBorder="1" applyAlignment="1">
      <alignment horizontal="center" vertical="center"/>
    </xf>
    <xf numFmtId="0" fontId="76" fillId="24" borderId="5" xfId="0" applyFont="1" applyFill="1" applyBorder="1" applyAlignment="1">
      <alignment horizontal="center" vertical="center"/>
    </xf>
    <xf numFmtId="0" fontId="80" fillId="25" borderId="5" xfId="0" applyFont="1" applyFill="1" applyBorder="1" applyAlignment="1">
      <alignment horizontal="center" vertical="center"/>
    </xf>
    <xf numFmtId="0" fontId="0" fillId="24" borderId="5" xfId="0" applyFont="1" applyFill="1" applyBorder="1" applyAlignment="1">
      <alignment horizontal="center" vertical="center"/>
    </xf>
    <xf numFmtId="0" fontId="0" fillId="0" borderId="5" xfId="0" applyFont="1" applyBorder="1" applyAlignment="1">
      <alignment horizontal="center" vertical="center"/>
    </xf>
    <xf numFmtId="0" fontId="45" fillId="25" borderId="5" xfId="0" applyFont="1" applyFill="1" applyBorder="1" applyAlignment="1">
      <alignment horizontal="center" vertical="center"/>
    </xf>
    <xf numFmtId="164" fontId="45" fillId="25" borderId="5" xfId="0" applyNumberFormat="1" applyFont="1" applyFill="1" applyBorder="1" applyAlignment="1">
      <alignment horizontal="center" vertical="center"/>
    </xf>
    <xf numFmtId="164" fontId="82" fillId="25" borderId="5" xfId="0" applyNumberFormat="1" applyFont="1" applyFill="1" applyBorder="1" applyAlignment="1">
      <alignment horizontal="center" vertical="center"/>
    </xf>
    <xf numFmtId="164" fontId="79" fillId="24" borderId="5" xfId="0" applyNumberFormat="1" applyFont="1" applyFill="1" applyBorder="1" applyAlignment="1">
      <alignment horizontal="center" vertical="center"/>
    </xf>
    <xf numFmtId="164" fontId="0" fillId="0" borderId="22" xfId="0" applyNumberFormat="1" applyFont="1" applyBorder="1" applyAlignment="1">
      <alignment vertical="center"/>
    </xf>
    <xf numFmtId="171" fontId="10" fillId="17" borderId="18" xfId="0" applyNumberFormat="1" applyFont="1" applyFill="1" applyBorder="1" applyAlignment="1">
      <alignment vertical="center"/>
    </xf>
    <xf numFmtId="171" fontId="10" fillId="17" borderId="20" xfId="0" applyNumberFormat="1" applyFont="1" applyFill="1" applyBorder="1" applyAlignment="1">
      <alignment vertical="center"/>
    </xf>
    <xf numFmtId="171" fontId="10" fillId="17" borderId="21" xfId="0" applyNumberFormat="1" applyFont="1" applyFill="1" applyBorder="1" applyAlignment="1">
      <alignment vertical="center"/>
    </xf>
    <xf numFmtId="171" fontId="10" fillId="17" borderId="22" xfId="0" applyNumberFormat="1" applyFont="1" applyFill="1" applyBorder="1" applyAlignment="1">
      <alignment vertical="center"/>
    </xf>
    <xf numFmtId="0" fontId="83" fillId="0" borderId="21" xfId="0" applyFont="1" applyFill="1" applyBorder="1" applyAlignment="1">
      <alignment horizontal="center" vertical="top" wrapText="1"/>
    </xf>
    <xf numFmtId="2" fontId="83" fillId="0" borderId="21" xfId="0" applyNumberFormat="1" applyFont="1" applyFill="1" applyBorder="1" applyAlignment="1">
      <alignment horizontal="center" vertical="top" wrapText="1"/>
    </xf>
    <xf numFmtId="0" fontId="65" fillId="0" borderId="5" xfId="0" applyFont="1" applyFill="1" applyBorder="1" applyAlignment="1">
      <alignment horizontal="left" vertical="center" wrapText="1"/>
    </xf>
    <xf numFmtId="0" fontId="0" fillId="0" borderId="5" xfId="0" applyBorder="1" applyAlignment="1">
      <alignment horizontal="left" vertical="top" wrapText="1"/>
    </xf>
    <xf numFmtId="0" fontId="0" fillId="0" borderId="0" xfId="0" applyBorder="1" applyAlignment="1">
      <alignment horizontal="left" vertical="center" wrapText="1"/>
    </xf>
    <xf numFmtId="2" fontId="83" fillId="0" borderId="73" xfId="0" applyNumberFormat="1" applyFont="1" applyFill="1" applyBorder="1" applyAlignment="1">
      <alignment horizontal="center" vertical="top" wrapText="1"/>
    </xf>
    <xf numFmtId="0" fontId="10" fillId="17" borderId="27" xfId="0" applyFont="1" applyFill="1" applyBorder="1" applyAlignment="1">
      <alignment vertical="center"/>
    </xf>
    <xf numFmtId="171" fontId="10" fillId="17" borderId="30" xfId="0" applyNumberFormat="1" applyFont="1" applyFill="1" applyBorder="1" applyAlignment="1">
      <alignment vertical="center"/>
    </xf>
    <xf numFmtId="4" fontId="33" fillId="0" borderId="23" xfId="0" applyNumberFormat="1" applyFont="1" applyFill="1" applyBorder="1" applyAlignment="1">
      <alignment vertical="center"/>
    </xf>
    <xf numFmtId="0" fontId="83" fillId="0" borderId="23" xfId="0" applyFont="1" applyFill="1" applyBorder="1" applyAlignment="1">
      <alignment horizontal="center" vertical="center" wrapText="1"/>
    </xf>
    <xf numFmtId="4" fontId="0" fillId="0" borderId="0" xfId="0" applyNumberFormat="1" applyAlignment="1">
      <alignment horizontal="center" wrapText="1"/>
    </xf>
    <xf numFmtId="4" fontId="46" fillId="0" borderId="0" xfId="0" applyNumberFormat="1" applyFont="1" applyAlignment="1">
      <alignment horizontal="center" wrapText="1"/>
    </xf>
    <xf numFmtId="4" fontId="1" fillId="0" borderId="0" xfId="0" applyNumberFormat="1" applyFont="1" applyAlignment="1">
      <alignment horizontal="center"/>
    </xf>
    <xf numFmtId="4" fontId="0" fillId="0" borderId="0" xfId="0" applyNumberFormat="1" applyAlignment="1">
      <alignment horizontal="left"/>
    </xf>
    <xf numFmtId="4" fontId="1" fillId="0" borderId="0" xfId="0" applyNumberFormat="1" applyFont="1" applyAlignment="1">
      <alignment horizontal="center" wrapText="1"/>
    </xf>
    <xf numFmtId="165" fontId="10" fillId="0" borderId="0" xfId="0" applyNumberFormat="1" applyFont="1" applyFill="1" applyBorder="1" applyAlignment="1">
      <alignment horizontal="center"/>
    </xf>
    <xf numFmtId="0" fontId="5" fillId="3" borderId="0" xfId="0" applyFont="1" applyFill="1" applyBorder="1" applyAlignment="1">
      <alignment horizontal="center" vertical="center"/>
    </xf>
    <xf numFmtId="0" fontId="6" fillId="0" borderId="0" xfId="0" applyFont="1" applyFill="1" applyBorder="1" applyAlignment="1">
      <alignment horizontal="left"/>
    </xf>
    <xf numFmtId="0" fontId="54" fillId="3" borderId="0" xfId="0" applyFont="1" applyFill="1" applyBorder="1" applyAlignment="1">
      <alignment horizontal="center" vertical="center" wrapText="1"/>
    </xf>
    <xf numFmtId="44" fontId="18" fillId="0" borderId="0" xfId="0" applyNumberFormat="1" applyFont="1" applyFill="1" applyBorder="1" applyAlignment="1">
      <alignment horizontal="center" vertical="center" wrapText="1"/>
    </xf>
    <xf numFmtId="0" fontId="18" fillId="0" borderId="0" xfId="0" applyFont="1" applyFill="1" applyBorder="1" applyAlignment="1">
      <alignment horizontal="center" vertical="center" wrapText="1"/>
    </xf>
    <xf numFmtId="0" fontId="10" fillId="0" borderId="0" xfId="0" applyFont="1" applyFill="1" applyBorder="1" applyAlignment="1">
      <alignment horizontal="center" vertical="center"/>
    </xf>
    <xf numFmtId="0" fontId="6" fillId="0" borderId="0" xfId="0" applyFont="1" applyFill="1" applyBorder="1" applyAlignment="1">
      <alignment horizontal="center"/>
    </xf>
    <xf numFmtId="0" fontId="6" fillId="0" borderId="0" xfId="0" applyFont="1" applyFill="1" applyBorder="1" applyAlignment="1">
      <alignment horizontal="center" vertical="center"/>
    </xf>
    <xf numFmtId="0" fontId="11" fillId="3" borderId="0" xfId="0" applyFont="1" applyFill="1" applyBorder="1" applyAlignment="1">
      <alignment horizontal="center" vertical="center"/>
    </xf>
    <xf numFmtId="0" fontId="20" fillId="0" borderId="0" xfId="0" applyFont="1" applyFill="1" applyBorder="1" applyAlignment="1">
      <alignment horizontal="center"/>
    </xf>
    <xf numFmtId="0" fontId="13" fillId="0" borderId="1" xfId="0" applyFont="1" applyFill="1" applyBorder="1" applyAlignment="1">
      <alignment horizontal="center"/>
    </xf>
    <xf numFmtId="0" fontId="13" fillId="0" borderId="2" xfId="0" applyFont="1" applyFill="1" applyBorder="1" applyAlignment="1">
      <alignment horizontal="center"/>
    </xf>
    <xf numFmtId="0" fontId="6" fillId="0" borderId="0" xfId="0" applyFont="1" applyBorder="1" applyAlignment="1">
      <alignment wrapText="1"/>
    </xf>
    <xf numFmtId="0" fontId="0" fillId="0" borderId="0" xfId="0" applyAlignment="1">
      <alignment wrapText="1"/>
    </xf>
    <xf numFmtId="0" fontId="13" fillId="0" borderId="0" xfId="0" applyFont="1" applyFill="1" applyBorder="1" applyAlignment="1">
      <alignment horizontal="center"/>
    </xf>
    <xf numFmtId="0" fontId="6" fillId="0" borderId="0" xfId="0" applyFont="1" applyFill="1" applyBorder="1" applyAlignment="1">
      <alignment horizontal="center" vertical="top"/>
    </xf>
    <xf numFmtId="0" fontId="56" fillId="17" borderId="0" xfId="0" applyFont="1" applyFill="1" applyBorder="1" applyAlignment="1">
      <alignment horizontal="center" vertical="center"/>
    </xf>
    <xf numFmtId="0" fontId="6" fillId="0" borderId="64" xfId="0" applyFont="1" applyBorder="1" applyAlignment="1">
      <alignment horizontal="center"/>
    </xf>
    <xf numFmtId="0" fontId="6" fillId="0" borderId="7" xfId="0" applyFont="1" applyBorder="1" applyAlignment="1">
      <alignment horizontal="center"/>
    </xf>
    <xf numFmtId="0" fontId="6" fillId="0" borderId="8" xfId="0" applyFont="1" applyBorder="1" applyAlignment="1">
      <alignment horizontal="center"/>
    </xf>
    <xf numFmtId="0" fontId="6" fillId="0" borderId="13" xfId="0" applyFont="1" applyBorder="1" applyAlignment="1">
      <alignment horizontal="left"/>
    </xf>
    <xf numFmtId="0" fontId="6" fillId="0" borderId="0" xfId="0" applyFont="1" applyBorder="1" applyAlignment="1">
      <alignment horizontal="left"/>
    </xf>
    <xf numFmtId="44" fontId="6" fillId="0" borderId="0" xfId="1" applyFont="1" applyBorder="1" applyAlignment="1">
      <alignment horizontal="center"/>
    </xf>
    <xf numFmtId="44" fontId="6" fillId="0" borderId="14" xfId="1" applyFont="1" applyBorder="1" applyAlignment="1">
      <alignment horizontal="center"/>
    </xf>
    <xf numFmtId="0" fontId="13" fillId="0" borderId="0" xfId="0" applyFont="1" applyBorder="1" applyAlignment="1">
      <alignment horizontal="right"/>
    </xf>
    <xf numFmtId="0" fontId="13" fillId="0" borderId="0" xfId="0" applyFont="1" applyBorder="1" applyAlignment="1">
      <alignment horizontal="center"/>
    </xf>
    <xf numFmtId="0" fontId="56" fillId="17" borderId="0" xfId="0" applyFont="1" applyFill="1" applyAlignment="1">
      <alignment horizontal="center" vertical="center"/>
    </xf>
    <xf numFmtId="0" fontId="10" fillId="0" borderId="0" xfId="0" applyFont="1" applyBorder="1" applyAlignment="1">
      <alignment horizontal="left"/>
    </xf>
    <xf numFmtId="0" fontId="9" fillId="0" borderId="0" xfId="0" applyFont="1" applyBorder="1" applyAlignment="1">
      <alignment horizontal="left"/>
    </xf>
    <xf numFmtId="0" fontId="9" fillId="0" borderId="0" xfId="0" applyFont="1" applyFill="1" applyBorder="1" applyAlignment="1">
      <alignment horizontal="center" vertical="center" wrapText="1"/>
    </xf>
    <xf numFmtId="0" fontId="9" fillId="0" borderId="0" xfId="0" applyFont="1" applyBorder="1" applyAlignment="1">
      <alignment horizontal="center" vertical="center" wrapText="1" shrinkToFit="1"/>
    </xf>
    <xf numFmtId="0" fontId="9" fillId="0" borderId="1" xfId="0" applyFont="1" applyBorder="1" applyAlignment="1">
      <alignment horizontal="center" vertical="center" wrapText="1" shrinkToFit="1"/>
    </xf>
    <xf numFmtId="0" fontId="6" fillId="0" borderId="0" xfId="0" applyFont="1" applyBorder="1" applyAlignment="1">
      <alignment horizontal="right" vertical="center" wrapText="1"/>
    </xf>
    <xf numFmtId="0" fontId="6" fillId="0" borderId="2" xfId="0" applyFont="1" applyBorder="1" applyAlignment="1">
      <alignment horizontal="center"/>
    </xf>
    <xf numFmtId="0" fontId="6" fillId="0" borderId="0" xfId="0" applyFont="1" applyBorder="1" applyAlignment="1">
      <alignment horizontal="right"/>
    </xf>
    <xf numFmtId="0" fontId="13" fillId="0" borderId="1" xfId="0" applyFont="1" applyBorder="1" applyAlignment="1">
      <alignment horizontal="center"/>
    </xf>
    <xf numFmtId="0" fontId="6" fillId="0" borderId="3" xfId="0" applyFont="1" applyBorder="1" applyAlignment="1">
      <alignment horizontal="center"/>
    </xf>
    <xf numFmtId="0" fontId="6" fillId="0" borderId="4" xfId="0" applyFont="1" applyBorder="1" applyAlignment="1">
      <alignment horizontal="center"/>
    </xf>
    <xf numFmtId="0" fontId="6" fillId="0" borderId="3" xfId="0" applyNumberFormat="1" applyFont="1" applyBorder="1" applyAlignment="1">
      <alignment horizontal="left" wrapText="1"/>
    </xf>
    <xf numFmtId="0" fontId="6" fillId="0" borderId="4" xfId="0" applyNumberFormat="1" applyFont="1" applyBorder="1" applyAlignment="1">
      <alignment horizontal="left" wrapText="1"/>
    </xf>
    <xf numFmtId="44" fontId="6" fillId="0" borderId="3" xfId="0" applyNumberFormat="1" applyFont="1" applyBorder="1" applyAlignment="1">
      <alignment horizontal="center"/>
    </xf>
    <xf numFmtId="44" fontId="6" fillId="0" borderId="4" xfId="0" applyNumberFormat="1" applyFont="1" applyBorder="1" applyAlignment="1">
      <alignment horizontal="center"/>
    </xf>
    <xf numFmtId="0" fontId="13" fillId="0" borderId="3" xfId="0" applyNumberFormat="1" applyFont="1" applyBorder="1" applyAlignment="1">
      <alignment horizontal="left"/>
    </xf>
    <xf numFmtId="0" fontId="13" fillId="0" borderId="4" xfId="0" applyNumberFormat="1" applyFont="1" applyBorder="1" applyAlignment="1">
      <alignment horizontal="left"/>
    </xf>
    <xf numFmtId="0" fontId="18" fillId="17" borderId="3" xfId="0" applyFont="1" applyFill="1" applyBorder="1" applyAlignment="1">
      <alignment horizontal="center" vertical="center"/>
    </xf>
    <xf numFmtId="0" fontId="18" fillId="17" borderId="35" xfId="0" applyFont="1" applyFill="1" applyBorder="1" applyAlignment="1">
      <alignment horizontal="center" vertical="center"/>
    </xf>
    <xf numFmtId="0" fontId="18" fillId="17" borderId="4" xfId="0" applyFont="1" applyFill="1" applyBorder="1" applyAlignment="1">
      <alignment horizontal="center" vertical="center"/>
    </xf>
    <xf numFmtId="43" fontId="32" fillId="0" borderId="71" xfId="5" applyFont="1" applyBorder="1" applyAlignment="1">
      <alignment horizontal="center"/>
    </xf>
    <xf numFmtId="43" fontId="32" fillId="0" borderId="72" xfId="5" applyFont="1" applyBorder="1" applyAlignment="1">
      <alignment horizontal="center"/>
    </xf>
    <xf numFmtId="43" fontId="32" fillId="0" borderId="28" xfId="5" applyFont="1" applyBorder="1" applyAlignment="1">
      <alignment horizontal="center"/>
    </xf>
    <xf numFmtId="0" fontId="56" fillId="17" borderId="10" xfId="0" applyFont="1" applyFill="1" applyBorder="1" applyAlignment="1">
      <alignment horizontal="center" vertical="center"/>
    </xf>
    <xf numFmtId="0" fontId="56" fillId="17" borderId="11" xfId="0" applyFont="1" applyFill="1" applyBorder="1" applyAlignment="1">
      <alignment horizontal="center" vertical="center"/>
    </xf>
    <xf numFmtId="0" fontId="56" fillId="17" borderId="12" xfId="0" applyFont="1" applyFill="1" applyBorder="1" applyAlignment="1">
      <alignment horizontal="center" vertical="center"/>
    </xf>
    <xf numFmtId="0" fontId="56" fillId="17" borderId="13" xfId="0" applyFont="1" applyFill="1" applyBorder="1" applyAlignment="1">
      <alignment horizontal="center" vertical="center"/>
    </xf>
    <xf numFmtId="0" fontId="56" fillId="17" borderId="14" xfId="0" applyFont="1" applyFill="1" applyBorder="1" applyAlignment="1">
      <alignment horizontal="center" vertical="center"/>
    </xf>
    <xf numFmtId="0" fontId="57" fillId="0" borderId="64" xfId="0" applyFont="1" applyBorder="1" applyAlignment="1">
      <alignment horizontal="center"/>
    </xf>
    <xf numFmtId="0" fontId="57" fillId="0" borderId="7" xfId="0" applyFont="1" applyBorder="1" applyAlignment="1">
      <alignment horizontal="center"/>
    </xf>
    <xf numFmtId="0" fontId="57" fillId="0" borderId="8" xfId="0" applyFont="1" applyBorder="1" applyAlignment="1">
      <alignment horizontal="center"/>
    </xf>
    <xf numFmtId="0" fontId="0" fillId="18" borderId="0" xfId="0" applyFill="1" applyBorder="1" applyAlignment="1">
      <alignment horizontal="left"/>
    </xf>
    <xf numFmtId="0" fontId="0" fillId="0" borderId="33" xfId="0" applyFill="1" applyBorder="1" applyAlignment="1">
      <alignment horizontal="left"/>
    </xf>
    <xf numFmtId="0" fontId="0" fillId="0" borderId="0" xfId="0" applyFill="1" applyBorder="1" applyAlignment="1">
      <alignment horizontal="left"/>
    </xf>
    <xf numFmtId="0" fontId="0" fillId="0" borderId="34" xfId="0" applyFill="1" applyBorder="1" applyAlignment="1">
      <alignment horizontal="left"/>
    </xf>
    <xf numFmtId="0" fontId="0" fillId="0" borderId="33" xfId="0" applyBorder="1" applyAlignment="1">
      <alignment horizontal="left"/>
    </xf>
    <xf numFmtId="0" fontId="0" fillId="0" borderId="0" xfId="0" applyBorder="1" applyAlignment="1">
      <alignment horizontal="left"/>
    </xf>
    <xf numFmtId="0" fontId="0" fillId="0" borderId="34" xfId="0" applyBorder="1" applyAlignment="1">
      <alignment horizontal="left"/>
    </xf>
    <xf numFmtId="0" fontId="27" fillId="0" borderId="0" xfId="0" applyFont="1" applyBorder="1" applyAlignment="1">
      <alignment horizontal="left" vertical="center" wrapText="1"/>
    </xf>
    <xf numFmtId="0" fontId="48" fillId="0" borderId="0" xfId="0" applyFont="1" applyBorder="1" applyAlignment="1">
      <alignment horizontal="left" vertical="center" wrapText="1"/>
    </xf>
    <xf numFmtId="0" fontId="43" fillId="0" borderId="0" xfId="0" applyFont="1" applyAlignment="1">
      <alignment horizontal="center" vertical="center" wrapText="1"/>
    </xf>
    <xf numFmtId="0" fontId="7" fillId="3" borderId="0" xfId="0" applyFont="1" applyFill="1" applyBorder="1" applyAlignment="1">
      <alignment horizontal="center" vertical="center" wrapText="1"/>
    </xf>
    <xf numFmtId="164" fontId="8" fillId="0" borderId="0" xfId="0" applyNumberFormat="1" applyFont="1" applyFill="1" applyBorder="1" applyAlignment="1">
      <alignment horizontal="center"/>
    </xf>
    <xf numFmtId="0" fontId="8" fillId="0" borderId="0" xfId="0" applyFont="1" applyFill="1" applyBorder="1" applyAlignment="1">
      <alignment horizontal="center"/>
    </xf>
    <xf numFmtId="0" fontId="9" fillId="0" borderId="0" xfId="0" applyFont="1" applyFill="1" applyBorder="1" applyAlignment="1">
      <alignment horizontal="center"/>
    </xf>
    <xf numFmtId="0" fontId="12" fillId="0" borderId="0" xfId="0" applyFont="1" applyFill="1" applyBorder="1" applyAlignment="1">
      <alignment horizontal="center"/>
    </xf>
    <xf numFmtId="0" fontId="6" fillId="0" borderId="1" xfId="0" applyFont="1" applyFill="1" applyBorder="1" applyAlignment="1">
      <alignment horizontal="center"/>
    </xf>
    <xf numFmtId="49" fontId="6" fillId="0" borderId="0" xfId="0" applyNumberFormat="1" applyFont="1" applyFill="1" applyBorder="1" applyAlignment="1">
      <alignment horizontal="center" vertical="center"/>
    </xf>
    <xf numFmtId="0" fontId="10" fillId="0" borderId="0" xfId="0" applyFont="1" applyFill="1" applyBorder="1" applyAlignment="1">
      <alignment horizontal="center"/>
    </xf>
    <xf numFmtId="0" fontId="14" fillId="4" borderId="0" xfId="0" applyFont="1" applyFill="1" applyAlignment="1">
      <alignment horizontal="center" vertical="center"/>
    </xf>
    <xf numFmtId="0" fontId="15" fillId="0" borderId="0" xfId="0" applyFont="1" applyFill="1" applyBorder="1" applyAlignment="1">
      <alignment horizontal="center" vertical="center" wrapText="1"/>
    </xf>
    <xf numFmtId="0" fontId="16" fillId="0" borderId="0" xfId="0" applyFont="1" applyBorder="1" applyAlignment="1">
      <alignment horizontal="center" vertical="center" wrapText="1" shrinkToFit="1"/>
    </xf>
    <xf numFmtId="0" fontId="10" fillId="0" borderId="0" xfId="0" applyFont="1" applyAlignment="1">
      <alignment horizontal="center" vertical="center" wrapText="1"/>
    </xf>
    <xf numFmtId="0" fontId="10" fillId="0" borderId="1" xfId="0" applyFont="1" applyBorder="1" applyAlignment="1">
      <alignment horizontal="center" vertical="center" wrapText="1"/>
    </xf>
    <xf numFmtId="0" fontId="6" fillId="0" borderId="0" xfId="0" applyFont="1" applyBorder="1" applyAlignment="1">
      <alignment horizontal="right" vertical="top"/>
    </xf>
    <xf numFmtId="0" fontId="10" fillId="0" borderId="3" xfId="0" applyFont="1" applyBorder="1" applyAlignment="1">
      <alignment horizontal="center"/>
    </xf>
    <xf numFmtId="0" fontId="10" fillId="0" borderId="4" xfId="0" applyFont="1" applyBorder="1" applyAlignment="1">
      <alignment horizontal="center"/>
    </xf>
    <xf numFmtId="0" fontId="6" fillId="0" borderId="3" xfId="0" applyFont="1" applyBorder="1" applyAlignment="1">
      <alignment horizontal="left" wrapText="1"/>
    </xf>
    <xf numFmtId="0" fontId="6" fillId="0" borderId="4" xfId="0" applyFont="1" applyBorder="1" applyAlignment="1">
      <alignment horizontal="left" wrapText="1"/>
    </xf>
    <xf numFmtId="166" fontId="17" fillId="0" borderId="3" xfId="0" applyNumberFormat="1" applyFont="1" applyBorder="1" applyAlignment="1">
      <alignment horizontal="center"/>
    </xf>
    <xf numFmtId="0" fontId="17" fillId="0" borderId="4" xfId="0" applyFont="1" applyBorder="1" applyAlignment="1">
      <alignment horizontal="center"/>
    </xf>
    <xf numFmtId="0" fontId="6" fillId="0" borderId="0" xfId="0" applyFont="1" applyBorder="1" applyAlignment="1">
      <alignment horizontal="center"/>
    </xf>
    <xf numFmtId="0" fontId="6" fillId="0" borderId="3" xfId="0" applyFont="1" applyBorder="1" applyAlignment="1">
      <alignment horizontal="left"/>
    </xf>
    <xf numFmtId="0" fontId="6" fillId="0" borderId="4" xfId="0" applyFont="1" applyBorder="1" applyAlignment="1">
      <alignment horizontal="left"/>
    </xf>
    <xf numFmtId="0" fontId="14" fillId="4" borderId="0" xfId="0" applyFont="1" applyFill="1" applyBorder="1" applyAlignment="1">
      <alignment horizontal="center" vertical="center"/>
    </xf>
    <xf numFmtId="0" fontId="1" fillId="0" borderId="10" xfId="0" applyFont="1" applyBorder="1" applyAlignment="1">
      <alignment horizontal="center"/>
    </xf>
    <xf numFmtId="0" fontId="1" fillId="0" borderId="11" xfId="0" applyFont="1" applyBorder="1" applyAlignment="1">
      <alignment horizontal="center"/>
    </xf>
    <xf numFmtId="0" fontId="1" fillId="0" borderId="12" xfId="0" applyFont="1" applyBorder="1" applyAlignment="1">
      <alignment horizontal="center"/>
    </xf>
    <xf numFmtId="0" fontId="0" fillId="0" borderId="13" xfId="0" applyBorder="1" applyAlignment="1">
      <alignment horizontal="left" wrapText="1"/>
    </xf>
    <xf numFmtId="0" fontId="0" fillId="0" borderId="0" xfId="0" applyBorder="1" applyAlignment="1">
      <alignment horizontal="left" wrapText="1"/>
    </xf>
    <xf numFmtId="0" fontId="6" fillId="0" borderId="16" xfId="0" applyFont="1" applyFill="1" applyBorder="1" applyAlignment="1">
      <alignment horizontal="left" wrapText="1"/>
    </xf>
    <xf numFmtId="164" fontId="20" fillId="0" borderId="15" xfId="0" applyNumberFormat="1" applyFont="1" applyFill="1" applyBorder="1" applyAlignment="1">
      <alignment horizontal="left" wrapText="1"/>
    </xf>
    <xf numFmtId="164" fontId="20" fillId="0" borderId="16" xfId="0" applyNumberFormat="1" applyFont="1" applyFill="1" applyBorder="1" applyAlignment="1">
      <alignment horizontal="left" wrapText="1"/>
    </xf>
    <xf numFmtId="0" fontId="6" fillId="0" borderId="0" xfId="0" applyFont="1" applyFill="1" applyBorder="1" applyAlignment="1">
      <alignment horizontal="left" wrapText="1"/>
    </xf>
    <xf numFmtId="164" fontId="20" fillId="0" borderId="0" xfId="0" applyNumberFormat="1" applyFont="1" applyFill="1" applyBorder="1" applyAlignment="1">
      <alignment horizontal="left" wrapText="1"/>
    </xf>
    <xf numFmtId="0" fontId="0" fillId="0" borderId="13" xfId="0" applyBorder="1" applyAlignment="1">
      <alignment horizontal="left"/>
    </xf>
    <xf numFmtId="0" fontId="6" fillId="0" borderId="13" xfId="0" applyFont="1" applyBorder="1" applyAlignment="1">
      <alignment horizontal="left" wrapText="1"/>
    </xf>
    <xf numFmtId="0" fontId="6" fillId="0" borderId="0" xfId="0" applyFont="1" applyBorder="1" applyAlignment="1">
      <alignment horizontal="left" wrapText="1"/>
    </xf>
    <xf numFmtId="0" fontId="6" fillId="0" borderId="13" xfId="0" applyFont="1" applyFill="1" applyBorder="1" applyAlignment="1">
      <alignment horizontal="left" wrapText="1"/>
    </xf>
    <xf numFmtId="164" fontId="20" fillId="0" borderId="13" xfId="0" applyNumberFormat="1" applyFont="1" applyFill="1" applyBorder="1" applyAlignment="1">
      <alignment wrapText="1"/>
    </xf>
    <xf numFmtId="164" fontId="20" fillId="0" borderId="0" xfId="0" applyNumberFormat="1" applyFont="1" applyFill="1" applyBorder="1" applyAlignment="1">
      <alignment wrapText="1"/>
    </xf>
    <xf numFmtId="164" fontId="20" fillId="0" borderId="13" xfId="0" applyNumberFormat="1" applyFont="1" applyFill="1" applyBorder="1" applyAlignment="1">
      <alignment horizontal="left" wrapText="1"/>
    </xf>
    <xf numFmtId="0" fontId="40" fillId="0" borderId="0" xfId="0" applyFont="1" applyFill="1" applyBorder="1" applyAlignment="1">
      <alignment horizontal="left" vertical="top" wrapText="1"/>
    </xf>
    <xf numFmtId="0" fontId="30" fillId="0" borderId="0" xfId="0" applyFont="1" applyFill="1" applyBorder="1" applyAlignment="1">
      <alignment horizontal="left" vertical="top" wrapText="1"/>
    </xf>
    <xf numFmtId="0" fontId="23" fillId="0" borderId="0" xfId="0" applyFont="1" applyFill="1" applyBorder="1" applyAlignment="1">
      <alignment horizontal="center" vertical="center"/>
    </xf>
    <xf numFmtId="0" fontId="1" fillId="5" borderId="0" xfId="0" applyFont="1" applyFill="1" applyAlignment="1">
      <alignment horizontal="center" vertical="center" wrapText="1"/>
    </xf>
    <xf numFmtId="0" fontId="1" fillId="0" borderId="0" xfId="0" applyFont="1" applyFill="1" applyBorder="1" applyAlignment="1">
      <alignment horizontal="left" vertical="center" wrapText="1"/>
    </xf>
    <xf numFmtId="0" fontId="1" fillId="5" borderId="0" xfId="0" applyFont="1" applyFill="1" applyAlignment="1">
      <alignment horizontal="left" vertical="center" wrapText="1"/>
    </xf>
    <xf numFmtId="0" fontId="41" fillId="0" borderId="0" xfId="0" applyFont="1" applyFill="1" applyBorder="1" applyAlignment="1">
      <alignment horizontal="center" vertical="center"/>
    </xf>
    <xf numFmtId="0" fontId="30" fillId="8" borderId="3" xfId="0" applyFont="1" applyFill="1" applyBorder="1" applyAlignment="1">
      <alignment horizontal="left" vertical="top" wrapText="1"/>
    </xf>
    <xf numFmtId="0" fontId="30" fillId="8" borderId="35" xfId="0" applyFont="1" applyFill="1" applyBorder="1" applyAlignment="1">
      <alignment horizontal="left" vertical="top" wrapText="1"/>
    </xf>
    <xf numFmtId="0" fontId="30" fillId="8" borderId="4" xfId="0" applyFont="1" applyFill="1" applyBorder="1" applyAlignment="1">
      <alignment horizontal="left" vertical="top" wrapText="1"/>
    </xf>
    <xf numFmtId="0" fontId="40" fillId="0" borderId="0" xfId="0" applyFont="1" applyFill="1" applyBorder="1" applyAlignment="1">
      <alignment horizontal="center" vertical="top" wrapText="1"/>
    </xf>
    <xf numFmtId="0" fontId="0" fillId="0" borderId="0" xfId="0" applyFill="1" applyBorder="1" applyAlignment="1">
      <alignment horizontal="center"/>
    </xf>
    <xf numFmtId="0" fontId="23" fillId="4" borderId="31" xfId="0" applyFont="1" applyFill="1" applyBorder="1" applyAlignment="1">
      <alignment horizontal="center" vertical="center"/>
    </xf>
    <xf numFmtId="0" fontId="23" fillId="4" borderId="2" xfId="0" applyFont="1" applyFill="1" applyBorder="1" applyAlignment="1">
      <alignment horizontal="center" vertical="center"/>
    </xf>
    <xf numFmtId="0" fontId="23" fillId="4" borderId="32" xfId="0" applyFont="1" applyFill="1" applyBorder="1" applyAlignment="1">
      <alignment horizontal="center" vertical="center"/>
    </xf>
    <xf numFmtId="0" fontId="23" fillId="4" borderId="33" xfId="0" applyFont="1" applyFill="1" applyBorder="1" applyAlignment="1">
      <alignment horizontal="center" vertical="center"/>
    </xf>
    <xf numFmtId="0" fontId="23" fillId="4" borderId="0" xfId="0" applyFont="1" applyFill="1" applyBorder="1" applyAlignment="1">
      <alignment horizontal="center" vertical="center"/>
    </xf>
    <xf numFmtId="0" fontId="23" fillId="4" borderId="34" xfId="0" applyFont="1" applyFill="1" applyBorder="1" applyAlignment="1">
      <alignment horizontal="center" vertical="center"/>
    </xf>
    <xf numFmtId="0" fontId="0" fillId="8" borderId="3" xfId="0" applyFill="1" applyBorder="1" applyAlignment="1">
      <alignment horizontal="center"/>
    </xf>
    <xf numFmtId="0" fontId="0" fillId="8" borderId="35" xfId="0" applyFill="1" applyBorder="1" applyAlignment="1">
      <alignment horizontal="center"/>
    </xf>
    <xf numFmtId="0" fontId="47" fillId="0" borderId="40" xfId="0" applyFont="1" applyBorder="1" applyAlignment="1">
      <alignment horizontal="center" wrapText="1"/>
    </xf>
    <xf numFmtId="0" fontId="47" fillId="0" borderId="0" xfId="0" applyFont="1" applyBorder="1" applyAlignment="1">
      <alignment horizontal="center" wrapText="1"/>
    </xf>
    <xf numFmtId="0" fontId="47" fillId="0" borderId="41" xfId="0" applyFont="1" applyBorder="1" applyAlignment="1">
      <alignment horizontal="center" wrapText="1"/>
    </xf>
    <xf numFmtId="169" fontId="49" fillId="0" borderId="37" xfId="0" applyNumberFormat="1" applyFont="1" applyBorder="1" applyAlignment="1">
      <alignment horizontal="center" wrapText="1"/>
    </xf>
    <xf numFmtId="169" fontId="49" fillId="0" borderId="38" xfId="0" applyNumberFormat="1" applyFont="1" applyBorder="1" applyAlignment="1">
      <alignment horizontal="center" wrapText="1"/>
    </xf>
    <xf numFmtId="169" fontId="49" fillId="0" borderId="39" xfId="0" applyNumberFormat="1" applyFont="1" applyBorder="1" applyAlignment="1">
      <alignment horizontal="center" wrapText="1"/>
    </xf>
    <xf numFmtId="0" fontId="75" fillId="0" borderId="0" xfId="0" applyFont="1" applyFill="1" applyBorder="1" applyAlignment="1">
      <alignment horizontal="left"/>
    </xf>
    <xf numFmtId="0" fontId="33" fillId="0" borderId="0" xfId="0" applyFont="1" applyFill="1" applyBorder="1" applyAlignment="1">
      <alignment horizontal="center" vertical="center"/>
    </xf>
    <xf numFmtId="0" fontId="33" fillId="0" borderId="0" xfId="0" applyFont="1" applyFill="1" applyBorder="1" applyAlignment="1">
      <alignment horizontal="center"/>
    </xf>
    <xf numFmtId="0" fontId="63" fillId="0" borderId="0" xfId="0" applyFont="1" applyFill="1" applyBorder="1" applyAlignment="1">
      <alignment horizontal="left" vertical="center" wrapText="1"/>
    </xf>
    <xf numFmtId="0" fontId="73" fillId="22" borderId="10" xfId="0" applyFont="1" applyFill="1" applyBorder="1" applyAlignment="1">
      <alignment horizontal="center" vertical="center"/>
    </xf>
    <xf numFmtId="0" fontId="73" fillId="22" borderId="12" xfId="0" applyFont="1" applyFill="1" applyBorder="1" applyAlignment="1">
      <alignment horizontal="center" vertical="center"/>
    </xf>
    <xf numFmtId="0" fontId="63" fillId="10" borderId="10" xfId="0" applyFont="1" applyFill="1" applyBorder="1" applyAlignment="1">
      <alignment horizontal="center" vertical="center" wrapText="1"/>
    </xf>
    <xf numFmtId="0" fontId="63" fillId="10" borderId="12" xfId="0" applyFont="1" applyFill="1" applyBorder="1" applyAlignment="1">
      <alignment horizontal="center" vertical="center" wrapText="1"/>
    </xf>
    <xf numFmtId="0" fontId="73" fillId="23" borderId="10" xfId="0" applyFont="1" applyFill="1" applyBorder="1" applyAlignment="1">
      <alignment horizontal="center" vertical="center"/>
    </xf>
    <xf numFmtId="0" fontId="73" fillId="23" borderId="12" xfId="0" applyFont="1" applyFill="1" applyBorder="1" applyAlignment="1">
      <alignment horizontal="center" vertical="center"/>
    </xf>
    <xf numFmtId="0" fontId="73" fillId="21" borderId="64" xfId="0" applyFont="1" applyFill="1" applyBorder="1" applyAlignment="1">
      <alignment horizontal="center"/>
    </xf>
    <xf numFmtId="0" fontId="73" fillId="21" borderId="7" xfId="0" applyFont="1" applyFill="1" applyBorder="1" applyAlignment="1">
      <alignment horizontal="center"/>
    </xf>
    <xf numFmtId="0" fontId="73" fillId="21" borderId="8" xfId="0" applyFont="1" applyFill="1" applyBorder="1" applyAlignment="1">
      <alignment horizontal="center"/>
    </xf>
  </cellXfs>
  <cellStyles count="6">
    <cellStyle name="Millares" xfId="5" builtinId="3"/>
    <cellStyle name="Millares 2" xfId="2"/>
    <cellStyle name="Millares 4" xfId="3"/>
    <cellStyle name="Moneda" xfId="1" builtinId="4"/>
    <cellStyle name="Normal" xfId="0" builtinId="0"/>
    <cellStyle name="Porcentaje" xfId="4"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 Id="rId4"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1</xdr:col>
      <xdr:colOff>257175</xdr:colOff>
      <xdr:row>92</xdr:row>
      <xdr:rowOff>0</xdr:rowOff>
    </xdr:from>
    <xdr:to>
      <xdr:col>3</xdr:col>
      <xdr:colOff>581025</xdr:colOff>
      <xdr:row>92</xdr:row>
      <xdr:rowOff>0</xdr:rowOff>
    </xdr:to>
    <xdr:pic>
      <xdr:nvPicPr>
        <xdr:cNvPr id="2" name="Picture 4" descr="Dibujo">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 y="18526125"/>
          <a:ext cx="18478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577779</xdr:colOff>
      <xdr:row>220</xdr:row>
      <xdr:rowOff>142009</xdr:rowOff>
    </xdr:from>
    <xdr:to>
      <xdr:col>7</xdr:col>
      <xdr:colOff>292029</xdr:colOff>
      <xdr:row>223</xdr:row>
      <xdr:rowOff>150668</xdr:rowOff>
    </xdr:to>
    <xdr:sp macro="" textlink="">
      <xdr:nvSpPr>
        <xdr:cNvPr id="3" name="6 CuadroTexto">
          <a:extLst>
            <a:ext uri="{FF2B5EF4-FFF2-40B4-BE49-F238E27FC236}">
              <a16:creationId xmlns:a16="http://schemas.microsoft.com/office/drawing/2014/main" id="{00000000-0008-0000-0100-000003000000}"/>
            </a:ext>
          </a:extLst>
        </xdr:cNvPr>
        <xdr:cNvSpPr txBox="1"/>
      </xdr:nvSpPr>
      <xdr:spPr>
        <a:xfrm>
          <a:off x="968304" y="44861884"/>
          <a:ext cx="4667250" cy="58015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s-SV" sz="1100"/>
            <a:t>CALLE No. 1 QUE REQUIERE CONFORMACION DE RASANTE, PARA EVITAR EROSION, SE CONFORMARA BOMBEO HACIA LOS LADOS</a:t>
          </a:r>
        </a:p>
      </xdr:txBody>
    </xdr:sp>
    <xdr:clientData/>
  </xdr:twoCellAnchor>
  <xdr:twoCellAnchor>
    <xdr:from>
      <xdr:col>1</xdr:col>
      <xdr:colOff>450057</xdr:colOff>
      <xdr:row>235</xdr:row>
      <xdr:rowOff>9525</xdr:rowOff>
    </xdr:from>
    <xdr:to>
      <xdr:col>7</xdr:col>
      <xdr:colOff>676275</xdr:colOff>
      <xdr:row>236</xdr:row>
      <xdr:rowOff>176212</xdr:rowOff>
    </xdr:to>
    <xdr:sp macro="" textlink="">
      <xdr:nvSpPr>
        <xdr:cNvPr id="4" name="9 CuadroTexto">
          <a:extLst>
            <a:ext uri="{FF2B5EF4-FFF2-40B4-BE49-F238E27FC236}">
              <a16:creationId xmlns:a16="http://schemas.microsoft.com/office/drawing/2014/main" id="{00000000-0008-0000-0100-000004000000}"/>
            </a:ext>
          </a:extLst>
        </xdr:cNvPr>
        <xdr:cNvSpPr txBox="1"/>
      </xdr:nvSpPr>
      <xdr:spPr>
        <a:xfrm>
          <a:off x="840582" y="47586900"/>
          <a:ext cx="5179218" cy="3571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s-SV" sz="1100"/>
            <a:t>CALLE PRINCIPAL,</a:t>
          </a:r>
          <a:r>
            <a:rPr lang="es-SV" sz="1100" baseline="0"/>
            <a:t> REQUIERE BALASTADO, CONFORMACION Y REPARAR CUNETAS DE TIERRA</a:t>
          </a:r>
          <a:endParaRPr lang="es-SV" sz="1100"/>
        </a:p>
      </xdr:txBody>
    </xdr:sp>
    <xdr:clientData/>
  </xdr:twoCellAnchor>
  <xdr:twoCellAnchor editAs="oneCell">
    <xdr:from>
      <xdr:col>1</xdr:col>
      <xdr:colOff>962025</xdr:colOff>
      <xdr:row>209</xdr:row>
      <xdr:rowOff>19050</xdr:rowOff>
    </xdr:from>
    <xdr:to>
      <xdr:col>6</xdr:col>
      <xdr:colOff>572925</xdr:colOff>
      <xdr:row>220</xdr:row>
      <xdr:rowOff>83550</xdr:rowOff>
    </xdr:to>
    <xdr:pic>
      <xdr:nvPicPr>
        <xdr:cNvPr id="5" name="Imagen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52550" y="42643425"/>
          <a:ext cx="3840000" cy="2160000"/>
        </a:xfrm>
        <a:prstGeom prst="rect">
          <a:avLst/>
        </a:prstGeom>
      </xdr:spPr>
    </xdr:pic>
    <xdr:clientData/>
  </xdr:twoCellAnchor>
  <xdr:twoCellAnchor editAs="oneCell">
    <xdr:from>
      <xdr:col>1</xdr:col>
      <xdr:colOff>962025</xdr:colOff>
      <xdr:row>223</xdr:row>
      <xdr:rowOff>95250</xdr:rowOff>
    </xdr:from>
    <xdr:to>
      <xdr:col>6</xdr:col>
      <xdr:colOff>572925</xdr:colOff>
      <xdr:row>234</xdr:row>
      <xdr:rowOff>159750</xdr:rowOff>
    </xdr:to>
    <xdr:pic>
      <xdr:nvPicPr>
        <xdr:cNvPr id="6" name="Imagen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352550" y="45386625"/>
          <a:ext cx="3840000" cy="2160000"/>
        </a:xfrm>
        <a:prstGeom prst="rect">
          <a:avLst/>
        </a:prstGeom>
      </xdr:spPr>
    </xdr:pic>
    <xdr:clientData/>
  </xdr:twoCellAnchor>
  <xdr:twoCellAnchor editAs="oneCell">
    <xdr:from>
      <xdr:col>1</xdr:col>
      <xdr:colOff>923925</xdr:colOff>
      <xdr:row>237</xdr:row>
      <xdr:rowOff>38100</xdr:rowOff>
    </xdr:from>
    <xdr:to>
      <xdr:col>6</xdr:col>
      <xdr:colOff>534825</xdr:colOff>
      <xdr:row>248</xdr:row>
      <xdr:rowOff>102600</xdr:rowOff>
    </xdr:to>
    <xdr:pic>
      <xdr:nvPicPr>
        <xdr:cNvPr id="7" name="Imagen 6">
          <a:extLst>
            <a:ext uri="{FF2B5EF4-FFF2-40B4-BE49-F238E27FC236}">
              <a16:creationId xmlns:a16="http://schemas.microsoft.com/office/drawing/2014/main" id="{00000000-0008-0000-0100-000007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314450" y="47996475"/>
          <a:ext cx="3840000" cy="2160000"/>
        </a:xfrm>
        <a:prstGeom prst="rect">
          <a:avLst/>
        </a:prstGeom>
      </xdr:spPr>
    </xdr:pic>
    <xdr:clientData/>
  </xdr:twoCellAnchor>
  <xdr:twoCellAnchor>
    <xdr:from>
      <xdr:col>1</xdr:col>
      <xdr:colOff>266699</xdr:colOff>
      <xdr:row>248</xdr:row>
      <xdr:rowOff>171450</xdr:rowOff>
    </xdr:from>
    <xdr:to>
      <xdr:col>7</xdr:col>
      <xdr:colOff>542924</xdr:colOff>
      <xdr:row>250</xdr:row>
      <xdr:rowOff>147637</xdr:rowOff>
    </xdr:to>
    <xdr:sp macro="" textlink="">
      <xdr:nvSpPr>
        <xdr:cNvPr id="8" name="9 CuadroTexto">
          <a:extLst>
            <a:ext uri="{FF2B5EF4-FFF2-40B4-BE49-F238E27FC236}">
              <a16:creationId xmlns:a16="http://schemas.microsoft.com/office/drawing/2014/main" id="{00000000-0008-0000-0100-000008000000}"/>
            </a:ext>
          </a:extLst>
        </xdr:cNvPr>
        <xdr:cNvSpPr txBox="1"/>
      </xdr:nvSpPr>
      <xdr:spPr>
        <a:xfrm>
          <a:off x="657224" y="50225325"/>
          <a:ext cx="5229225" cy="3571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s-SV" sz="1100"/>
            <a:t>PASAJE "C" ,</a:t>
          </a:r>
          <a:r>
            <a:rPr lang="es-SV" sz="1100" baseline="0"/>
            <a:t> REQUIERE ALASTADO,CONFORMACION Y REPARAR CUNETAS DE TIERRA</a:t>
          </a:r>
          <a:endParaRPr lang="es-SV" sz="1100"/>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V63"/>
  <sheetViews>
    <sheetView zoomScale="80" zoomScaleNormal="80" workbookViewId="0">
      <pane xSplit="8" ySplit="5" topLeftCell="N9" activePane="bottomRight" state="frozen"/>
      <selection pane="topRight" activeCell="H1" sqref="H1"/>
      <selection pane="bottomLeft" activeCell="A6" sqref="A6"/>
      <selection pane="bottomRight" activeCell="F10" sqref="F10"/>
    </sheetView>
  </sheetViews>
  <sheetFormatPr baseColWidth="10" defaultColWidth="11.42578125" defaultRowHeight="15" x14ac:dyDescent="0.25"/>
  <cols>
    <col min="1" max="1" width="17.85546875" style="1" customWidth="1"/>
    <col min="2" max="2" width="7.85546875" style="1" customWidth="1"/>
    <col min="3" max="7" width="11.42578125" style="1"/>
    <col min="8" max="8" width="13" style="1" customWidth="1"/>
    <col min="9" max="15" width="11.42578125" style="1"/>
    <col min="16" max="16" width="15.85546875" style="1" customWidth="1"/>
    <col min="17" max="17" width="14.42578125" style="1" customWidth="1"/>
    <col min="18" max="18" width="13.5703125" style="1" customWidth="1"/>
    <col min="19" max="16384" width="11.42578125" style="1"/>
  </cols>
  <sheetData>
    <row r="2" spans="1:22" ht="18.75" x14ac:dyDescent="0.3">
      <c r="A2" s="257" t="s">
        <v>0</v>
      </c>
      <c r="B2" s="257"/>
    </row>
    <row r="3" spans="1:22" ht="28.9" customHeight="1" x14ac:dyDescent="0.25">
      <c r="P3" s="583" t="s">
        <v>372</v>
      </c>
      <c r="Q3" s="583"/>
      <c r="R3" s="583"/>
      <c r="S3" s="580" t="s">
        <v>347</v>
      </c>
      <c r="T3" s="580"/>
      <c r="U3" s="580"/>
      <c r="V3" s="580"/>
    </row>
    <row r="4" spans="1:22" ht="45" x14ac:dyDescent="0.25">
      <c r="A4" s="4" t="s">
        <v>1</v>
      </c>
      <c r="B4" s="4"/>
      <c r="C4" s="4"/>
      <c r="D4" s="4"/>
      <c r="E4" s="4" t="s">
        <v>5</v>
      </c>
      <c r="F4" s="4"/>
      <c r="G4" s="4" t="s">
        <v>8</v>
      </c>
      <c r="H4" s="4" t="s">
        <v>20</v>
      </c>
      <c r="J4" s="4" t="s">
        <v>21</v>
      </c>
      <c r="K4" s="4" t="s">
        <v>23</v>
      </c>
      <c r="L4" s="4" t="s">
        <v>22</v>
      </c>
      <c r="M4" s="4" t="s">
        <v>24</v>
      </c>
      <c r="N4" s="4" t="s">
        <v>320</v>
      </c>
      <c r="P4" s="4" t="s">
        <v>324</v>
      </c>
      <c r="Q4" s="4" t="s">
        <v>325</v>
      </c>
      <c r="R4" s="4" t="s">
        <v>326</v>
      </c>
      <c r="S4" s="1" t="s">
        <v>348</v>
      </c>
      <c r="T4" s="1" t="s">
        <v>4</v>
      </c>
      <c r="U4" s="1" t="s">
        <v>349</v>
      </c>
      <c r="V4" s="1" t="s">
        <v>350</v>
      </c>
    </row>
    <row r="5" spans="1:22" x14ac:dyDescent="0.25">
      <c r="A5" s="2" t="s">
        <v>3</v>
      </c>
      <c r="B5" s="2"/>
      <c r="C5" s="2" t="s">
        <v>2</v>
      </c>
      <c r="D5" s="1" t="s">
        <v>4</v>
      </c>
      <c r="E5" s="1" t="s">
        <v>6</v>
      </c>
      <c r="F5" s="1" t="s">
        <v>7</v>
      </c>
      <c r="H5" s="4"/>
    </row>
    <row r="6" spans="1:22" x14ac:dyDescent="0.25">
      <c r="A6" s="1" t="s">
        <v>9</v>
      </c>
      <c r="B6" s="1" t="s">
        <v>331</v>
      </c>
      <c r="C6" s="1">
        <v>64</v>
      </c>
      <c r="D6" s="1">
        <v>1.2</v>
      </c>
      <c r="E6" s="1">
        <v>0.6</v>
      </c>
      <c r="F6" s="1">
        <v>4.7</v>
      </c>
      <c r="G6" s="1">
        <f>+ROUND((E6+F6)/2,2)</f>
        <v>2.65</v>
      </c>
      <c r="H6" s="266">
        <f t="shared" ref="H6:H11" si="0">+ROUND(C6*D6*G6,2)</f>
        <v>203.52</v>
      </c>
      <c r="J6" s="1">
        <v>8</v>
      </c>
      <c r="K6" s="1">
        <v>0.65</v>
      </c>
      <c r="L6" s="1">
        <v>4.24</v>
      </c>
      <c r="M6" s="1">
        <f>+G6</f>
        <v>2.65</v>
      </c>
      <c r="N6" s="1">
        <f>+ROUND(J6*K6*L6*M6,2)</f>
        <v>58.43</v>
      </c>
      <c r="P6" s="1">
        <v>1.2</v>
      </c>
      <c r="Q6" s="1">
        <f>+P6-D6</f>
        <v>0</v>
      </c>
      <c r="R6" s="1">
        <f>ROUND(+C6*Q6*G6,2)</f>
        <v>0</v>
      </c>
    </row>
    <row r="7" spans="1:22" x14ac:dyDescent="0.25">
      <c r="B7" s="1" t="s">
        <v>332</v>
      </c>
      <c r="C7" s="259">
        <v>22.89</v>
      </c>
      <c r="D7" s="1">
        <v>0.8</v>
      </c>
      <c r="E7" s="1">
        <v>1.4</v>
      </c>
      <c r="F7" s="1">
        <v>3</v>
      </c>
      <c r="G7" s="1">
        <f t="shared" ref="G7:G11" si="1">+ROUND((E7+F7)/2,2)</f>
        <v>2.2000000000000002</v>
      </c>
      <c r="H7" s="1">
        <f t="shared" si="0"/>
        <v>40.29</v>
      </c>
      <c r="J7" s="1">
        <v>7</v>
      </c>
      <c r="K7" s="1">
        <v>0.65</v>
      </c>
      <c r="L7" s="1">
        <v>4.24</v>
      </c>
      <c r="M7" s="1">
        <f>+G7</f>
        <v>2.2000000000000002</v>
      </c>
      <c r="N7" s="1">
        <f>+ROUND(J7*K7*L7*M7,2)</f>
        <v>42.44</v>
      </c>
      <c r="P7" s="1">
        <v>1.5</v>
      </c>
      <c r="Q7" s="1">
        <f>+P7-D7</f>
        <v>0.7</v>
      </c>
      <c r="R7" s="1">
        <f>ROUND(+C7*Q7*G7+3.75*0.7*2.2,2)</f>
        <v>41.03</v>
      </c>
    </row>
    <row r="8" spans="1:22" x14ac:dyDescent="0.25">
      <c r="B8" s="1" t="s">
        <v>333</v>
      </c>
      <c r="C8" s="1">
        <v>4</v>
      </c>
      <c r="D8" s="1">
        <v>0.8</v>
      </c>
      <c r="E8" s="1">
        <v>3.5</v>
      </c>
      <c r="F8" s="1">
        <v>3.8</v>
      </c>
      <c r="G8" s="1">
        <f t="shared" si="1"/>
        <v>3.65</v>
      </c>
      <c r="H8" s="1">
        <f t="shared" si="0"/>
        <v>11.68</v>
      </c>
      <c r="R8" s="1">
        <f>-H8</f>
        <v>-11.68</v>
      </c>
    </row>
    <row r="9" spans="1:22" x14ac:dyDescent="0.25">
      <c r="A9" s="1" t="s">
        <v>10</v>
      </c>
      <c r="B9" s="1" t="s">
        <v>334</v>
      </c>
      <c r="C9" s="1">
        <v>51.88</v>
      </c>
      <c r="D9" s="1">
        <v>1.2</v>
      </c>
      <c r="E9" s="1">
        <v>4.7</v>
      </c>
      <c r="F9" s="1">
        <v>7.1</v>
      </c>
      <c r="G9" s="1">
        <f t="shared" si="1"/>
        <v>5.9</v>
      </c>
      <c r="H9" s="1">
        <f t="shared" si="0"/>
        <v>367.31</v>
      </c>
      <c r="S9" s="1">
        <f>51.88-14</f>
        <v>37.880000000000003</v>
      </c>
      <c r="T9" s="1">
        <f>4.1-1.2</f>
        <v>2.8999999999999995</v>
      </c>
      <c r="U9" s="1">
        <v>1.4</v>
      </c>
      <c r="V9" s="265">
        <f>ROUND(+S9*T9*U9,2)</f>
        <v>153.79</v>
      </c>
    </row>
    <row r="10" spans="1:22" x14ac:dyDescent="0.25">
      <c r="B10" s="1" t="s">
        <v>335</v>
      </c>
      <c r="C10" s="1">
        <v>22.91</v>
      </c>
      <c r="D10" s="1">
        <v>0.8</v>
      </c>
      <c r="E10" s="1">
        <v>1.4</v>
      </c>
      <c r="F10" s="1">
        <v>2.5499999999999998</v>
      </c>
      <c r="G10" s="1">
        <f t="shared" si="1"/>
        <v>1.98</v>
      </c>
      <c r="H10" s="1">
        <f t="shared" si="0"/>
        <v>36.29</v>
      </c>
      <c r="J10" s="1">
        <v>3</v>
      </c>
      <c r="K10" s="1">
        <v>0.65</v>
      </c>
      <c r="L10" s="1">
        <v>5.72</v>
      </c>
      <c r="M10" s="1">
        <f>+G8</f>
        <v>3.65</v>
      </c>
      <c r="N10" s="1">
        <f>+ROUND(J10*K10*L10*M10,2)</f>
        <v>40.71</v>
      </c>
      <c r="V10" s="2"/>
    </row>
    <row r="11" spans="1:22" x14ac:dyDescent="0.25">
      <c r="B11" s="1" t="s">
        <v>333</v>
      </c>
      <c r="C11" s="1">
        <v>4</v>
      </c>
      <c r="D11" s="1">
        <v>0.8</v>
      </c>
      <c r="E11" s="1">
        <v>2.5499999999999998</v>
      </c>
      <c r="F11" s="1">
        <v>2.2999999999999998</v>
      </c>
      <c r="G11" s="1">
        <f t="shared" si="1"/>
        <v>2.4300000000000002</v>
      </c>
      <c r="H11" s="1">
        <f t="shared" si="0"/>
        <v>7.78</v>
      </c>
      <c r="R11" s="1">
        <f>-H10</f>
        <v>-36.29</v>
      </c>
      <c r="V11" s="2"/>
    </row>
    <row r="12" spans="1:22" x14ac:dyDescent="0.25">
      <c r="A12" s="1" t="s">
        <v>11</v>
      </c>
      <c r="B12" s="1" t="s">
        <v>351</v>
      </c>
      <c r="C12" s="1">
        <v>33.71</v>
      </c>
      <c r="D12" s="1">
        <v>1.2</v>
      </c>
      <c r="E12" s="1">
        <v>5.6</v>
      </c>
      <c r="F12" s="1">
        <v>6.2</v>
      </c>
      <c r="G12" s="1">
        <f t="shared" ref="G12:G16" si="2">+ROUND((E12+F12)/2,2)</f>
        <v>5.9</v>
      </c>
      <c r="H12" s="1">
        <f t="shared" ref="H12:H16" si="3">+ROUND(C12*D12*G12,2)</f>
        <v>238.67</v>
      </c>
      <c r="P12" s="1">
        <v>1.44</v>
      </c>
      <c r="Q12" s="1">
        <f t="shared" ref="Q12:Q17" si="4">+P12-D12</f>
        <v>0.24</v>
      </c>
      <c r="R12" s="1">
        <f>ROUND(+C12*Q12*G12,2)</f>
        <v>47.73</v>
      </c>
      <c r="S12" s="1">
        <v>33.71</v>
      </c>
      <c r="T12" s="260">
        <v>2.56</v>
      </c>
      <c r="U12" s="1">
        <v>0.9</v>
      </c>
      <c r="V12" s="265">
        <f>ROUND(+S12*T12*U12,2)</f>
        <v>77.67</v>
      </c>
    </row>
    <row r="13" spans="1:22" x14ac:dyDescent="0.25">
      <c r="B13" s="1" t="s">
        <v>327</v>
      </c>
      <c r="C13" s="1">
        <v>67.62</v>
      </c>
      <c r="D13" s="1">
        <v>1.2</v>
      </c>
      <c r="E13" s="1">
        <v>7.1</v>
      </c>
      <c r="F13" s="1">
        <v>4.75</v>
      </c>
      <c r="G13" s="1">
        <f t="shared" si="2"/>
        <v>5.93</v>
      </c>
      <c r="H13" s="1">
        <f t="shared" si="3"/>
        <v>481.18</v>
      </c>
      <c r="P13" s="1">
        <v>1.44</v>
      </c>
      <c r="Q13" s="1">
        <f t="shared" si="4"/>
        <v>0.24</v>
      </c>
      <c r="R13" s="1">
        <f>ROUND(+C13*Q13*G13,2)</f>
        <v>96.24</v>
      </c>
      <c r="S13" s="260">
        <v>50</v>
      </c>
      <c r="T13" s="260">
        <v>2.56</v>
      </c>
      <c r="U13" s="260">
        <v>1.4</v>
      </c>
      <c r="V13" s="265">
        <f>ROUND(+S13*T13*U13,2)</f>
        <v>179.2</v>
      </c>
    </row>
    <row r="14" spans="1:22" x14ac:dyDescent="0.25">
      <c r="B14" s="1" t="s">
        <v>328</v>
      </c>
      <c r="C14" s="1">
        <v>10.35</v>
      </c>
      <c r="D14" s="1">
        <v>1.2</v>
      </c>
      <c r="E14" s="1">
        <v>4.75</v>
      </c>
      <c r="F14" s="1">
        <v>5.3</v>
      </c>
      <c r="G14" s="1">
        <f t="shared" si="2"/>
        <v>5.03</v>
      </c>
      <c r="H14" s="1">
        <f t="shared" si="3"/>
        <v>62.47</v>
      </c>
      <c r="P14" s="1">
        <v>1</v>
      </c>
      <c r="Q14" s="1">
        <f t="shared" si="4"/>
        <v>-0.19999999999999996</v>
      </c>
      <c r="R14" s="1">
        <f>ROUND(+C14*Q14*G14,2)</f>
        <v>-10.41</v>
      </c>
    </row>
    <row r="15" spans="1:22" x14ac:dyDescent="0.25">
      <c r="B15" s="1" t="s">
        <v>329</v>
      </c>
      <c r="C15" s="1">
        <v>94.49</v>
      </c>
      <c r="D15" s="1">
        <v>0.8</v>
      </c>
      <c r="E15" s="1">
        <v>1.4</v>
      </c>
      <c r="F15" s="1">
        <v>2.9</v>
      </c>
      <c r="G15" s="1">
        <f t="shared" si="2"/>
        <v>2.15</v>
      </c>
      <c r="H15" s="266">
        <f t="shared" si="3"/>
        <v>162.52000000000001</v>
      </c>
      <c r="J15" s="1">
        <v>14</v>
      </c>
      <c r="K15" s="1">
        <v>0.65</v>
      </c>
      <c r="L15" s="1">
        <v>5.17</v>
      </c>
      <c r="M15" s="1">
        <f>+G15</f>
        <v>2.15</v>
      </c>
      <c r="N15" s="1">
        <f>+ROUND(J15*K15*L15*M15,2)</f>
        <v>101.15</v>
      </c>
      <c r="P15" s="1">
        <v>1</v>
      </c>
      <c r="Q15" s="1">
        <f t="shared" si="4"/>
        <v>0.19999999999999996</v>
      </c>
      <c r="R15" s="1">
        <f>ROUND(+C15*Q15*G15,2)</f>
        <v>40.630000000000003</v>
      </c>
    </row>
    <row r="16" spans="1:22" x14ac:dyDescent="0.25">
      <c r="B16" s="1" t="s">
        <v>330</v>
      </c>
      <c r="C16" s="1">
        <v>4</v>
      </c>
      <c r="D16" s="1">
        <v>0.8</v>
      </c>
      <c r="E16" s="1">
        <v>3.6</v>
      </c>
      <c r="F16" s="1">
        <v>3.7</v>
      </c>
      <c r="G16" s="1">
        <f t="shared" si="2"/>
        <v>3.65</v>
      </c>
      <c r="H16" s="266">
        <f t="shared" si="3"/>
        <v>11.68</v>
      </c>
      <c r="P16" s="1">
        <v>1</v>
      </c>
      <c r="Q16" s="1">
        <f t="shared" si="4"/>
        <v>0.19999999999999996</v>
      </c>
      <c r="R16" s="1">
        <f>ROUND(+C16*Q16*G16,2)</f>
        <v>2.92</v>
      </c>
    </row>
    <row r="17" spans="1:22" x14ac:dyDescent="0.25">
      <c r="A17" s="1" t="s">
        <v>12</v>
      </c>
      <c r="B17" s="1" t="s">
        <v>336</v>
      </c>
      <c r="C17" s="259">
        <v>34.770000000000003</v>
      </c>
      <c r="D17" s="1">
        <v>1.2</v>
      </c>
      <c r="E17" s="1">
        <v>5.3</v>
      </c>
      <c r="F17" s="1">
        <v>1.4</v>
      </c>
      <c r="G17" s="1">
        <f>+ROUND((E17+F17)/2,2)</f>
        <v>3.35</v>
      </c>
      <c r="H17" s="1">
        <f>+ROUND(C17*D17*G17,2)</f>
        <v>139.78</v>
      </c>
      <c r="P17" s="1">
        <v>1.35</v>
      </c>
      <c r="Q17" s="1">
        <f t="shared" si="4"/>
        <v>0.15000000000000013</v>
      </c>
      <c r="R17" s="1">
        <f>ROUND(+C17*Q17*G17+2.49*0.15*3.35,2)</f>
        <v>18.72</v>
      </c>
    </row>
    <row r="18" spans="1:22" x14ac:dyDescent="0.25">
      <c r="B18" s="1" t="s">
        <v>333</v>
      </c>
      <c r="C18" s="1">
        <v>23.09</v>
      </c>
      <c r="D18" s="1">
        <v>1.2</v>
      </c>
      <c r="E18" s="1">
        <v>1.4</v>
      </c>
      <c r="F18" s="1">
        <v>2.4</v>
      </c>
      <c r="G18" s="1">
        <f>+ROUND((E18+F18)/2,2)</f>
        <v>1.9</v>
      </c>
      <c r="H18" s="1">
        <f>+ROUND(C18*D18*G18,2)</f>
        <v>52.65</v>
      </c>
      <c r="R18" s="1">
        <f>-H18</f>
        <v>-52.65</v>
      </c>
    </row>
    <row r="19" spans="1:22" x14ac:dyDescent="0.25">
      <c r="A19" s="1" t="s">
        <v>13</v>
      </c>
      <c r="B19" s="1" t="s">
        <v>337</v>
      </c>
      <c r="C19" s="1">
        <v>35.89</v>
      </c>
      <c r="D19" s="1">
        <v>1.2</v>
      </c>
      <c r="E19" s="1">
        <v>2.0499999999999998</v>
      </c>
      <c r="F19" s="1">
        <v>4</v>
      </c>
      <c r="G19" s="1">
        <f t="shared" ref="G19:G29" si="5">+ROUND((E19+F19)/2,2)</f>
        <v>3.03</v>
      </c>
      <c r="H19" s="266">
        <f t="shared" ref="H19:H29" si="6">+ROUND(C19*D19*G19,2)</f>
        <v>130.5</v>
      </c>
      <c r="J19" s="1">
        <v>1</v>
      </c>
      <c r="K19" s="1">
        <v>0.65</v>
      </c>
      <c r="L19" s="1">
        <v>4.8099999999999996</v>
      </c>
      <c r="M19" s="1">
        <f>+G19</f>
        <v>3.03</v>
      </c>
      <c r="N19" s="1">
        <f>+ROUND(J19*K19*L19*M19,2)</f>
        <v>9.4700000000000006</v>
      </c>
      <c r="P19" s="1">
        <v>0.9</v>
      </c>
      <c r="Q19" s="1">
        <f t="shared" ref="Q19:Q29" si="7">+P19-D19</f>
        <v>-0.29999999999999993</v>
      </c>
      <c r="R19" s="1">
        <f t="shared" ref="R19:R26" si="8">ROUND(+C19*Q19*G19,2)</f>
        <v>-32.619999999999997</v>
      </c>
    </row>
    <row r="20" spans="1:22" x14ac:dyDescent="0.25">
      <c r="B20" s="1" t="s">
        <v>338</v>
      </c>
      <c r="C20" s="1">
        <v>10.69</v>
      </c>
      <c r="D20" s="1">
        <v>1.2</v>
      </c>
      <c r="E20" s="1">
        <v>3.8</v>
      </c>
      <c r="F20" s="1">
        <v>4.6900000000000004</v>
      </c>
      <c r="G20" s="1">
        <f t="shared" si="5"/>
        <v>4.25</v>
      </c>
      <c r="H20" s="266">
        <f t="shared" si="6"/>
        <v>54.52</v>
      </c>
      <c r="P20" s="1">
        <v>0.9</v>
      </c>
      <c r="Q20" s="1">
        <f t="shared" si="7"/>
        <v>-0.29999999999999993</v>
      </c>
      <c r="R20" s="1">
        <f t="shared" si="8"/>
        <v>-13.63</v>
      </c>
    </row>
    <row r="21" spans="1:22" x14ac:dyDescent="0.25">
      <c r="A21" s="1" t="s">
        <v>14</v>
      </c>
      <c r="B21" s="1" t="s">
        <v>339</v>
      </c>
      <c r="C21" s="1">
        <v>34.26</v>
      </c>
      <c r="D21" s="1">
        <v>0.7</v>
      </c>
      <c r="E21" s="1">
        <v>0.6</v>
      </c>
      <c r="F21" s="1">
        <v>1.4</v>
      </c>
      <c r="G21" s="1">
        <f t="shared" si="5"/>
        <v>1</v>
      </c>
      <c r="H21" s="1">
        <f t="shared" si="6"/>
        <v>23.98</v>
      </c>
      <c r="J21" s="1">
        <v>8</v>
      </c>
      <c r="K21" s="1">
        <v>0.65</v>
      </c>
      <c r="L21" s="1">
        <v>5.43</v>
      </c>
      <c r="M21" s="1">
        <f>+G21</f>
        <v>1</v>
      </c>
      <c r="N21" s="1">
        <f>+ROUND(J21*K21*L21*M21,2)</f>
        <v>28.24</v>
      </c>
      <c r="P21" s="1">
        <v>0.9</v>
      </c>
      <c r="Q21" s="1">
        <f t="shared" si="7"/>
        <v>0.20000000000000007</v>
      </c>
      <c r="R21" s="1">
        <f t="shared" si="8"/>
        <v>6.85</v>
      </c>
    </row>
    <row r="22" spans="1:22" x14ac:dyDescent="0.25">
      <c r="B22" s="1" t="s">
        <v>340</v>
      </c>
      <c r="C22" s="1">
        <v>53.29</v>
      </c>
      <c r="D22" s="1">
        <v>0.7</v>
      </c>
      <c r="E22" s="1">
        <v>1.4</v>
      </c>
      <c r="F22" s="1">
        <v>2.0499999999999998</v>
      </c>
      <c r="G22" s="1">
        <f t="shared" si="5"/>
        <v>1.73</v>
      </c>
      <c r="H22" s="1">
        <f t="shared" si="6"/>
        <v>64.53</v>
      </c>
      <c r="J22" s="1">
        <v>10</v>
      </c>
      <c r="K22" s="1">
        <v>0.65</v>
      </c>
      <c r="L22" s="1">
        <v>5.79</v>
      </c>
      <c r="M22" s="1">
        <f>+G22</f>
        <v>1.73</v>
      </c>
      <c r="N22" s="1">
        <f>+ROUND(J22*K22*L22*M22,2)</f>
        <v>65.11</v>
      </c>
      <c r="P22" s="1">
        <v>0.9</v>
      </c>
      <c r="Q22" s="1">
        <f t="shared" si="7"/>
        <v>0.20000000000000007</v>
      </c>
      <c r="R22" s="1">
        <f t="shared" si="8"/>
        <v>18.440000000000001</v>
      </c>
    </row>
    <row r="23" spans="1:22" x14ac:dyDescent="0.25">
      <c r="B23" s="1" t="s">
        <v>341</v>
      </c>
      <c r="C23" s="1">
        <v>30.09</v>
      </c>
      <c r="D23" s="1">
        <v>0.7</v>
      </c>
      <c r="E23" s="1">
        <v>0.6</v>
      </c>
      <c r="F23" s="1">
        <v>2.0499999999999998</v>
      </c>
      <c r="G23" s="1">
        <f t="shared" si="5"/>
        <v>1.33</v>
      </c>
      <c r="H23" s="266">
        <f t="shared" si="6"/>
        <v>28.01</v>
      </c>
      <c r="J23" s="1">
        <v>6</v>
      </c>
      <c r="K23" s="1">
        <v>0.65</v>
      </c>
      <c r="L23" s="1">
        <v>4.41</v>
      </c>
      <c r="M23" s="1">
        <f>+G23</f>
        <v>1.33</v>
      </c>
      <c r="N23" s="1">
        <f>+ROUND(J23*K23*L23*M23,2)</f>
        <v>22.87</v>
      </c>
      <c r="P23" s="1">
        <v>0.9</v>
      </c>
      <c r="Q23" s="1">
        <f t="shared" si="7"/>
        <v>0.20000000000000007</v>
      </c>
      <c r="R23" s="1">
        <f t="shared" si="8"/>
        <v>8</v>
      </c>
    </row>
    <row r="24" spans="1:22" x14ac:dyDescent="0.25">
      <c r="A24" s="1" t="s">
        <v>15</v>
      </c>
      <c r="B24" s="1" t="s">
        <v>342</v>
      </c>
      <c r="C24" s="1">
        <v>31.35</v>
      </c>
      <c r="D24" s="1">
        <v>0.7</v>
      </c>
      <c r="E24" s="1">
        <v>1</v>
      </c>
      <c r="F24" s="1">
        <v>1.4</v>
      </c>
      <c r="G24" s="1">
        <f t="shared" si="5"/>
        <v>1.2</v>
      </c>
      <c r="H24" s="1">
        <f t="shared" si="6"/>
        <v>26.33</v>
      </c>
      <c r="J24" s="1">
        <v>8</v>
      </c>
      <c r="K24" s="1">
        <v>0.65</v>
      </c>
      <c r="L24" s="1">
        <v>10.06</v>
      </c>
      <c r="M24" s="1">
        <f>+G24</f>
        <v>1.2</v>
      </c>
      <c r="N24" s="1">
        <f>+ROUND(J24*K24*L24*M24,2)</f>
        <v>62.77</v>
      </c>
      <c r="P24" s="1">
        <v>0.9</v>
      </c>
      <c r="Q24" s="1">
        <f t="shared" si="7"/>
        <v>0.20000000000000007</v>
      </c>
      <c r="R24" s="1">
        <f t="shared" si="8"/>
        <v>7.52</v>
      </c>
    </row>
    <row r="25" spans="1:22" x14ac:dyDescent="0.25">
      <c r="A25" s="1" t="s">
        <v>16</v>
      </c>
      <c r="B25" s="1" t="s">
        <v>343</v>
      </c>
      <c r="C25" s="1">
        <v>53.2</v>
      </c>
      <c r="D25" s="1">
        <v>1.2</v>
      </c>
      <c r="E25" s="1">
        <v>4.4000000000000004</v>
      </c>
      <c r="F25" s="1">
        <v>3.8</v>
      </c>
      <c r="G25" s="1">
        <f t="shared" si="5"/>
        <v>4.0999999999999996</v>
      </c>
      <c r="H25" s="266">
        <f t="shared" si="6"/>
        <v>261.74</v>
      </c>
      <c r="J25" s="1">
        <v>10</v>
      </c>
      <c r="K25" s="1">
        <v>0.65</v>
      </c>
      <c r="L25" s="1">
        <v>5.89</v>
      </c>
      <c r="M25" s="1">
        <f>+G25</f>
        <v>4.0999999999999996</v>
      </c>
      <c r="N25" s="1">
        <f>+ROUND(J25*K25*L25*M25,2)</f>
        <v>156.97</v>
      </c>
      <c r="P25" s="1">
        <v>0.9</v>
      </c>
      <c r="Q25" s="1">
        <f t="shared" si="7"/>
        <v>-0.29999999999999993</v>
      </c>
      <c r="R25" s="1">
        <f t="shared" si="8"/>
        <v>-65.44</v>
      </c>
    </row>
    <row r="26" spans="1:22" x14ac:dyDescent="0.25">
      <c r="A26" s="1" t="s">
        <v>17</v>
      </c>
      <c r="B26" s="1" t="s">
        <v>344</v>
      </c>
      <c r="C26" s="259">
        <v>46.78</v>
      </c>
      <c r="D26" s="1">
        <v>1.2</v>
      </c>
      <c r="E26" s="1">
        <v>2.95</v>
      </c>
      <c r="F26" s="1">
        <v>4.4000000000000004</v>
      </c>
      <c r="G26" s="1">
        <f t="shared" si="5"/>
        <v>3.68</v>
      </c>
      <c r="H26" s="266">
        <f t="shared" si="6"/>
        <v>206.58</v>
      </c>
      <c r="P26" s="1">
        <v>0.9</v>
      </c>
      <c r="Q26" s="1">
        <f t="shared" si="7"/>
        <v>-0.29999999999999993</v>
      </c>
      <c r="R26" s="1">
        <f t="shared" si="8"/>
        <v>-51.65</v>
      </c>
    </row>
    <row r="27" spans="1:22" x14ac:dyDescent="0.25">
      <c r="B27" s="1" t="s">
        <v>345</v>
      </c>
      <c r="C27" s="259">
        <v>32.75</v>
      </c>
      <c r="D27" s="1">
        <v>0.7</v>
      </c>
      <c r="E27" s="1">
        <v>1.4</v>
      </c>
      <c r="F27" s="1">
        <v>2.6</v>
      </c>
      <c r="G27" s="1">
        <f t="shared" si="5"/>
        <v>2</v>
      </c>
      <c r="H27" s="266">
        <f t="shared" si="6"/>
        <v>45.85</v>
      </c>
      <c r="J27" s="1">
        <v>3</v>
      </c>
      <c r="K27" s="1">
        <v>0.65</v>
      </c>
      <c r="L27" s="1">
        <v>11.13</v>
      </c>
      <c r="M27" s="1">
        <f>+G27</f>
        <v>2</v>
      </c>
      <c r="N27" s="1">
        <f>+ROUND(J27*K27*L27*M27,2)</f>
        <v>43.41</v>
      </c>
      <c r="P27" s="1">
        <v>0.9</v>
      </c>
      <c r="Q27" s="1">
        <f t="shared" si="7"/>
        <v>0.20000000000000007</v>
      </c>
      <c r="R27" s="1">
        <f>ROUND(+C27*Q27*G27+3.74*2*0.2,2)</f>
        <v>14.6</v>
      </c>
    </row>
    <row r="28" spans="1:22" x14ac:dyDescent="0.25">
      <c r="B28" s="1" t="s">
        <v>333</v>
      </c>
      <c r="C28" s="1">
        <v>4</v>
      </c>
      <c r="D28" s="1">
        <v>0.7</v>
      </c>
      <c r="E28" s="1">
        <v>2.6</v>
      </c>
      <c r="F28" s="1">
        <v>2.65</v>
      </c>
      <c r="G28" s="1">
        <f t="shared" si="5"/>
        <v>2.63</v>
      </c>
      <c r="H28" s="1">
        <f t="shared" si="6"/>
        <v>7.36</v>
      </c>
      <c r="R28" s="1">
        <f>-H28</f>
        <v>-7.36</v>
      </c>
    </row>
    <row r="29" spans="1:22" x14ac:dyDescent="0.25">
      <c r="A29" s="1" t="s">
        <v>18</v>
      </c>
      <c r="B29" s="1" t="s">
        <v>346</v>
      </c>
      <c r="C29" s="1">
        <v>34.79</v>
      </c>
      <c r="D29" s="1">
        <v>0.7</v>
      </c>
      <c r="E29" s="1">
        <v>0.6</v>
      </c>
      <c r="F29" s="1">
        <v>2.95</v>
      </c>
      <c r="G29" s="1">
        <f t="shared" si="5"/>
        <v>1.78</v>
      </c>
      <c r="H29" s="266">
        <f t="shared" si="6"/>
        <v>43.35</v>
      </c>
      <c r="J29" s="1">
        <v>5</v>
      </c>
      <c r="K29" s="1">
        <v>0.65</v>
      </c>
      <c r="L29" s="1">
        <v>6.4</v>
      </c>
      <c r="P29" s="1">
        <v>0.7</v>
      </c>
      <c r="Q29" s="1">
        <f t="shared" si="7"/>
        <v>0</v>
      </c>
      <c r="R29" s="1">
        <f t="shared" ref="R29" si="9">+C29*Q29*G29</f>
        <v>0</v>
      </c>
    </row>
    <row r="30" spans="1:22" x14ac:dyDescent="0.25">
      <c r="A30" s="1" t="s">
        <v>19</v>
      </c>
      <c r="C30" s="2">
        <f>SUM(C6:C29)</f>
        <v>804.8</v>
      </c>
      <c r="H30" s="5">
        <f>SUM(H6:H29)</f>
        <v>2708.57</v>
      </c>
      <c r="J30" s="2">
        <f>SUM(J6:J29)</f>
        <v>83</v>
      </c>
      <c r="N30" s="5">
        <f>SUM(N6:N29)</f>
        <v>631.56999999999994</v>
      </c>
      <c r="R30" s="5">
        <f>SUM(R6:R29)</f>
        <v>20.949999999999989</v>
      </c>
      <c r="V30" s="5">
        <f>SUM(V6:V29)</f>
        <v>410.65999999999997</v>
      </c>
    </row>
    <row r="32" spans="1:22" x14ac:dyDescent="0.25">
      <c r="C32" s="2" t="s">
        <v>47</v>
      </c>
    </row>
    <row r="34" spans="1:21" ht="30" x14ac:dyDescent="0.25">
      <c r="A34" s="3" t="s">
        <v>51</v>
      </c>
      <c r="B34" s="3"/>
      <c r="C34" s="4" t="s">
        <v>25</v>
      </c>
      <c r="D34" s="4" t="s">
        <v>46</v>
      </c>
      <c r="E34" s="4" t="s">
        <v>49</v>
      </c>
      <c r="F34" s="4" t="s">
        <v>50</v>
      </c>
      <c r="G34" s="4" t="s">
        <v>45</v>
      </c>
      <c r="H34" s="4" t="s">
        <v>48</v>
      </c>
      <c r="P34" s="262" t="s">
        <v>352</v>
      </c>
    </row>
    <row r="35" spans="1:21" x14ac:dyDescent="0.25">
      <c r="A35" s="1" t="s">
        <v>26</v>
      </c>
      <c r="C35" s="1">
        <v>2</v>
      </c>
      <c r="D35" s="1">
        <f>+ROUND((3.1416*C35*C35)/4,2)</f>
        <v>3.14</v>
      </c>
      <c r="E35" s="1">
        <v>2.95</v>
      </c>
      <c r="F35" s="1">
        <v>0.5</v>
      </c>
      <c r="G35" s="1">
        <f>+ROUND(E35*F35,2)</f>
        <v>1.48</v>
      </c>
      <c r="H35" s="1">
        <f>+ROUND(D35*G35,2)</f>
        <v>4.6500000000000004</v>
      </c>
      <c r="P35" s="1" t="s">
        <v>1</v>
      </c>
      <c r="R35" s="1">
        <f>+R30+V30</f>
        <v>431.60999999999996</v>
      </c>
      <c r="S35" s="1">
        <v>9.51</v>
      </c>
      <c r="T35" s="1">
        <f>+R35*S35</f>
        <v>4104.6110999999992</v>
      </c>
    </row>
    <row r="36" spans="1:21" x14ac:dyDescent="0.25">
      <c r="A36" s="1" t="s">
        <v>27</v>
      </c>
      <c r="C36" s="1">
        <v>2</v>
      </c>
      <c r="D36" s="1">
        <f>+ROUND((3.1416*C36*C36)/4,2)</f>
        <v>3.14</v>
      </c>
      <c r="E36" s="1">
        <v>4.4000000000000004</v>
      </c>
      <c r="F36" s="1">
        <v>0.5</v>
      </c>
      <c r="G36" s="1">
        <f t="shared" ref="G36:G53" si="10">+ROUND(E36*F36,2)</f>
        <v>2.2000000000000002</v>
      </c>
      <c r="H36" s="1">
        <f t="shared" ref="H36:H53" si="11">+ROUND(D36*G36,2)</f>
        <v>6.91</v>
      </c>
      <c r="P36" s="1" t="s">
        <v>353</v>
      </c>
      <c r="R36" s="1">
        <f>+R35</f>
        <v>431.60999999999996</v>
      </c>
      <c r="S36" s="1">
        <v>11.74</v>
      </c>
      <c r="T36" s="1">
        <f>+R36*S36</f>
        <v>5067.1013999999996</v>
      </c>
    </row>
    <row r="37" spans="1:21" ht="60" x14ac:dyDescent="0.25">
      <c r="A37" s="1" t="s">
        <v>28</v>
      </c>
      <c r="C37" s="1">
        <v>2</v>
      </c>
      <c r="D37" s="1">
        <f t="shared" ref="D37:D53" si="12">+ROUND((3.1416*C37*C37)/4,2)</f>
        <v>3.14</v>
      </c>
      <c r="E37" s="1">
        <v>1.4</v>
      </c>
      <c r="F37" s="1">
        <v>0.5</v>
      </c>
      <c r="G37" s="1">
        <f t="shared" si="10"/>
        <v>0.7</v>
      </c>
      <c r="H37" s="1">
        <f t="shared" si="11"/>
        <v>2.2000000000000002</v>
      </c>
      <c r="P37" s="261" t="s">
        <v>354</v>
      </c>
    </row>
    <row r="38" spans="1:21" x14ac:dyDescent="0.25">
      <c r="A38" s="1" t="s">
        <v>29</v>
      </c>
      <c r="C38" s="1">
        <v>2</v>
      </c>
      <c r="D38" s="1">
        <f t="shared" si="12"/>
        <v>3.14</v>
      </c>
      <c r="E38" s="1">
        <v>3.8</v>
      </c>
      <c r="F38" s="1">
        <v>0.5</v>
      </c>
      <c r="G38" s="1">
        <f t="shared" si="10"/>
        <v>1.9</v>
      </c>
      <c r="H38" s="1">
        <f t="shared" si="11"/>
        <v>5.97</v>
      </c>
      <c r="P38" s="2" t="s">
        <v>484</v>
      </c>
      <c r="T38" s="2" t="s">
        <v>373</v>
      </c>
      <c r="U38" s="2" t="s">
        <v>374</v>
      </c>
    </row>
    <row r="39" spans="1:21" x14ac:dyDescent="0.25">
      <c r="A39" s="1" t="s">
        <v>30</v>
      </c>
      <c r="C39" s="1">
        <v>2.2999999999999998</v>
      </c>
      <c r="D39" s="1">
        <f t="shared" si="12"/>
        <v>4.1500000000000004</v>
      </c>
      <c r="E39" s="1">
        <v>5.6</v>
      </c>
      <c r="F39" s="1">
        <v>0.5</v>
      </c>
      <c r="G39" s="1">
        <f t="shared" si="10"/>
        <v>2.8</v>
      </c>
      <c r="H39" s="1">
        <f t="shared" si="11"/>
        <v>11.62</v>
      </c>
      <c r="P39" s="1" t="s">
        <v>355</v>
      </c>
      <c r="R39" s="1">
        <v>10</v>
      </c>
      <c r="S39" s="1">
        <v>10</v>
      </c>
    </row>
    <row r="40" spans="1:21" x14ac:dyDescent="0.25">
      <c r="A40" s="1" t="s">
        <v>31</v>
      </c>
      <c r="C40" s="1">
        <v>2</v>
      </c>
      <c r="D40" s="1">
        <f t="shared" si="12"/>
        <v>3.14</v>
      </c>
      <c r="E40" s="1">
        <v>2.0499999999999998</v>
      </c>
      <c r="F40" s="1">
        <v>0.5</v>
      </c>
      <c r="G40" s="1">
        <f t="shared" si="10"/>
        <v>1.03</v>
      </c>
      <c r="H40" s="1">
        <f t="shared" si="11"/>
        <v>3.23</v>
      </c>
      <c r="T40" s="264"/>
    </row>
    <row r="41" spans="1:21" x14ac:dyDescent="0.25">
      <c r="A41" s="1" t="s">
        <v>32</v>
      </c>
      <c r="C41" s="1">
        <v>2</v>
      </c>
      <c r="D41" s="1">
        <f t="shared" si="12"/>
        <v>3.14</v>
      </c>
      <c r="E41" s="1">
        <v>4.7</v>
      </c>
      <c r="F41" s="1">
        <v>0.5</v>
      </c>
      <c r="G41" s="1">
        <f t="shared" si="10"/>
        <v>2.35</v>
      </c>
      <c r="H41" s="1">
        <f t="shared" si="11"/>
        <v>7.38</v>
      </c>
      <c r="P41" s="1" t="s">
        <v>356</v>
      </c>
      <c r="R41" s="1">
        <f>+Q41*0.6*0.8</f>
        <v>0</v>
      </c>
    </row>
    <row r="42" spans="1:21" x14ac:dyDescent="0.25">
      <c r="A42" s="1" t="s">
        <v>33</v>
      </c>
      <c r="C42" s="1">
        <v>2</v>
      </c>
      <c r="D42" s="1">
        <f t="shared" si="12"/>
        <v>3.14</v>
      </c>
      <c r="E42" s="1">
        <v>7.1</v>
      </c>
      <c r="F42" s="1">
        <v>0.5</v>
      </c>
      <c r="G42" s="1">
        <f t="shared" si="10"/>
        <v>3.55</v>
      </c>
      <c r="H42" s="1">
        <f t="shared" si="11"/>
        <v>11.15</v>
      </c>
      <c r="P42" s="1" t="s">
        <v>357</v>
      </c>
      <c r="Q42" s="259">
        <v>15</v>
      </c>
      <c r="R42" s="1">
        <f t="shared" ref="R42:R44" si="13">+Q42*0.6*0.8</f>
        <v>7.2</v>
      </c>
      <c r="T42" s="259">
        <v>15</v>
      </c>
    </row>
    <row r="43" spans="1:21" x14ac:dyDescent="0.25">
      <c r="A43" s="1" t="s">
        <v>34</v>
      </c>
      <c r="C43" s="1">
        <v>2</v>
      </c>
      <c r="D43" s="1">
        <f t="shared" si="12"/>
        <v>3.14</v>
      </c>
      <c r="E43" s="1">
        <v>4.75</v>
      </c>
      <c r="F43" s="1">
        <v>0.5</v>
      </c>
      <c r="G43" s="1">
        <f t="shared" si="10"/>
        <v>2.38</v>
      </c>
      <c r="H43" s="1">
        <f t="shared" si="11"/>
        <v>7.47</v>
      </c>
      <c r="P43" s="1" t="s">
        <v>358</v>
      </c>
      <c r="Q43" s="259">
        <v>53.2</v>
      </c>
      <c r="R43" s="1">
        <f t="shared" si="13"/>
        <v>25.536000000000001</v>
      </c>
      <c r="T43" s="259">
        <v>53.2</v>
      </c>
      <c r="U43" s="1">
        <v>53.2</v>
      </c>
    </row>
    <row r="44" spans="1:21" x14ac:dyDescent="0.25">
      <c r="A44" s="1" t="s">
        <v>35</v>
      </c>
      <c r="C44" s="1">
        <v>2.2999999999999998</v>
      </c>
      <c r="D44" s="1">
        <f t="shared" si="12"/>
        <v>4.1500000000000004</v>
      </c>
      <c r="E44" s="1">
        <v>5.3</v>
      </c>
      <c r="F44" s="1">
        <v>0.5</v>
      </c>
      <c r="G44" s="1">
        <f t="shared" si="10"/>
        <v>2.65</v>
      </c>
      <c r="H44" s="1">
        <f t="shared" si="11"/>
        <v>11</v>
      </c>
      <c r="P44" s="1" t="s">
        <v>359</v>
      </c>
      <c r="Q44" s="259">
        <f>10+53.29+30.09</f>
        <v>93.38</v>
      </c>
      <c r="R44" s="1">
        <f t="shared" si="13"/>
        <v>44.822400000000002</v>
      </c>
      <c r="T44" s="259">
        <f>10+53.29+30.09</f>
        <v>93.38</v>
      </c>
    </row>
    <row r="45" spans="1:21" x14ac:dyDescent="0.25">
      <c r="A45" s="1" t="s">
        <v>36</v>
      </c>
      <c r="C45" s="1">
        <v>2</v>
      </c>
      <c r="D45" s="1">
        <f t="shared" si="12"/>
        <v>3.14</v>
      </c>
      <c r="E45" s="1">
        <v>1.4</v>
      </c>
      <c r="F45" s="1">
        <v>0.5</v>
      </c>
      <c r="G45" s="1">
        <f t="shared" si="10"/>
        <v>0.7</v>
      </c>
      <c r="H45" s="1">
        <f t="shared" si="11"/>
        <v>2.2000000000000002</v>
      </c>
      <c r="P45" s="1" t="s">
        <v>361</v>
      </c>
      <c r="Q45" s="259">
        <f>67.62+33.71</f>
        <v>101.33000000000001</v>
      </c>
      <c r="R45" s="1">
        <f>+Q45*0.6*0.8</f>
        <v>48.638400000000004</v>
      </c>
      <c r="T45" s="1">
        <f>67.62+33.71</f>
        <v>101.33000000000001</v>
      </c>
      <c r="U45" s="1">
        <v>33.71</v>
      </c>
    </row>
    <row r="46" spans="1:21" x14ac:dyDescent="0.25">
      <c r="A46" s="1" t="s">
        <v>37</v>
      </c>
      <c r="C46" s="1">
        <v>2</v>
      </c>
      <c r="D46" s="1">
        <f t="shared" si="12"/>
        <v>3.14</v>
      </c>
      <c r="E46" s="1">
        <v>1.4</v>
      </c>
      <c r="F46" s="1">
        <v>0.5</v>
      </c>
      <c r="G46" s="1">
        <f t="shared" si="10"/>
        <v>0.7</v>
      </c>
      <c r="H46" s="1">
        <f t="shared" si="11"/>
        <v>2.2000000000000002</v>
      </c>
      <c r="P46" s="1" t="s">
        <v>362</v>
      </c>
      <c r="Q46" s="259">
        <v>64</v>
      </c>
      <c r="R46" s="1">
        <f>+Q46*0.6*0.8</f>
        <v>30.72</v>
      </c>
    </row>
    <row r="47" spans="1:21" x14ac:dyDescent="0.25">
      <c r="A47" s="1" t="s">
        <v>38</v>
      </c>
      <c r="C47" s="1">
        <v>2</v>
      </c>
      <c r="D47" s="1">
        <f t="shared" si="12"/>
        <v>3.14</v>
      </c>
      <c r="E47" s="1">
        <v>2.6</v>
      </c>
      <c r="F47" s="1">
        <v>0.5</v>
      </c>
      <c r="G47" s="1">
        <f t="shared" si="10"/>
        <v>1.3</v>
      </c>
      <c r="H47" s="1">
        <f t="shared" si="11"/>
        <v>4.08</v>
      </c>
      <c r="P47" s="1" t="s">
        <v>363</v>
      </c>
      <c r="Q47" s="259">
        <v>51.88</v>
      </c>
      <c r="R47" s="1">
        <f>+Q47*0.6*0.8</f>
        <v>24.9024</v>
      </c>
      <c r="T47" s="1">
        <v>51.88</v>
      </c>
      <c r="U47" s="1">
        <v>10.69</v>
      </c>
    </row>
    <row r="48" spans="1:21" x14ac:dyDescent="0.25">
      <c r="A48" s="1" t="s">
        <v>39</v>
      </c>
      <c r="C48" s="1">
        <v>2</v>
      </c>
      <c r="D48" s="1">
        <f t="shared" si="12"/>
        <v>3.14</v>
      </c>
      <c r="E48" s="1">
        <v>1.4</v>
      </c>
      <c r="F48" s="1">
        <v>0.5</v>
      </c>
      <c r="G48" s="1">
        <f t="shared" si="10"/>
        <v>0.7</v>
      </c>
      <c r="H48" s="1">
        <f t="shared" si="11"/>
        <v>2.2000000000000002</v>
      </c>
      <c r="P48" s="1" t="s">
        <v>360</v>
      </c>
      <c r="Q48" s="259">
        <v>10.69</v>
      </c>
      <c r="R48" s="1">
        <f>+Q48*0.6*0.8</f>
        <v>5.1311999999999998</v>
      </c>
    </row>
    <row r="49" spans="1:22" x14ac:dyDescent="0.25">
      <c r="A49" s="1" t="s">
        <v>40</v>
      </c>
      <c r="C49" s="1">
        <v>2</v>
      </c>
      <c r="D49" s="1">
        <f t="shared" si="12"/>
        <v>3.14</v>
      </c>
      <c r="E49" s="1">
        <v>2.5499999999999998</v>
      </c>
      <c r="F49" s="1">
        <v>0.5</v>
      </c>
      <c r="G49" s="1">
        <f t="shared" si="10"/>
        <v>1.28</v>
      </c>
      <c r="H49" s="1">
        <f t="shared" si="11"/>
        <v>4.0199999999999996</v>
      </c>
      <c r="P49" s="262" t="s">
        <v>19</v>
      </c>
      <c r="Q49" s="262">
        <f>SUM(Q40:Q48)</f>
        <v>389.47999999999996</v>
      </c>
      <c r="R49" s="262">
        <f>SUM(R40:R48)</f>
        <v>186.95040000000003</v>
      </c>
      <c r="T49" s="1">
        <f>SUM(T42:T48)</f>
        <v>314.78999999999996</v>
      </c>
      <c r="U49" s="1">
        <f>SUM(U42:U48)</f>
        <v>97.6</v>
      </c>
    </row>
    <row r="50" spans="1:22" x14ac:dyDescent="0.25">
      <c r="A50" s="1" t="s">
        <v>41</v>
      </c>
      <c r="C50" s="1">
        <v>2</v>
      </c>
      <c r="D50" s="1">
        <f t="shared" si="12"/>
        <v>3.14</v>
      </c>
      <c r="E50" s="1">
        <v>1.4</v>
      </c>
      <c r="F50" s="1">
        <v>0.5</v>
      </c>
      <c r="G50" s="1">
        <f t="shared" si="10"/>
        <v>0.7</v>
      </c>
      <c r="H50" s="1">
        <f t="shared" si="11"/>
        <v>2.2000000000000002</v>
      </c>
    </row>
    <row r="51" spans="1:22" x14ac:dyDescent="0.25">
      <c r="A51" s="1" t="s">
        <v>42</v>
      </c>
      <c r="C51" s="1">
        <v>2</v>
      </c>
      <c r="D51" s="1">
        <f t="shared" si="12"/>
        <v>3.14</v>
      </c>
      <c r="E51" s="1">
        <v>3.5</v>
      </c>
      <c r="F51" s="1">
        <v>0.5</v>
      </c>
      <c r="G51" s="1">
        <f t="shared" si="10"/>
        <v>1.75</v>
      </c>
      <c r="H51" s="1">
        <f t="shared" si="11"/>
        <v>5.5</v>
      </c>
    </row>
    <row r="52" spans="1:22" x14ac:dyDescent="0.25">
      <c r="A52" s="1" t="s">
        <v>43</v>
      </c>
      <c r="C52" s="1">
        <v>2</v>
      </c>
      <c r="D52" s="1">
        <f t="shared" si="12"/>
        <v>3.14</v>
      </c>
      <c r="E52" s="1">
        <v>1.4</v>
      </c>
      <c r="F52" s="1">
        <v>0.5</v>
      </c>
      <c r="G52" s="1">
        <f t="shared" si="10"/>
        <v>0.7</v>
      </c>
      <c r="H52" s="1">
        <f t="shared" si="11"/>
        <v>2.2000000000000002</v>
      </c>
      <c r="P52" s="2" t="s">
        <v>364</v>
      </c>
    </row>
    <row r="53" spans="1:22" x14ac:dyDescent="0.25">
      <c r="A53" s="1" t="s">
        <v>44</v>
      </c>
      <c r="C53" s="1">
        <v>2</v>
      </c>
      <c r="D53" s="1">
        <f t="shared" si="12"/>
        <v>3.14</v>
      </c>
      <c r="E53" s="1">
        <v>3.6</v>
      </c>
      <c r="F53" s="1">
        <v>0.5</v>
      </c>
      <c r="G53" s="1">
        <f t="shared" si="10"/>
        <v>1.8</v>
      </c>
      <c r="H53" s="1">
        <f t="shared" si="11"/>
        <v>5.65</v>
      </c>
    </row>
    <row r="54" spans="1:22" x14ac:dyDescent="0.25">
      <c r="H54" s="5">
        <f>SUM(H35:H53)</f>
        <v>101.83000000000001</v>
      </c>
      <c r="P54" s="2" t="s">
        <v>365</v>
      </c>
    </row>
    <row r="55" spans="1:22" ht="30" x14ac:dyDescent="0.25">
      <c r="C55" s="1" t="s">
        <v>23</v>
      </c>
      <c r="D55" s="4" t="s">
        <v>46</v>
      </c>
      <c r="E55" s="4" t="s">
        <v>57</v>
      </c>
      <c r="F55" s="4" t="s">
        <v>50</v>
      </c>
      <c r="G55" s="4" t="s">
        <v>45</v>
      </c>
      <c r="H55" s="4" t="s">
        <v>48</v>
      </c>
      <c r="P55" s="581" t="s">
        <v>367</v>
      </c>
      <c r="Q55" s="581"/>
      <c r="R55" s="581"/>
      <c r="S55" s="277" t="s">
        <v>368</v>
      </c>
      <c r="T55" s="277" t="s">
        <v>117</v>
      </c>
      <c r="U55" s="277"/>
      <c r="V55" s="277"/>
    </row>
    <row r="56" spans="1:22" x14ac:dyDescent="0.25">
      <c r="A56" s="1" t="s">
        <v>52</v>
      </c>
      <c r="C56" s="1">
        <v>1.5</v>
      </c>
      <c r="D56" s="1">
        <f>+ROUND(C56*C56,2)</f>
        <v>2.25</v>
      </c>
      <c r="E56" s="1">
        <v>1</v>
      </c>
      <c r="F56" s="1">
        <v>0.4</v>
      </c>
      <c r="G56" s="1">
        <f>+E56+F56</f>
        <v>1.4</v>
      </c>
      <c r="H56" s="1">
        <f t="shared" ref="H56:H60" si="14">+ROUND(D56*G56,2)</f>
        <v>3.15</v>
      </c>
      <c r="P56" s="1" t="s">
        <v>366</v>
      </c>
      <c r="S56" s="1">
        <f>+R30+V30</f>
        <v>431.60999999999996</v>
      </c>
      <c r="T56" s="263" t="s">
        <v>129</v>
      </c>
    </row>
    <row r="57" spans="1:22" x14ac:dyDescent="0.25">
      <c r="A57" s="1" t="s">
        <v>53</v>
      </c>
      <c r="C57" s="1">
        <v>1.5</v>
      </c>
      <c r="D57" s="1">
        <f t="shared" ref="D57:D60" si="15">+ROUND(C57*C57,2)</f>
        <v>2.25</v>
      </c>
      <c r="E57" s="1">
        <v>0.6</v>
      </c>
      <c r="F57" s="1">
        <v>0.4</v>
      </c>
      <c r="G57" s="1">
        <f t="shared" ref="G57:G60" si="16">+E57+F57</f>
        <v>1</v>
      </c>
      <c r="H57" s="1">
        <f t="shared" si="14"/>
        <v>2.25</v>
      </c>
      <c r="P57" s="582" t="s">
        <v>369</v>
      </c>
      <c r="Q57" s="582"/>
      <c r="R57" s="582"/>
      <c r="S57" s="1">
        <f>+R30+V30</f>
        <v>431.60999999999996</v>
      </c>
      <c r="T57" s="263" t="s">
        <v>129</v>
      </c>
    </row>
    <row r="58" spans="1:22" x14ac:dyDescent="0.25">
      <c r="A58" s="1" t="s">
        <v>54</v>
      </c>
      <c r="C58" s="1">
        <v>1.5</v>
      </c>
      <c r="D58" s="1">
        <f t="shared" si="15"/>
        <v>2.25</v>
      </c>
      <c r="E58" s="1">
        <v>0.6</v>
      </c>
      <c r="F58" s="1">
        <v>0.4</v>
      </c>
      <c r="G58" s="1">
        <f t="shared" si="16"/>
        <v>1</v>
      </c>
      <c r="H58" s="1">
        <f t="shared" si="14"/>
        <v>2.25</v>
      </c>
      <c r="P58" s="582" t="s">
        <v>370</v>
      </c>
      <c r="Q58" s="582"/>
      <c r="R58" s="582"/>
      <c r="S58" s="1">
        <f>+R49</f>
        <v>186.95040000000003</v>
      </c>
      <c r="T58" s="264" t="s">
        <v>129</v>
      </c>
    </row>
    <row r="59" spans="1:22" x14ac:dyDescent="0.25">
      <c r="A59" s="1" t="s">
        <v>55</v>
      </c>
      <c r="C59" s="1">
        <v>1.5</v>
      </c>
      <c r="D59" s="1">
        <f t="shared" si="15"/>
        <v>2.25</v>
      </c>
      <c r="E59" s="1">
        <v>0.6</v>
      </c>
      <c r="F59" s="1">
        <v>0.4</v>
      </c>
      <c r="G59" s="1">
        <f t="shared" si="16"/>
        <v>1</v>
      </c>
      <c r="H59" s="1">
        <f t="shared" si="14"/>
        <v>2.25</v>
      </c>
      <c r="P59" s="1" t="s">
        <v>371</v>
      </c>
      <c r="S59" s="1">
        <f>+R49</f>
        <v>186.95040000000003</v>
      </c>
      <c r="T59" s="264" t="s">
        <v>129</v>
      </c>
    </row>
    <row r="60" spans="1:22" ht="33" customHeight="1" x14ac:dyDescent="0.25">
      <c r="A60" s="1" t="s">
        <v>56</v>
      </c>
      <c r="C60" s="1">
        <v>1.5</v>
      </c>
      <c r="D60" s="1">
        <f t="shared" si="15"/>
        <v>2.25</v>
      </c>
      <c r="E60" s="1">
        <v>0.6</v>
      </c>
      <c r="F60" s="1">
        <v>0.4</v>
      </c>
      <c r="G60" s="1">
        <f t="shared" si="16"/>
        <v>1</v>
      </c>
      <c r="H60" s="1">
        <f t="shared" si="14"/>
        <v>2.25</v>
      </c>
      <c r="P60" s="579" t="s">
        <v>490</v>
      </c>
      <c r="Q60" s="579"/>
      <c r="R60" s="579"/>
      <c r="S60" s="1">
        <f>(+U43+U45+U47)*0.7</f>
        <v>68.319999999999993</v>
      </c>
      <c r="T60" s="365" t="s">
        <v>131</v>
      </c>
    </row>
    <row r="61" spans="1:22" ht="32.25" customHeight="1" x14ac:dyDescent="0.25">
      <c r="H61" s="5">
        <f>SUM(H56:H60)</f>
        <v>12.15</v>
      </c>
      <c r="P61" s="579" t="s">
        <v>432</v>
      </c>
      <c r="Q61" s="579"/>
      <c r="R61" s="579"/>
      <c r="S61" s="1">
        <f>+(T42+T43+T44+T45+T47)*0.7</f>
        <v>220.35299999999995</v>
      </c>
      <c r="T61" s="365" t="s">
        <v>131</v>
      </c>
    </row>
    <row r="62" spans="1:22" x14ac:dyDescent="0.25">
      <c r="H62" s="2"/>
      <c r="U62" s="2"/>
    </row>
    <row r="63" spans="1:22" x14ac:dyDescent="0.25">
      <c r="G63" s="256" t="s">
        <v>58</v>
      </c>
      <c r="H63" s="2">
        <f>+H30+N30+H54+H61</f>
        <v>3454.1200000000003</v>
      </c>
      <c r="P63" s="1" t="s">
        <v>479</v>
      </c>
    </row>
  </sheetData>
  <mergeCells count="7">
    <mergeCell ref="P60:R60"/>
    <mergeCell ref="P61:R61"/>
    <mergeCell ref="S3:V3"/>
    <mergeCell ref="P55:R55"/>
    <mergeCell ref="P57:R57"/>
    <mergeCell ref="P58:R58"/>
    <mergeCell ref="P3:R3"/>
  </mergeCells>
  <pageMargins left="0.7" right="0.7" top="0.75" bottom="0.75" header="0.3" footer="0.3"/>
  <pageSetup paperSize="9" orientation="portrait"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63"/>
  <sheetViews>
    <sheetView view="pageBreakPreview" topLeftCell="A101" zoomScale="120" zoomScaleNormal="100" zoomScaleSheetLayoutView="120" workbookViewId="0">
      <selection activeCell="A111" sqref="A111"/>
    </sheetView>
  </sheetViews>
  <sheetFormatPr baseColWidth="10" defaultColWidth="11.42578125" defaultRowHeight="15" x14ac:dyDescent="0.25"/>
  <cols>
    <col min="1" max="1" width="5.85546875" customWidth="1"/>
    <col min="2" max="2" width="17.28515625" customWidth="1"/>
    <col min="3" max="3" width="12.5703125" customWidth="1"/>
    <col min="4" max="4" width="10.85546875" customWidth="1"/>
    <col min="5" max="5" width="11.28515625" style="369" customWidth="1"/>
    <col min="6" max="6" width="11.42578125" customWidth="1"/>
    <col min="7" max="7" width="10.85546875" customWidth="1"/>
    <col min="8" max="8" width="13.42578125" customWidth="1"/>
    <col min="9" max="9" width="11.5703125" bestFit="1" customWidth="1"/>
    <col min="257" max="257" width="5.85546875" customWidth="1"/>
    <col min="258" max="258" width="17.28515625" customWidth="1"/>
    <col min="259" max="259" width="12.5703125" customWidth="1"/>
    <col min="260" max="260" width="10.85546875" customWidth="1"/>
    <col min="261" max="261" width="11.28515625" customWidth="1"/>
    <col min="262" max="262" width="11.42578125" customWidth="1"/>
    <col min="263" max="263" width="10.85546875" customWidth="1"/>
    <col min="264" max="264" width="13.42578125" customWidth="1"/>
    <col min="265" max="265" width="11.5703125" bestFit="1" customWidth="1"/>
    <col min="513" max="513" width="5.85546875" customWidth="1"/>
    <col min="514" max="514" width="17.28515625" customWidth="1"/>
    <col min="515" max="515" width="12.5703125" customWidth="1"/>
    <col min="516" max="516" width="10.85546875" customWidth="1"/>
    <col min="517" max="517" width="11.28515625" customWidth="1"/>
    <col min="518" max="518" width="11.42578125" customWidth="1"/>
    <col min="519" max="519" width="10.85546875" customWidth="1"/>
    <col min="520" max="520" width="13.42578125" customWidth="1"/>
    <col min="521" max="521" width="11.5703125" bestFit="1" customWidth="1"/>
    <col min="769" max="769" width="5.85546875" customWidth="1"/>
    <col min="770" max="770" width="17.28515625" customWidth="1"/>
    <col min="771" max="771" width="12.5703125" customWidth="1"/>
    <col min="772" max="772" width="10.85546875" customWidth="1"/>
    <col min="773" max="773" width="11.28515625" customWidth="1"/>
    <col min="774" max="774" width="11.42578125" customWidth="1"/>
    <col min="775" max="775" width="10.85546875" customWidth="1"/>
    <col min="776" max="776" width="13.42578125" customWidth="1"/>
    <col min="777" max="777" width="11.5703125" bestFit="1" customWidth="1"/>
    <col min="1025" max="1025" width="5.85546875" customWidth="1"/>
    <col min="1026" max="1026" width="17.28515625" customWidth="1"/>
    <col min="1027" max="1027" width="12.5703125" customWidth="1"/>
    <col min="1028" max="1028" width="10.85546875" customWidth="1"/>
    <col min="1029" max="1029" width="11.28515625" customWidth="1"/>
    <col min="1030" max="1030" width="11.42578125" customWidth="1"/>
    <col min="1031" max="1031" width="10.85546875" customWidth="1"/>
    <col min="1032" max="1032" width="13.42578125" customWidth="1"/>
    <col min="1033" max="1033" width="11.5703125" bestFit="1" customWidth="1"/>
    <col min="1281" max="1281" width="5.85546875" customWidth="1"/>
    <col min="1282" max="1282" width="17.28515625" customWidth="1"/>
    <col min="1283" max="1283" width="12.5703125" customWidth="1"/>
    <col min="1284" max="1284" width="10.85546875" customWidth="1"/>
    <col min="1285" max="1285" width="11.28515625" customWidth="1"/>
    <col min="1286" max="1286" width="11.42578125" customWidth="1"/>
    <col min="1287" max="1287" width="10.85546875" customWidth="1"/>
    <col min="1288" max="1288" width="13.42578125" customWidth="1"/>
    <col min="1289" max="1289" width="11.5703125" bestFit="1" customWidth="1"/>
    <col min="1537" max="1537" width="5.85546875" customWidth="1"/>
    <col min="1538" max="1538" width="17.28515625" customWidth="1"/>
    <col min="1539" max="1539" width="12.5703125" customWidth="1"/>
    <col min="1540" max="1540" width="10.85546875" customWidth="1"/>
    <col min="1541" max="1541" width="11.28515625" customWidth="1"/>
    <col min="1542" max="1542" width="11.42578125" customWidth="1"/>
    <col min="1543" max="1543" width="10.85546875" customWidth="1"/>
    <col min="1544" max="1544" width="13.42578125" customWidth="1"/>
    <col min="1545" max="1545" width="11.5703125" bestFit="1" customWidth="1"/>
    <col min="1793" max="1793" width="5.85546875" customWidth="1"/>
    <col min="1794" max="1794" width="17.28515625" customWidth="1"/>
    <col min="1795" max="1795" width="12.5703125" customWidth="1"/>
    <col min="1796" max="1796" width="10.85546875" customWidth="1"/>
    <col min="1797" max="1797" width="11.28515625" customWidth="1"/>
    <col min="1798" max="1798" width="11.42578125" customWidth="1"/>
    <col min="1799" max="1799" width="10.85546875" customWidth="1"/>
    <col min="1800" max="1800" width="13.42578125" customWidth="1"/>
    <col min="1801" max="1801" width="11.5703125" bestFit="1" customWidth="1"/>
    <col min="2049" max="2049" width="5.85546875" customWidth="1"/>
    <col min="2050" max="2050" width="17.28515625" customWidth="1"/>
    <col min="2051" max="2051" width="12.5703125" customWidth="1"/>
    <col min="2052" max="2052" width="10.85546875" customWidth="1"/>
    <col min="2053" max="2053" width="11.28515625" customWidth="1"/>
    <col min="2054" max="2054" width="11.42578125" customWidth="1"/>
    <col min="2055" max="2055" width="10.85546875" customWidth="1"/>
    <col min="2056" max="2056" width="13.42578125" customWidth="1"/>
    <col min="2057" max="2057" width="11.5703125" bestFit="1" customWidth="1"/>
    <col min="2305" max="2305" width="5.85546875" customWidth="1"/>
    <col min="2306" max="2306" width="17.28515625" customWidth="1"/>
    <col min="2307" max="2307" width="12.5703125" customWidth="1"/>
    <col min="2308" max="2308" width="10.85546875" customWidth="1"/>
    <col min="2309" max="2309" width="11.28515625" customWidth="1"/>
    <col min="2310" max="2310" width="11.42578125" customWidth="1"/>
    <col min="2311" max="2311" width="10.85546875" customWidth="1"/>
    <col min="2312" max="2312" width="13.42578125" customWidth="1"/>
    <col min="2313" max="2313" width="11.5703125" bestFit="1" customWidth="1"/>
    <col min="2561" max="2561" width="5.85546875" customWidth="1"/>
    <col min="2562" max="2562" width="17.28515625" customWidth="1"/>
    <col min="2563" max="2563" width="12.5703125" customWidth="1"/>
    <col min="2564" max="2564" width="10.85546875" customWidth="1"/>
    <col min="2565" max="2565" width="11.28515625" customWidth="1"/>
    <col min="2566" max="2566" width="11.42578125" customWidth="1"/>
    <col min="2567" max="2567" width="10.85546875" customWidth="1"/>
    <col min="2568" max="2568" width="13.42578125" customWidth="1"/>
    <col min="2569" max="2569" width="11.5703125" bestFit="1" customWidth="1"/>
    <col min="2817" max="2817" width="5.85546875" customWidth="1"/>
    <col min="2818" max="2818" width="17.28515625" customWidth="1"/>
    <col min="2819" max="2819" width="12.5703125" customWidth="1"/>
    <col min="2820" max="2820" width="10.85546875" customWidth="1"/>
    <col min="2821" max="2821" width="11.28515625" customWidth="1"/>
    <col min="2822" max="2822" width="11.42578125" customWidth="1"/>
    <col min="2823" max="2823" width="10.85546875" customWidth="1"/>
    <col min="2824" max="2824" width="13.42578125" customWidth="1"/>
    <col min="2825" max="2825" width="11.5703125" bestFit="1" customWidth="1"/>
    <col min="3073" max="3073" width="5.85546875" customWidth="1"/>
    <col min="3074" max="3074" width="17.28515625" customWidth="1"/>
    <col min="3075" max="3075" width="12.5703125" customWidth="1"/>
    <col min="3076" max="3076" width="10.85546875" customWidth="1"/>
    <col min="3077" max="3077" width="11.28515625" customWidth="1"/>
    <col min="3078" max="3078" width="11.42578125" customWidth="1"/>
    <col min="3079" max="3079" width="10.85546875" customWidth="1"/>
    <col min="3080" max="3080" width="13.42578125" customWidth="1"/>
    <col min="3081" max="3081" width="11.5703125" bestFit="1" customWidth="1"/>
    <col min="3329" max="3329" width="5.85546875" customWidth="1"/>
    <col min="3330" max="3330" width="17.28515625" customWidth="1"/>
    <col min="3331" max="3331" width="12.5703125" customWidth="1"/>
    <col min="3332" max="3332" width="10.85546875" customWidth="1"/>
    <col min="3333" max="3333" width="11.28515625" customWidth="1"/>
    <col min="3334" max="3334" width="11.42578125" customWidth="1"/>
    <col min="3335" max="3335" width="10.85546875" customWidth="1"/>
    <col min="3336" max="3336" width="13.42578125" customWidth="1"/>
    <col min="3337" max="3337" width="11.5703125" bestFit="1" customWidth="1"/>
    <col min="3585" max="3585" width="5.85546875" customWidth="1"/>
    <col min="3586" max="3586" width="17.28515625" customWidth="1"/>
    <col min="3587" max="3587" width="12.5703125" customWidth="1"/>
    <col min="3588" max="3588" width="10.85546875" customWidth="1"/>
    <col min="3589" max="3589" width="11.28515625" customWidth="1"/>
    <col min="3590" max="3590" width="11.42578125" customWidth="1"/>
    <col min="3591" max="3591" width="10.85546875" customWidth="1"/>
    <col min="3592" max="3592" width="13.42578125" customWidth="1"/>
    <col min="3593" max="3593" width="11.5703125" bestFit="1" customWidth="1"/>
    <col min="3841" max="3841" width="5.85546875" customWidth="1"/>
    <col min="3842" max="3842" width="17.28515625" customWidth="1"/>
    <col min="3843" max="3843" width="12.5703125" customWidth="1"/>
    <col min="3844" max="3844" width="10.85546875" customWidth="1"/>
    <col min="3845" max="3845" width="11.28515625" customWidth="1"/>
    <col min="3846" max="3846" width="11.42578125" customWidth="1"/>
    <col min="3847" max="3847" width="10.85546875" customWidth="1"/>
    <col min="3848" max="3848" width="13.42578125" customWidth="1"/>
    <col min="3849" max="3849" width="11.5703125" bestFit="1" customWidth="1"/>
    <col min="4097" max="4097" width="5.85546875" customWidth="1"/>
    <col min="4098" max="4098" width="17.28515625" customWidth="1"/>
    <col min="4099" max="4099" width="12.5703125" customWidth="1"/>
    <col min="4100" max="4100" width="10.85546875" customWidth="1"/>
    <col min="4101" max="4101" width="11.28515625" customWidth="1"/>
    <col min="4102" max="4102" width="11.42578125" customWidth="1"/>
    <col min="4103" max="4103" width="10.85546875" customWidth="1"/>
    <col min="4104" max="4104" width="13.42578125" customWidth="1"/>
    <col min="4105" max="4105" width="11.5703125" bestFit="1" customWidth="1"/>
    <col min="4353" max="4353" width="5.85546875" customWidth="1"/>
    <col min="4354" max="4354" width="17.28515625" customWidth="1"/>
    <col min="4355" max="4355" width="12.5703125" customWidth="1"/>
    <col min="4356" max="4356" width="10.85546875" customWidth="1"/>
    <col min="4357" max="4357" width="11.28515625" customWidth="1"/>
    <col min="4358" max="4358" width="11.42578125" customWidth="1"/>
    <col min="4359" max="4359" width="10.85546875" customWidth="1"/>
    <col min="4360" max="4360" width="13.42578125" customWidth="1"/>
    <col min="4361" max="4361" width="11.5703125" bestFit="1" customWidth="1"/>
    <col min="4609" max="4609" width="5.85546875" customWidth="1"/>
    <col min="4610" max="4610" width="17.28515625" customWidth="1"/>
    <col min="4611" max="4611" width="12.5703125" customWidth="1"/>
    <col min="4612" max="4612" width="10.85546875" customWidth="1"/>
    <col min="4613" max="4613" width="11.28515625" customWidth="1"/>
    <col min="4614" max="4614" width="11.42578125" customWidth="1"/>
    <col min="4615" max="4615" width="10.85546875" customWidth="1"/>
    <col min="4616" max="4616" width="13.42578125" customWidth="1"/>
    <col min="4617" max="4617" width="11.5703125" bestFit="1" customWidth="1"/>
    <col min="4865" max="4865" width="5.85546875" customWidth="1"/>
    <col min="4866" max="4866" width="17.28515625" customWidth="1"/>
    <col min="4867" max="4867" width="12.5703125" customWidth="1"/>
    <col min="4868" max="4868" width="10.85546875" customWidth="1"/>
    <col min="4869" max="4869" width="11.28515625" customWidth="1"/>
    <col min="4870" max="4870" width="11.42578125" customWidth="1"/>
    <col min="4871" max="4871" width="10.85546875" customWidth="1"/>
    <col min="4872" max="4872" width="13.42578125" customWidth="1"/>
    <col min="4873" max="4873" width="11.5703125" bestFit="1" customWidth="1"/>
    <col min="5121" max="5121" width="5.85546875" customWidth="1"/>
    <col min="5122" max="5122" width="17.28515625" customWidth="1"/>
    <col min="5123" max="5123" width="12.5703125" customWidth="1"/>
    <col min="5124" max="5124" width="10.85546875" customWidth="1"/>
    <col min="5125" max="5125" width="11.28515625" customWidth="1"/>
    <col min="5126" max="5126" width="11.42578125" customWidth="1"/>
    <col min="5127" max="5127" width="10.85546875" customWidth="1"/>
    <col min="5128" max="5128" width="13.42578125" customWidth="1"/>
    <col min="5129" max="5129" width="11.5703125" bestFit="1" customWidth="1"/>
    <col min="5377" max="5377" width="5.85546875" customWidth="1"/>
    <col min="5378" max="5378" width="17.28515625" customWidth="1"/>
    <col min="5379" max="5379" width="12.5703125" customWidth="1"/>
    <col min="5380" max="5380" width="10.85546875" customWidth="1"/>
    <col min="5381" max="5381" width="11.28515625" customWidth="1"/>
    <col min="5382" max="5382" width="11.42578125" customWidth="1"/>
    <col min="5383" max="5383" width="10.85546875" customWidth="1"/>
    <col min="5384" max="5384" width="13.42578125" customWidth="1"/>
    <col min="5385" max="5385" width="11.5703125" bestFit="1" customWidth="1"/>
    <col min="5633" max="5633" width="5.85546875" customWidth="1"/>
    <col min="5634" max="5634" width="17.28515625" customWidth="1"/>
    <col min="5635" max="5635" width="12.5703125" customWidth="1"/>
    <col min="5636" max="5636" width="10.85546875" customWidth="1"/>
    <col min="5637" max="5637" width="11.28515625" customWidth="1"/>
    <col min="5638" max="5638" width="11.42578125" customWidth="1"/>
    <col min="5639" max="5639" width="10.85546875" customWidth="1"/>
    <col min="5640" max="5640" width="13.42578125" customWidth="1"/>
    <col min="5641" max="5641" width="11.5703125" bestFit="1" customWidth="1"/>
    <col min="5889" max="5889" width="5.85546875" customWidth="1"/>
    <col min="5890" max="5890" width="17.28515625" customWidth="1"/>
    <col min="5891" max="5891" width="12.5703125" customWidth="1"/>
    <col min="5892" max="5892" width="10.85546875" customWidth="1"/>
    <col min="5893" max="5893" width="11.28515625" customWidth="1"/>
    <col min="5894" max="5894" width="11.42578125" customWidth="1"/>
    <col min="5895" max="5895" width="10.85546875" customWidth="1"/>
    <col min="5896" max="5896" width="13.42578125" customWidth="1"/>
    <col min="5897" max="5897" width="11.5703125" bestFit="1" customWidth="1"/>
    <col min="6145" max="6145" width="5.85546875" customWidth="1"/>
    <col min="6146" max="6146" width="17.28515625" customWidth="1"/>
    <col min="6147" max="6147" width="12.5703125" customWidth="1"/>
    <col min="6148" max="6148" width="10.85546875" customWidth="1"/>
    <col min="6149" max="6149" width="11.28515625" customWidth="1"/>
    <col min="6150" max="6150" width="11.42578125" customWidth="1"/>
    <col min="6151" max="6151" width="10.85546875" customWidth="1"/>
    <col min="6152" max="6152" width="13.42578125" customWidth="1"/>
    <col min="6153" max="6153" width="11.5703125" bestFit="1" customWidth="1"/>
    <col min="6401" max="6401" width="5.85546875" customWidth="1"/>
    <col min="6402" max="6402" width="17.28515625" customWidth="1"/>
    <col min="6403" max="6403" width="12.5703125" customWidth="1"/>
    <col min="6404" max="6404" width="10.85546875" customWidth="1"/>
    <col min="6405" max="6405" width="11.28515625" customWidth="1"/>
    <col min="6406" max="6406" width="11.42578125" customWidth="1"/>
    <col min="6407" max="6407" width="10.85546875" customWidth="1"/>
    <col min="6408" max="6408" width="13.42578125" customWidth="1"/>
    <col min="6409" max="6409" width="11.5703125" bestFit="1" customWidth="1"/>
    <col min="6657" max="6657" width="5.85546875" customWidth="1"/>
    <col min="6658" max="6658" width="17.28515625" customWidth="1"/>
    <col min="6659" max="6659" width="12.5703125" customWidth="1"/>
    <col min="6660" max="6660" width="10.85546875" customWidth="1"/>
    <col min="6661" max="6661" width="11.28515625" customWidth="1"/>
    <col min="6662" max="6662" width="11.42578125" customWidth="1"/>
    <col min="6663" max="6663" width="10.85546875" customWidth="1"/>
    <col min="6664" max="6664" width="13.42578125" customWidth="1"/>
    <col min="6665" max="6665" width="11.5703125" bestFit="1" customWidth="1"/>
    <col min="6913" max="6913" width="5.85546875" customWidth="1"/>
    <col min="6914" max="6914" width="17.28515625" customWidth="1"/>
    <col min="6915" max="6915" width="12.5703125" customWidth="1"/>
    <col min="6916" max="6916" width="10.85546875" customWidth="1"/>
    <col min="6917" max="6917" width="11.28515625" customWidth="1"/>
    <col min="6918" max="6918" width="11.42578125" customWidth="1"/>
    <col min="6919" max="6919" width="10.85546875" customWidth="1"/>
    <col min="6920" max="6920" width="13.42578125" customWidth="1"/>
    <col min="6921" max="6921" width="11.5703125" bestFit="1" customWidth="1"/>
    <col min="7169" max="7169" width="5.85546875" customWidth="1"/>
    <col min="7170" max="7170" width="17.28515625" customWidth="1"/>
    <col min="7171" max="7171" width="12.5703125" customWidth="1"/>
    <col min="7172" max="7172" width="10.85546875" customWidth="1"/>
    <col min="7173" max="7173" width="11.28515625" customWidth="1"/>
    <col min="7174" max="7174" width="11.42578125" customWidth="1"/>
    <col min="7175" max="7175" width="10.85546875" customWidth="1"/>
    <col min="7176" max="7176" width="13.42578125" customWidth="1"/>
    <col min="7177" max="7177" width="11.5703125" bestFit="1" customWidth="1"/>
    <col min="7425" max="7425" width="5.85546875" customWidth="1"/>
    <col min="7426" max="7426" width="17.28515625" customWidth="1"/>
    <col min="7427" max="7427" width="12.5703125" customWidth="1"/>
    <col min="7428" max="7428" width="10.85546875" customWidth="1"/>
    <col min="7429" max="7429" width="11.28515625" customWidth="1"/>
    <col min="7430" max="7430" width="11.42578125" customWidth="1"/>
    <col min="7431" max="7431" width="10.85546875" customWidth="1"/>
    <col min="7432" max="7432" width="13.42578125" customWidth="1"/>
    <col min="7433" max="7433" width="11.5703125" bestFit="1" customWidth="1"/>
    <col min="7681" max="7681" width="5.85546875" customWidth="1"/>
    <col min="7682" max="7682" width="17.28515625" customWidth="1"/>
    <col min="7683" max="7683" width="12.5703125" customWidth="1"/>
    <col min="7684" max="7684" width="10.85546875" customWidth="1"/>
    <col min="7685" max="7685" width="11.28515625" customWidth="1"/>
    <col min="7686" max="7686" width="11.42578125" customWidth="1"/>
    <col min="7687" max="7687" width="10.85546875" customWidth="1"/>
    <col min="7688" max="7688" width="13.42578125" customWidth="1"/>
    <col min="7689" max="7689" width="11.5703125" bestFit="1" customWidth="1"/>
    <col min="7937" max="7937" width="5.85546875" customWidth="1"/>
    <col min="7938" max="7938" width="17.28515625" customWidth="1"/>
    <col min="7939" max="7939" width="12.5703125" customWidth="1"/>
    <col min="7940" max="7940" width="10.85546875" customWidth="1"/>
    <col min="7941" max="7941" width="11.28515625" customWidth="1"/>
    <col min="7942" max="7942" width="11.42578125" customWidth="1"/>
    <col min="7943" max="7943" width="10.85546875" customWidth="1"/>
    <col min="7944" max="7944" width="13.42578125" customWidth="1"/>
    <col min="7945" max="7945" width="11.5703125" bestFit="1" customWidth="1"/>
    <col min="8193" max="8193" width="5.85546875" customWidth="1"/>
    <col min="8194" max="8194" width="17.28515625" customWidth="1"/>
    <col min="8195" max="8195" width="12.5703125" customWidth="1"/>
    <col min="8196" max="8196" width="10.85546875" customWidth="1"/>
    <col min="8197" max="8197" width="11.28515625" customWidth="1"/>
    <col min="8198" max="8198" width="11.42578125" customWidth="1"/>
    <col min="8199" max="8199" width="10.85546875" customWidth="1"/>
    <col min="8200" max="8200" width="13.42578125" customWidth="1"/>
    <col min="8201" max="8201" width="11.5703125" bestFit="1" customWidth="1"/>
    <col min="8449" max="8449" width="5.85546875" customWidth="1"/>
    <col min="8450" max="8450" width="17.28515625" customWidth="1"/>
    <col min="8451" max="8451" width="12.5703125" customWidth="1"/>
    <col min="8452" max="8452" width="10.85546875" customWidth="1"/>
    <col min="8453" max="8453" width="11.28515625" customWidth="1"/>
    <col min="8454" max="8454" width="11.42578125" customWidth="1"/>
    <col min="8455" max="8455" width="10.85546875" customWidth="1"/>
    <col min="8456" max="8456" width="13.42578125" customWidth="1"/>
    <col min="8457" max="8457" width="11.5703125" bestFit="1" customWidth="1"/>
    <col min="8705" max="8705" width="5.85546875" customWidth="1"/>
    <col min="8706" max="8706" width="17.28515625" customWidth="1"/>
    <col min="8707" max="8707" width="12.5703125" customWidth="1"/>
    <col min="8708" max="8708" width="10.85546875" customWidth="1"/>
    <col min="8709" max="8709" width="11.28515625" customWidth="1"/>
    <col min="8710" max="8710" width="11.42578125" customWidth="1"/>
    <col min="8711" max="8711" width="10.85546875" customWidth="1"/>
    <col min="8712" max="8712" width="13.42578125" customWidth="1"/>
    <col min="8713" max="8713" width="11.5703125" bestFit="1" customWidth="1"/>
    <col min="8961" max="8961" width="5.85546875" customWidth="1"/>
    <col min="8962" max="8962" width="17.28515625" customWidth="1"/>
    <col min="8963" max="8963" width="12.5703125" customWidth="1"/>
    <col min="8964" max="8964" width="10.85546875" customWidth="1"/>
    <col min="8965" max="8965" width="11.28515625" customWidth="1"/>
    <col min="8966" max="8966" width="11.42578125" customWidth="1"/>
    <col min="8967" max="8967" width="10.85546875" customWidth="1"/>
    <col min="8968" max="8968" width="13.42578125" customWidth="1"/>
    <col min="8969" max="8969" width="11.5703125" bestFit="1" customWidth="1"/>
    <col min="9217" max="9217" width="5.85546875" customWidth="1"/>
    <col min="9218" max="9218" width="17.28515625" customWidth="1"/>
    <col min="9219" max="9219" width="12.5703125" customWidth="1"/>
    <col min="9220" max="9220" width="10.85546875" customWidth="1"/>
    <col min="9221" max="9221" width="11.28515625" customWidth="1"/>
    <col min="9222" max="9222" width="11.42578125" customWidth="1"/>
    <col min="9223" max="9223" width="10.85546875" customWidth="1"/>
    <col min="9224" max="9224" width="13.42578125" customWidth="1"/>
    <col min="9225" max="9225" width="11.5703125" bestFit="1" customWidth="1"/>
    <col min="9473" max="9473" width="5.85546875" customWidth="1"/>
    <col min="9474" max="9474" width="17.28515625" customWidth="1"/>
    <col min="9475" max="9475" width="12.5703125" customWidth="1"/>
    <col min="9476" max="9476" width="10.85546875" customWidth="1"/>
    <col min="9477" max="9477" width="11.28515625" customWidth="1"/>
    <col min="9478" max="9478" width="11.42578125" customWidth="1"/>
    <col min="9479" max="9479" width="10.85546875" customWidth="1"/>
    <col min="9480" max="9480" width="13.42578125" customWidth="1"/>
    <col min="9481" max="9481" width="11.5703125" bestFit="1" customWidth="1"/>
    <col min="9729" max="9729" width="5.85546875" customWidth="1"/>
    <col min="9730" max="9730" width="17.28515625" customWidth="1"/>
    <col min="9731" max="9731" width="12.5703125" customWidth="1"/>
    <col min="9732" max="9732" width="10.85546875" customWidth="1"/>
    <col min="9733" max="9733" width="11.28515625" customWidth="1"/>
    <col min="9734" max="9734" width="11.42578125" customWidth="1"/>
    <col min="9735" max="9735" width="10.85546875" customWidth="1"/>
    <col min="9736" max="9736" width="13.42578125" customWidth="1"/>
    <col min="9737" max="9737" width="11.5703125" bestFit="1" customWidth="1"/>
    <col min="9985" max="9985" width="5.85546875" customWidth="1"/>
    <col min="9986" max="9986" width="17.28515625" customWidth="1"/>
    <col min="9987" max="9987" width="12.5703125" customWidth="1"/>
    <col min="9988" max="9988" width="10.85546875" customWidth="1"/>
    <col min="9989" max="9989" width="11.28515625" customWidth="1"/>
    <col min="9990" max="9990" width="11.42578125" customWidth="1"/>
    <col min="9991" max="9991" width="10.85546875" customWidth="1"/>
    <col min="9992" max="9992" width="13.42578125" customWidth="1"/>
    <col min="9993" max="9993" width="11.5703125" bestFit="1" customWidth="1"/>
    <col min="10241" max="10241" width="5.85546875" customWidth="1"/>
    <col min="10242" max="10242" width="17.28515625" customWidth="1"/>
    <col min="10243" max="10243" width="12.5703125" customWidth="1"/>
    <col min="10244" max="10244" width="10.85546875" customWidth="1"/>
    <col min="10245" max="10245" width="11.28515625" customWidth="1"/>
    <col min="10246" max="10246" width="11.42578125" customWidth="1"/>
    <col min="10247" max="10247" width="10.85546875" customWidth="1"/>
    <col min="10248" max="10248" width="13.42578125" customWidth="1"/>
    <col min="10249" max="10249" width="11.5703125" bestFit="1" customWidth="1"/>
    <col min="10497" max="10497" width="5.85546875" customWidth="1"/>
    <col min="10498" max="10498" width="17.28515625" customWidth="1"/>
    <col min="10499" max="10499" width="12.5703125" customWidth="1"/>
    <col min="10500" max="10500" width="10.85546875" customWidth="1"/>
    <col min="10501" max="10501" width="11.28515625" customWidth="1"/>
    <col min="10502" max="10502" width="11.42578125" customWidth="1"/>
    <col min="10503" max="10503" width="10.85546875" customWidth="1"/>
    <col min="10504" max="10504" width="13.42578125" customWidth="1"/>
    <col min="10505" max="10505" width="11.5703125" bestFit="1" customWidth="1"/>
    <col min="10753" max="10753" width="5.85546875" customWidth="1"/>
    <col min="10754" max="10754" width="17.28515625" customWidth="1"/>
    <col min="10755" max="10755" width="12.5703125" customWidth="1"/>
    <col min="10756" max="10756" width="10.85546875" customWidth="1"/>
    <col min="10757" max="10757" width="11.28515625" customWidth="1"/>
    <col min="10758" max="10758" width="11.42578125" customWidth="1"/>
    <col min="10759" max="10759" width="10.85546875" customWidth="1"/>
    <col min="10760" max="10760" width="13.42578125" customWidth="1"/>
    <col min="10761" max="10761" width="11.5703125" bestFit="1" customWidth="1"/>
    <col min="11009" max="11009" width="5.85546875" customWidth="1"/>
    <col min="11010" max="11010" width="17.28515625" customWidth="1"/>
    <col min="11011" max="11011" width="12.5703125" customWidth="1"/>
    <col min="11012" max="11012" width="10.85546875" customWidth="1"/>
    <col min="11013" max="11013" width="11.28515625" customWidth="1"/>
    <col min="11014" max="11014" width="11.42578125" customWidth="1"/>
    <col min="11015" max="11015" width="10.85546875" customWidth="1"/>
    <col min="11016" max="11016" width="13.42578125" customWidth="1"/>
    <col min="11017" max="11017" width="11.5703125" bestFit="1" customWidth="1"/>
    <col min="11265" max="11265" width="5.85546875" customWidth="1"/>
    <col min="11266" max="11266" width="17.28515625" customWidth="1"/>
    <col min="11267" max="11267" width="12.5703125" customWidth="1"/>
    <col min="11268" max="11268" width="10.85546875" customWidth="1"/>
    <col min="11269" max="11269" width="11.28515625" customWidth="1"/>
    <col min="11270" max="11270" width="11.42578125" customWidth="1"/>
    <col min="11271" max="11271" width="10.85546875" customWidth="1"/>
    <col min="11272" max="11272" width="13.42578125" customWidth="1"/>
    <col min="11273" max="11273" width="11.5703125" bestFit="1" customWidth="1"/>
    <col min="11521" max="11521" width="5.85546875" customWidth="1"/>
    <col min="11522" max="11522" width="17.28515625" customWidth="1"/>
    <col min="11523" max="11523" width="12.5703125" customWidth="1"/>
    <col min="11524" max="11524" width="10.85546875" customWidth="1"/>
    <col min="11525" max="11525" width="11.28515625" customWidth="1"/>
    <col min="11526" max="11526" width="11.42578125" customWidth="1"/>
    <col min="11527" max="11527" width="10.85546875" customWidth="1"/>
    <col min="11528" max="11528" width="13.42578125" customWidth="1"/>
    <col min="11529" max="11529" width="11.5703125" bestFit="1" customWidth="1"/>
    <col min="11777" max="11777" width="5.85546875" customWidth="1"/>
    <col min="11778" max="11778" width="17.28515625" customWidth="1"/>
    <col min="11779" max="11779" width="12.5703125" customWidth="1"/>
    <col min="11780" max="11780" width="10.85546875" customWidth="1"/>
    <col min="11781" max="11781" width="11.28515625" customWidth="1"/>
    <col min="11782" max="11782" width="11.42578125" customWidth="1"/>
    <col min="11783" max="11783" width="10.85546875" customWidth="1"/>
    <col min="11784" max="11784" width="13.42578125" customWidth="1"/>
    <col min="11785" max="11785" width="11.5703125" bestFit="1" customWidth="1"/>
    <col min="12033" max="12033" width="5.85546875" customWidth="1"/>
    <col min="12034" max="12034" width="17.28515625" customWidth="1"/>
    <col min="12035" max="12035" width="12.5703125" customWidth="1"/>
    <col min="12036" max="12036" width="10.85546875" customWidth="1"/>
    <col min="12037" max="12037" width="11.28515625" customWidth="1"/>
    <col min="12038" max="12038" width="11.42578125" customWidth="1"/>
    <col min="12039" max="12039" width="10.85546875" customWidth="1"/>
    <col min="12040" max="12040" width="13.42578125" customWidth="1"/>
    <col min="12041" max="12041" width="11.5703125" bestFit="1" customWidth="1"/>
    <col min="12289" max="12289" width="5.85546875" customWidth="1"/>
    <col min="12290" max="12290" width="17.28515625" customWidth="1"/>
    <col min="12291" max="12291" width="12.5703125" customWidth="1"/>
    <col min="12292" max="12292" width="10.85546875" customWidth="1"/>
    <col min="12293" max="12293" width="11.28515625" customWidth="1"/>
    <col min="12294" max="12294" width="11.42578125" customWidth="1"/>
    <col min="12295" max="12295" width="10.85546875" customWidth="1"/>
    <col min="12296" max="12296" width="13.42578125" customWidth="1"/>
    <col min="12297" max="12297" width="11.5703125" bestFit="1" customWidth="1"/>
    <col min="12545" max="12545" width="5.85546875" customWidth="1"/>
    <col min="12546" max="12546" width="17.28515625" customWidth="1"/>
    <col min="12547" max="12547" width="12.5703125" customWidth="1"/>
    <col min="12548" max="12548" width="10.85546875" customWidth="1"/>
    <col min="12549" max="12549" width="11.28515625" customWidth="1"/>
    <col min="12550" max="12550" width="11.42578125" customWidth="1"/>
    <col min="12551" max="12551" width="10.85546875" customWidth="1"/>
    <col min="12552" max="12552" width="13.42578125" customWidth="1"/>
    <col min="12553" max="12553" width="11.5703125" bestFit="1" customWidth="1"/>
    <col min="12801" max="12801" width="5.85546875" customWidth="1"/>
    <col min="12802" max="12802" width="17.28515625" customWidth="1"/>
    <col min="12803" max="12803" width="12.5703125" customWidth="1"/>
    <col min="12804" max="12804" width="10.85546875" customWidth="1"/>
    <col min="12805" max="12805" width="11.28515625" customWidth="1"/>
    <col min="12806" max="12806" width="11.42578125" customWidth="1"/>
    <col min="12807" max="12807" width="10.85546875" customWidth="1"/>
    <col min="12808" max="12808" width="13.42578125" customWidth="1"/>
    <col min="12809" max="12809" width="11.5703125" bestFit="1" customWidth="1"/>
    <col min="13057" max="13057" width="5.85546875" customWidth="1"/>
    <col min="13058" max="13058" width="17.28515625" customWidth="1"/>
    <col min="13059" max="13059" width="12.5703125" customWidth="1"/>
    <col min="13060" max="13060" width="10.85546875" customWidth="1"/>
    <col min="13061" max="13061" width="11.28515625" customWidth="1"/>
    <col min="13062" max="13062" width="11.42578125" customWidth="1"/>
    <col min="13063" max="13063" width="10.85546875" customWidth="1"/>
    <col min="13064" max="13064" width="13.42578125" customWidth="1"/>
    <col min="13065" max="13065" width="11.5703125" bestFit="1" customWidth="1"/>
    <col min="13313" max="13313" width="5.85546875" customWidth="1"/>
    <col min="13314" max="13314" width="17.28515625" customWidth="1"/>
    <col min="13315" max="13315" width="12.5703125" customWidth="1"/>
    <col min="13316" max="13316" width="10.85546875" customWidth="1"/>
    <col min="13317" max="13317" width="11.28515625" customWidth="1"/>
    <col min="13318" max="13318" width="11.42578125" customWidth="1"/>
    <col min="13319" max="13319" width="10.85546875" customWidth="1"/>
    <col min="13320" max="13320" width="13.42578125" customWidth="1"/>
    <col min="13321" max="13321" width="11.5703125" bestFit="1" customWidth="1"/>
    <col min="13569" max="13569" width="5.85546875" customWidth="1"/>
    <col min="13570" max="13570" width="17.28515625" customWidth="1"/>
    <col min="13571" max="13571" width="12.5703125" customWidth="1"/>
    <col min="13572" max="13572" width="10.85546875" customWidth="1"/>
    <col min="13573" max="13573" width="11.28515625" customWidth="1"/>
    <col min="13574" max="13574" width="11.42578125" customWidth="1"/>
    <col min="13575" max="13575" width="10.85546875" customWidth="1"/>
    <col min="13576" max="13576" width="13.42578125" customWidth="1"/>
    <col min="13577" max="13577" width="11.5703125" bestFit="1" customWidth="1"/>
    <col min="13825" max="13825" width="5.85546875" customWidth="1"/>
    <col min="13826" max="13826" width="17.28515625" customWidth="1"/>
    <col min="13827" max="13827" width="12.5703125" customWidth="1"/>
    <col min="13828" max="13828" width="10.85546875" customWidth="1"/>
    <col min="13829" max="13829" width="11.28515625" customWidth="1"/>
    <col min="13830" max="13830" width="11.42578125" customWidth="1"/>
    <col min="13831" max="13831" width="10.85546875" customWidth="1"/>
    <col min="13832" max="13832" width="13.42578125" customWidth="1"/>
    <col min="13833" max="13833" width="11.5703125" bestFit="1" customWidth="1"/>
    <col min="14081" max="14081" width="5.85546875" customWidth="1"/>
    <col min="14082" max="14082" width="17.28515625" customWidth="1"/>
    <col min="14083" max="14083" width="12.5703125" customWidth="1"/>
    <col min="14084" max="14084" width="10.85546875" customWidth="1"/>
    <col min="14085" max="14085" width="11.28515625" customWidth="1"/>
    <col min="14086" max="14086" width="11.42578125" customWidth="1"/>
    <col min="14087" max="14087" width="10.85546875" customWidth="1"/>
    <col min="14088" max="14088" width="13.42578125" customWidth="1"/>
    <col min="14089" max="14089" width="11.5703125" bestFit="1" customWidth="1"/>
    <col min="14337" max="14337" width="5.85546875" customWidth="1"/>
    <col min="14338" max="14338" width="17.28515625" customWidth="1"/>
    <col min="14339" max="14339" width="12.5703125" customWidth="1"/>
    <col min="14340" max="14340" width="10.85546875" customWidth="1"/>
    <col min="14341" max="14341" width="11.28515625" customWidth="1"/>
    <col min="14342" max="14342" width="11.42578125" customWidth="1"/>
    <col min="14343" max="14343" width="10.85546875" customWidth="1"/>
    <col min="14344" max="14344" width="13.42578125" customWidth="1"/>
    <col min="14345" max="14345" width="11.5703125" bestFit="1" customWidth="1"/>
    <col min="14593" max="14593" width="5.85546875" customWidth="1"/>
    <col min="14594" max="14594" width="17.28515625" customWidth="1"/>
    <col min="14595" max="14595" width="12.5703125" customWidth="1"/>
    <col min="14596" max="14596" width="10.85546875" customWidth="1"/>
    <col min="14597" max="14597" width="11.28515625" customWidth="1"/>
    <col min="14598" max="14598" width="11.42578125" customWidth="1"/>
    <col min="14599" max="14599" width="10.85546875" customWidth="1"/>
    <col min="14600" max="14600" width="13.42578125" customWidth="1"/>
    <col min="14601" max="14601" width="11.5703125" bestFit="1" customWidth="1"/>
    <col min="14849" max="14849" width="5.85546875" customWidth="1"/>
    <col min="14850" max="14850" width="17.28515625" customWidth="1"/>
    <col min="14851" max="14851" width="12.5703125" customWidth="1"/>
    <col min="14852" max="14852" width="10.85546875" customWidth="1"/>
    <col min="14853" max="14853" width="11.28515625" customWidth="1"/>
    <col min="14854" max="14854" width="11.42578125" customWidth="1"/>
    <col min="14855" max="14855" width="10.85546875" customWidth="1"/>
    <col min="14856" max="14856" width="13.42578125" customWidth="1"/>
    <col min="14857" max="14857" width="11.5703125" bestFit="1" customWidth="1"/>
    <col min="15105" max="15105" width="5.85546875" customWidth="1"/>
    <col min="15106" max="15106" width="17.28515625" customWidth="1"/>
    <col min="15107" max="15107" width="12.5703125" customWidth="1"/>
    <col min="15108" max="15108" width="10.85546875" customWidth="1"/>
    <col min="15109" max="15109" width="11.28515625" customWidth="1"/>
    <col min="15110" max="15110" width="11.42578125" customWidth="1"/>
    <col min="15111" max="15111" width="10.85546875" customWidth="1"/>
    <col min="15112" max="15112" width="13.42578125" customWidth="1"/>
    <col min="15113" max="15113" width="11.5703125" bestFit="1" customWidth="1"/>
    <col min="15361" max="15361" width="5.85546875" customWidth="1"/>
    <col min="15362" max="15362" width="17.28515625" customWidth="1"/>
    <col min="15363" max="15363" width="12.5703125" customWidth="1"/>
    <col min="15364" max="15364" width="10.85546875" customWidth="1"/>
    <col min="15365" max="15365" width="11.28515625" customWidth="1"/>
    <col min="15366" max="15366" width="11.42578125" customWidth="1"/>
    <col min="15367" max="15367" width="10.85546875" customWidth="1"/>
    <col min="15368" max="15368" width="13.42578125" customWidth="1"/>
    <col min="15369" max="15369" width="11.5703125" bestFit="1" customWidth="1"/>
    <col min="15617" max="15617" width="5.85546875" customWidth="1"/>
    <col min="15618" max="15618" width="17.28515625" customWidth="1"/>
    <col min="15619" max="15619" width="12.5703125" customWidth="1"/>
    <col min="15620" max="15620" width="10.85546875" customWidth="1"/>
    <col min="15621" max="15621" width="11.28515625" customWidth="1"/>
    <col min="15622" max="15622" width="11.42578125" customWidth="1"/>
    <col min="15623" max="15623" width="10.85546875" customWidth="1"/>
    <col min="15624" max="15624" width="13.42578125" customWidth="1"/>
    <col min="15625" max="15625" width="11.5703125" bestFit="1" customWidth="1"/>
    <col min="15873" max="15873" width="5.85546875" customWidth="1"/>
    <col min="15874" max="15874" width="17.28515625" customWidth="1"/>
    <col min="15875" max="15875" width="12.5703125" customWidth="1"/>
    <col min="15876" max="15876" width="10.85546875" customWidth="1"/>
    <col min="15877" max="15877" width="11.28515625" customWidth="1"/>
    <col min="15878" max="15878" width="11.42578125" customWidth="1"/>
    <col min="15879" max="15879" width="10.85546875" customWidth="1"/>
    <col min="15880" max="15880" width="13.42578125" customWidth="1"/>
    <col min="15881" max="15881" width="11.5703125" bestFit="1" customWidth="1"/>
    <col min="16129" max="16129" width="5.85546875" customWidth="1"/>
    <col min="16130" max="16130" width="17.28515625" customWidth="1"/>
    <col min="16131" max="16131" width="12.5703125" customWidth="1"/>
    <col min="16132" max="16132" width="10.85546875" customWidth="1"/>
    <col min="16133" max="16133" width="11.28515625" customWidth="1"/>
    <col min="16134" max="16134" width="11.42578125" customWidth="1"/>
    <col min="16135" max="16135" width="10.85546875" customWidth="1"/>
    <col min="16136" max="16136" width="13.42578125" customWidth="1"/>
    <col min="16137" max="16137" width="11.5703125" bestFit="1" customWidth="1"/>
  </cols>
  <sheetData>
    <row r="1" spans="2:8" x14ac:dyDescent="0.25">
      <c r="B1" s="585" t="s">
        <v>59</v>
      </c>
      <c r="C1" s="585"/>
      <c r="D1" s="585"/>
      <c r="E1" s="585"/>
      <c r="F1" s="585"/>
      <c r="G1" s="585"/>
      <c r="H1" s="585"/>
    </row>
    <row r="2" spans="2:8" x14ac:dyDescent="0.25">
      <c r="B2" s="585"/>
      <c r="C2" s="585"/>
      <c r="D2" s="585"/>
      <c r="E2" s="585"/>
      <c r="F2" s="585"/>
      <c r="G2" s="585"/>
      <c r="H2" s="585"/>
    </row>
    <row r="3" spans="2:8" x14ac:dyDescent="0.25">
      <c r="B3" s="585"/>
      <c r="C3" s="585"/>
      <c r="D3" s="585"/>
      <c r="E3" s="585"/>
      <c r="F3" s="585"/>
      <c r="G3" s="585"/>
      <c r="H3" s="585"/>
    </row>
    <row r="4" spans="2:8" x14ac:dyDescent="0.25">
      <c r="B4" s="585"/>
      <c r="C4" s="585"/>
      <c r="D4" s="585"/>
      <c r="E4" s="585"/>
      <c r="F4" s="585"/>
      <c r="G4" s="585"/>
      <c r="H4" s="585"/>
    </row>
    <row r="5" spans="2:8" x14ac:dyDescent="0.25">
      <c r="B5" s="585"/>
      <c r="C5" s="585"/>
      <c r="D5" s="585"/>
      <c r="E5" s="585"/>
      <c r="F5" s="585"/>
      <c r="G5" s="585"/>
      <c r="H5" s="585"/>
    </row>
    <row r="6" spans="2:8" x14ac:dyDescent="0.25">
      <c r="B6" s="585"/>
      <c r="C6" s="585"/>
      <c r="D6" s="585"/>
      <c r="E6" s="585"/>
      <c r="F6" s="585"/>
      <c r="G6" s="585"/>
      <c r="H6" s="585"/>
    </row>
    <row r="7" spans="2:8" x14ac:dyDescent="0.25">
      <c r="B7" s="585"/>
      <c r="C7" s="585"/>
      <c r="D7" s="585"/>
      <c r="E7" s="585"/>
      <c r="F7" s="585"/>
      <c r="G7" s="585"/>
      <c r="H7" s="585"/>
    </row>
    <row r="8" spans="2:8" x14ac:dyDescent="0.25">
      <c r="B8" s="6"/>
      <c r="C8" s="6"/>
      <c r="D8" s="6"/>
      <c r="E8" s="273"/>
      <c r="F8" s="6"/>
      <c r="G8" s="6"/>
      <c r="H8" s="6"/>
    </row>
    <row r="9" spans="2:8" x14ac:dyDescent="0.25">
      <c r="B9" s="6"/>
      <c r="C9" s="6"/>
      <c r="D9" s="6"/>
      <c r="E9" s="273"/>
      <c r="F9" s="6"/>
      <c r="G9" s="6"/>
      <c r="H9" s="6"/>
    </row>
    <row r="10" spans="2:8" x14ac:dyDescent="0.25">
      <c r="B10" s="586" t="s">
        <v>60</v>
      </c>
      <c r="C10" s="586"/>
      <c r="D10" s="6" t="s">
        <v>61</v>
      </c>
      <c r="E10" s="273"/>
      <c r="F10" s="6" t="s">
        <v>62</v>
      </c>
      <c r="G10" s="6" t="s">
        <v>63</v>
      </c>
      <c r="H10" s="6"/>
    </row>
    <row r="11" spans="2:8" x14ac:dyDescent="0.25">
      <c r="B11" s="276"/>
      <c r="C11" s="276"/>
      <c r="D11" s="6"/>
      <c r="E11" s="273"/>
      <c r="F11" s="6"/>
      <c r="G11" s="6"/>
      <c r="H11" s="6"/>
    </row>
    <row r="12" spans="2:8" x14ac:dyDescent="0.25">
      <c r="B12" s="6"/>
      <c r="C12" s="6"/>
      <c r="D12" s="6"/>
      <c r="E12" s="273"/>
      <c r="F12" s="6"/>
      <c r="G12" s="6"/>
      <c r="H12" s="6"/>
    </row>
    <row r="13" spans="2:8" ht="16.5" customHeight="1" x14ac:dyDescent="0.25">
      <c r="B13" s="6" t="s">
        <v>64</v>
      </c>
      <c r="C13" s="6" t="s">
        <v>433</v>
      </c>
      <c r="D13" s="6"/>
      <c r="E13" s="273"/>
      <c r="F13" s="6"/>
      <c r="G13" s="6"/>
      <c r="H13" s="6"/>
    </row>
    <row r="14" spans="2:8" x14ac:dyDescent="0.25">
      <c r="B14" s="6"/>
      <c r="C14" s="6"/>
      <c r="D14" s="6"/>
      <c r="E14" s="273"/>
      <c r="F14" s="6"/>
      <c r="G14" s="6"/>
      <c r="H14" s="6"/>
    </row>
    <row r="15" spans="2:8" x14ac:dyDescent="0.25">
      <c r="B15" s="6" t="s">
        <v>434</v>
      </c>
      <c r="C15" s="6"/>
      <c r="D15" s="6"/>
      <c r="E15" s="273"/>
      <c r="F15" s="6"/>
      <c r="G15" s="6"/>
      <c r="H15" s="6"/>
    </row>
    <row r="16" spans="2:8" x14ac:dyDescent="0.25">
      <c r="B16" s="587" t="s">
        <v>473</v>
      </c>
      <c r="C16" s="587"/>
      <c r="D16" s="587"/>
      <c r="E16" s="587"/>
      <c r="F16" s="587"/>
      <c r="G16" s="587"/>
      <c r="H16" s="587"/>
    </row>
    <row r="17" spans="2:8" x14ac:dyDescent="0.25">
      <c r="B17" s="587"/>
      <c r="C17" s="587"/>
      <c r="D17" s="587"/>
      <c r="E17" s="587"/>
      <c r="F17" s="587"/>
      <c r="G17" s="587"/>
      <c r="H17" s="587"/>
    </row>
    <row r="18" spans="2:8" x14ac:dyDescent="0.25">
      <c r="B18" s="587"/>
      <c r="C18" s="587"/>
      <c r="D18" s="587"/>
      <c r="E18" s="587"/>
      <c r="F18" s="587"/>
      <c r="G18" s="587"/>
      <c r="H18" s="587"/>
    </row>
    <row r="19" spans="2:8" x14ac:dyDescent="0.25">
      <c r="B19" s="587"/>
      <c r="C19" s="587"/>
      <c r="D19" s="587"/>
      <c r="E19" s="587"/>
      <c r="F19" s="587"/>
      <c r="G19" s="587"/>
      <c r="H19" s="587"/>
    </row>
    <row r="20" spans="2:8" x14ac:dyDescent="0.25">
      <c r="B20" s="587"/>
      <c r="C20" s="587"/>
      <c r="D20" s="587"/>
      <c r="E20" s="587"/>
      <c r="F20" s="587"/>
      <c r="G20" s="587"/>
      <c r="H20" s="587"/>
    </row>
    <row r="21" spans="2:8" x14ac:dyDescent="0.25">
      <c r="B21" s="587"/>
      <c r="C21" s="587"/>
      <c r="D21" s="587"/>
      <c r="E21" s="587"/>
      <c r="F21" s="587"/>
      <c r="G21" s="587"/>
      <c r="H21" s="587"/>
    </row>
    <row r="22" spans="2:8" ht="57.75" customHeight="1" x14ac:dyDescent="0.25">
      <c r="B22" s="587"/>
      <c r="C22" s="587"/>
      <c r="D22" s="587"/>
      <c r="E22" s="587"/>
      <c r="F22" s="587"/>
      <c r="G22" s="587"/>
      <c r="H22" s="587"/>
    </row>
    <row r="23" spans="2:8" x14ac:dyDescent="0.25">
      <c r="B23" s="6"/>
      <c r="C23" s="6"/>
      <c r="D23" s="6"/>
      <c r="E23" s="273"/>
      <c r="F23" s="6"/>
      <c r="G23" s="6"/>
      <c r="H23" s="6"/>
    </row>
    <row r="24" spans="2:8" x14ac:dyDescent="0.25">
      <c r="B24" s="6"/>
      <c r="C24" s="6"/>
      <c r="D24" s="6"/>
      <c r="E24" s="273"/>
      <c r="F24" s="6"/>
      <c r="G24" s="6"/>
      <c r="H24" s="6"/>
    </row>
    <row r="25" spans="2:8" ht="25.5" customHeight="1" x14ac:dyDescent="0.5">
      <c r="B25" s="6" t="s">
        <v>65</v>
      </c>
      <c r="C25" s="6"/>
      <c r="D25" s="6"/>
      <c r="E25" s="366"/>
      <c r="F25" s="588">
        <f>H208</f>
        <v>6090.82</v>
      </c>
      <c r="G25" s="589"/>
      <c r="H25" s="6"/>
    </row>
    <row r="26" spans="2:8" ht="15" customHeight="1" x14ac:dyDescent="0.5">
      <c r="B26" s="6"/>
      <c r="C26" s="6"/>
      <c r="D26" s="6"/>
      <c r="E26" s="367"/>
      <c r="F26" s="589"/>
      <c r="G26" s="589"/>
      <c r="H26" s="6"/>
    </row>
    <row r="27" spans="2:8" x14ac:dyDescent="0.25">
      <c r="B27" s="6"/>
      <c r="C27" s="6"/>
      <c r="D27" s="6"/>
      <c r="E27" s="273"/>
      <c r="F27" s="6"/>
      <c r="G27" s="6"/>
      <c r="H27" s="6"/>
    </row>
    <row r="28" spans="2:8" x14ac:dyDescent="0.25">
      <c r="B28" s="6"/>
      <c r="C28" s="6"/>
      <c r="D28" s="6"/>
      <c r="E28" s="273"/>
      <c r="F28" s="6"/>
      <c r="G28" s="6"/>
      <c r="H28" s="6"/>
    </row>
    <row r="29" spans="2:8" x14ac:dyDescent="0.25">
      <c r="B29" s="6"/>
      <c r="C29" s="6"/>
      <c r="D29" s="6"/>
      <c r="E29" s="273"/>
      <c r="F29" s="6"/>
      <c r="G29" s="6"/>
      <c r="H29" s="6"/>
    </row>
    <row r="30" spans="2:8" x14ac:dyDescent="0.25">
      <c r="B30" s="6" t="s">
        <v>66</v>
      </c>
      <c r="C30" s="6"/>
      <c r="D30" s="6"/>
      <c r="E30" s="273"/>
      <c r="F30" s="6"/>
      <c r="G30" s="6"/>
      <c r="H30" s="6"/>
    </row>
    <row r="31" spans="2:8" x14ac:dyDescent="0.25">
      <c r="B31" s="6"/>
      <c r="C31" s="6"/>
      <c r="D31" s="6"/>
      <c r="E31" s="273"/>
      <c r="F31" s="6"/>
      <c r="G31" s="6"/>
      <c r="H31" s="6"/>
    </row>
    <row r="32" spans="2:8" x14ac:dyDescent="0.25">
      <c r="B32" s="590" t="s">
        <v>435</v>
      </c>
      <c r="C32" s="590"/>
      <c r="D32" s="590"/>
      <c r="E32" s="590"/>
      <c r="F32" s="590"/>
      <c r="G32" s="590"/>
      <c r="H32" s="590"/>
    </row>
    <row r="33" spans="2:8" x14ac:dyDescent="0.25">
      <c r="B33" s="590"/>
      <c r="C33" s="590"/>
      <c r="D33" s="590"/>
      <c r="E33" s="590"/>
      <c r="F33" s="590"/>
      <c r="G33" s="590"/>
      <c r="H33" s="590"/>
    </row>
    <row r="34" spans="2:8" x14ac:dyDescent="0.25">
      <c r="B34" s="590"/>
      <c r="C34" s="590"/>
      <c r="D34" s="590"/>
      <c r="E34" s="590"/>
      <c r="F34" s="590"/>
      <c r="G34" s="590"/>
      <c r="H34" s="590"/>
    </row>
    <row r="35" spans="2:8" x14ac:dyDescent="0.25">
      <c r="B35" s="6" t="s">
        <v>436</v>
      </c>
      <c r="C35" s="6"/>
      <c r="D35" s="6"/>
      <c r="E35" s="273"/>
      <c r="F35" s="6"/>
      <c r="G35" s="6"/>
      <c r="H35" s="6"/>
    </row>
    <row r="36" spans="2:8" x14ac:dyDescent="0.25">
      <c r="B36" s="590" t="s">
        <v>437</v>
      </c>
      <c r="C36" s="590"/>
      <c r="D36" s="590"/>
      <c r="E36" s="590"/>
      <c r="F36" s="590"/>
      <c r="G36" s="590"/>
      <c r="H36" s="590"/>
    </row>
    <row r="37" spans="2:8" x14ac:dyDescent="0.25">
      <c r="B37" s="590"/>
      <c r="C37" s="590"/>
      <c r="D37" s="590"/>
      <c r="E37" s="590"/>
      <c r="F37" s="590"/>
      <c r="G37" s="590"/>
      <c r="H37" s="590"/>
    </row>
    <row r="38" spans="2:8" x14ac:dyDescent="0.25">
      <c r="B38" s="6"/>
      <c r="C38" s="6"/>
      <c r="D38" s="6"/>
      <c r="E38" s="273"/>
      <c r="F38" s="6"/>
      <c r="G38" s="6"/>
      <c r="H38" s="6"/>
    </row>
    <row r="39" spans="2:8" x14ac:dyDescent="0.25">
      <c r="B39" s="6"/>
      <c r="C39" s="6"/>
      <c r="D39" s="6"/>
      <c r="E39" s="273"/>
      <c r="F39" s="6"/>
      <c r="G39" s="6"/>
      <c r="H39" s="6"/>
    </row>
    <row r="40" spans="2:8" x14ac:dyDescent="0.25">
      <c r="B40" s="6"/>
      <c r="C40" s="6"/>
      <c r="D40" s="6"/>
      <c r="E40" s="273"/>
      <c r="F40" s="6"/>
      <c r="G40" s="6"/>
      <c r="H40" s="6"/>
    </row>
    <row r="41" spans="2:8" x14ac:dyDescent="0.25">
      <c r="B41" s="6"/>
      <c r="C41" s="6"/>
      <c r="D41" s="6"/>
      <c r="E41" s="273"/>
      <c r="F41" s="6"/>
      <c r="G41" s="6"/>
      <c r="H41" s="6"/>
    </row>
    <row r="42" spans="2:8" x14ac:dyDescent="0.25">
      <c r="B42" s="6"/>
      <c r="C42" s="6"/>
      <c r="D42" s="6"/>
      <c r="E42" s="273"/>
      <c r="F42" s="6"/>
      <c r="G42" s="6"/>
      <c r="H42" s="6"/>
    </row>
    <row r="43" spans="2:8" x14ac:dyDescent="0.25">
      <c r="B43" s="591" t="s">
        <v>69</v>
      </c>
      <c r="C43" s="591"/>
      <c r="D43" s="591"/>
      <c r="E43" s="591"/>
      <c r="F43" s="591"/>
      <c r="G43" s="591"/>
      <c r="H43" s="591"/>
    </row>
    <row r="44" spans="2:8" x14ac:dyDescent="0.25">
      <c r="B44" s="592" t="s">
        <v>475</v>
      </c>
      <c r="C44" s="592"/>
      <c r="D44" s="592"/>
      <c r="E44" s="592"/>
      <c r="F44" s="592"/>
      <c r="G44" s="592"/>
      <c r="H44" s="592"/>
    </row>
    <row r="45" spans="2:8" x14ac:dyDescent="0.25">
      <c r="B45" s="273"/>
      <c r="C45" s="273"/>
      <c r="D45" s="273"/>
      <c r="E45" s="273"/>
      <c r="F45" s="273"/>
      <c r="G45" s="273"/>
      <c r="H45" s="273"/>
    </row>
    <row r="46" spans="2:8" x14ac:dyDescent="0.25">
      <c r="B46" s="275"/>
      <c r="C46" s="275"/>
      <c r="D46" s="275"/>
      <c r="E46" s="274"/>
      <c r="F46" s="275"/>
      <c r="G46" s="275"/>
      <c r="H46" s="275"/>
    </row>
    <row r="47" spans="2:8" x14ac:dyDescent="0.25">
      <c r="B47" s="593" t="s">
        <v>71</v>
      </c>
      <c r="C47" s="593"/>
      <c r="D47" s="593"/>
      <c r="E47" s="593"/>
      <c r="F47" s="593"/>
      <c r="G47" s="593"/>
      <c r="H47" s="593"/>
    </row>
    <row r="48" spans="2:8" x14ac:dyDescent="0.25">
      <c r="B48" s="593"/>
      <c r="C48" s="593"/>
      <c r="D48" s="593"/>
      <c r="E48" s="593"/>
      <c r="F48" s="593"/>
      <c r="G48" s="593"/>
      <c r="H48" s="593"/>
    </row>
    <row r="49" spans="2:17" x14ac:dyDescent="0.25">
      <c r="B49" s="593"/>
      <c r="C49" s="593"/>
      <c r="D49" s="593"/>
      <c r="E49" s="593"/>
      <c r="F49" s="593"/>
      <c r="G49" s="593"/>
      <c r="H49" s="593"/>
      <c r="K49" s="6"/>
      <c r="L49" s="6"/>
      <c r="M49" s="6"/>
      <c r="N49" s="273"/>
      <c r="O49" s="6"/>
      <c r="P49" s="6"/>
      <c r="Q49" s="6"/>
    </row>
    <row r="50" spans="2:17" x14ac:dyDescent="0.25">
      <c r="B50" s="593"/>
      <c r="C50" s="593"/>
      <c r="D50" s="593"/>
      <c r="E50" s="593"/>
      <c r="F50" s="593"/>
      <c r="G50" s="593"/>
      <c r="H50" s="593"/>
    </row>
    <row r="51" spans="2:17" x14ac:dyDescent="0.25">
      <c r="B51" s="593"/>
      <c r="C51" s="593"/>
      <c r="D51" s="593"/>
      <c r="E51" s="593"/>
      <c r="F51" s="593"/>
      <c r="G51" s="593"/>
      <c r="H51" s="593"/>
    </row>
    <row r="52" spans="2:17" x14ac:dyDescent="0.25">
      <c r="B52" s="593"/>
      <c r="C52" s="593"/>
      <c r="D52" s="593"/>
      <c r="E52" s="593"/>
      <c r="F52" s="593"/>
      <c r="G52" s="593"/>
      <c r="H52" s="593"/>
    </row>
    <row r="53" spans="2:17" x14ac:dyDescent="0.25">
      <c r="B53" s="593"/>
      <c r="C53" s="593"/>
      <c r="D53" s="593"/>
      <c r="E53" s="593"/>
      <c r="F53" s="593"/>
      <c r="G53" s="593"/>
      <c r="H53" s="593"/>
    </row>
    <row r="54" spans="2:17" x14ac:dyDescent="0.25">
      <c r="B54" s="6"/>
      <c r="C54" s="6"/>
      <c r="D54" s="6"/>
      <c r="E54" s="273"/>
      <c r="F54" s="6"/>
      <c r="G54" s="6"/>
      <c r="H54" s="6"/>
    </row>
    <row r="55" spans="2:17" x14ac:dyDescent="0.25">
      <c r="B55" s="586" t="s">
        <v>60</v>
      </c>
      <c r="C55" s="586"/>
      <c r="D55" s="6" t="s">
        <v>61</v>
      </c>
      <c r="E55" s="273"/>
      <c r="F55" s="6" t="s">
        <v>62</v>
      </c>
      <c r="G55" s="6" t="s">
        <v>63</v>
      </c>
      <c r="H55" s="6"/>
    </row>
    <row r="56" spans="2:17" x14ac:dyDescent="0.25">
      <c r="B56" s="276"/>
      <c r="C56" s="276"/>
      <c r="D56" s="6"/>
      <c r="E56" s="273"/>
      <c r="F56" s="6"/>
      <c r="G56" s="6"/>
      <c r="H56" s="6"/>
    </row>
    <row r="57" spans="2:17" x14ac:dyDescent="0.25">
      <c r="B57" s="276" t="str">
        <f>B13</f>
        <v>PROYECTO:</v>
      </c>
      <c r="C57" s="276" t="str">
        <f>C13</f>
        <v>REPARACION Y MANTENIMIENTO DE CALLES URBANAS Y RURALES 2012</v>
      </c>
      <c r="D57" s="6"/>
      <c r="E57" s="273"/>
      <c r="F57" s="6"/>
      <c r="G57" s="6"/>
      <c r="H57" s="6"/>
    </row>
    <row r="58" spans="2:17" x14ac:dyDescent="0.25">
      <c r="B58" s="6"/>
      <c r="C58" s="6"/>
      <c r="D58" s="6"/>
      <c r="E58" s="273"/>
      <c r="F58" s="6"/>
      <c r="G58" s="6"/>
      <c r="H58" s="6"/>
    </row>
    <row r="59" spans="2:17" x14ac:dyDescent="0.25">
      <c r="B59" s="6" t="s">
        <v>434</v>
      </c>
      <c r="C59" s="6"/>
      <c r="D59" s="6"/>
      <c r="E59" s="273"/>
      <c r="F59" s="6"/>
      <c r="G59" s="6"/>
      <c r="H59" s="6"/>
    </row>
    <row r="60" spans="2:17" ht="15" customHeight="1" x14ac:dyDescent="0.25">
      <c r="B60" s="587" t="str">
        <f>B16</f>
        <v>"CONFORMACION DE RASANTE DE  COLONIA SANTA MARTA"</v>
      </c>
      <c r="C60" s="587"/>
      <c r="D60" s="587"/>
      <c r="E60" s="587"/>
      <c r="F60" s="587"/>
      <c r="G60" s="587"/>
      <c r="H60" s="587"/>
    </row>
    <row r="61" spans="2:17" ht="15" customHeight="1" x14ac:dyDescent="0.25">
      <c r="B61" s="587"/>
      <c r="C61" s="587"/>
      <c r="D61" s="587"/>
      <c r="E61" s="587"/>
      <c r="F61" s="587"/>
      <c r="G61" s="587"/>
      <c r="H61" s="587"/>
    </row>
    <row r="62" spans="2:17" ht="15" customHeight="1" x14ac:dyDescent="0.25">
      <c r="B62" s="587"/>
      <c r="C62" s="587"/>
      <c r="D62" s="587"/>
      <c r="E62" s="587"/>
      <c r="F62" s="587"/>
      <c r="G62" s="587"/>
      <c r="H62" s="587"/>
    </row>
    <row r="63" spans="2:17" ht="15" customHeight="1" x14ac:dyDescent="0.25">
      <c r="B63" s="587"/>
      <c r="C63" s="587"/>
      <c r="D63" s="587"/>
      <c r="E63" s="587"/>
      <c r="F63" s="587"/>
      <c r="G63" s="587"/>
      <c r="H63" s="587"/>
    </row>
    <row r="64" spans="2:17" ht="15" customHeight="1" x14ac:dyDescent="0.25">
      <c r="B64" s="587"/>
      <c r="C64" s="587"/>
      <c r="D64" s="587"/>
      <c r="E64" s="587"/>
      <c r="F64" s="587"/>
      <c r="G64" s="587"/>
      <c r="H64" s="587"/>
    </row>
    <row r="65" spans="2:8" ht="15" customHeight="1" x14ac:dyDescent="0.25">
      <c r="B65" s="587"/>
      <c r="C65" s="587"/>
      <c r="D65" s="587"/>
      <c r="E65" s="587"/>
      <c r="F65" s="587"/>
      <c r="G65" s="587"/>
      <c r="H65" s="587"/>
    </row>
    <row r="66" spans="2:8" ht="8.25" customHeight="1" x14ac:dyDescent="0.25">
      <c r="B66" s="587"/>
      <c r="C66" s="587"/>
      <c r="D66" s="587"/>
      <c r="E66" s="587"/>
      <c r="F66" s="587"/>
      <c r="G66" s="587"/>
      <c r="H66" s="587"/>
    </row>
    <row r="67" spans="2:8" x14ac:dyDescent="0.25">
      <c r="B67" s="6" t="s">
        <v>72</v>
      </c>
      <c r="C67" s="6"/>
      <c r="D67" s="6"/>
      <c r="E67" s="273"/>
      <c r="F67" s="6"/>
      <c r="G67" s="6"/>
      <c r="H67" s="6"/>
    </row>
    <row r="68" spans="2:8" x14ac:dyDescent="0.25">
      <c r="B68" s="6"/>
      <c r="C68" s="6"/>
      <c r="D68" s="6"/>
      <c r="E68" s="273"/>
      <c r="F68" s="584"/>
      <c r="G68" s="584"/>
      <c r="H68" s="6"/>
    </row>
    <row r="69" spans="2:8" x14ac:dyDescent="0.25">
      <c r="B69" s="6" t="s">
        <v>73</v>
      </c>
      <c r="C69" s="6"/>
      <c r="D69" s="6"/>
      <c r="E69" s="273"/>
      <c r="F69" s="6"/>
      <c r="G69" s="6"/>
      <c r="H69" s="6"/>
    </row>
    <row r="70" spans="2:8" x14ac:dyDescent="0.25">
      <c r="B70" s="594" t="str">
        <f>B32</f>
        <v>Ing. José Mauricio Serrano.</v>
      </c>
      <c r="C70" s="594"/>
      <c r="D70" s="594"/>
      <c r="E70" s="594"/>
      <c r="F70" s="594"/>
      <c r="G70" s="594"/>
      <c r="H70" s="594"/>
    </row>
    <row r="71" spans="2:8" x14ac:dyDescent="0.25">
      <c r="B71" s="6"/>
      <c r="C71" s="6"/>
      <c r="D71" s="6"/>
      <c r="E71" s="273"/>
      <c r="F71" s="584"/>
      <c r="G71" s="584"/>
      <c r="H71" s="6"/>
    </row>
    <row r="72" spans="2:8" x14ac:dyDescent="0.25">
      <c r="B72" s="6" t="s">
        <v>74</v>
      </c>
      <c r="C72" s="6"/>
      <c r="D72" s="6"/>
      <c r="E72" s="273" t="s">
        <v>75</v>
      </c>
      <c r="F72" s="9" t="str">
        <f>B44</f>
        <v>DICIEMBRE DE 2015</v>
      </c>
      <c r="G72" s="6"/>
      <c r="H72" s="6"/>
    </row>
    <row r="73" spans="2:8" x14ac:dyDescent="0.25">
      <c r="B73" s="6"/>
      <c r="C73" s="6"/>
      <c r="D73" s="6"/>
      <c r="E73" s="273"/>
      <c r="F73" s="6"/>
      <c r="G73" s="6"/>
      <c r="H73" s="6"/>
    </row>
    <row r="74" spans="2:8" x14ac:dyDescent="0.25">
      <c r="B74" s="6" t="s">
        <v>76</v>
      </c>
      <c r="C74" s="6"/>
      <c r="D74" s="6"/>
      <c r="E74" s="273"/>
      <c r="F74" s="6"/>
      <c r="G74" s="6"/>
      <c r="H74" s="6"/>
    </row>
    <row r="75" spans="2:8" x14ac:dyDescent="0.25">
      <c r="B75" s="6"/>
      <c r="C75" s="6"/>
      <c r="D75" s="6"/>
      <c r="E75" s="273"/>
      <c r="F75" s="6"/>
      <c r="G75" s="6"/>
      <c r="H75" s="6"/>
    </row>
    <row r="76" spans="2:8" x14ac:dyDescent="0.25">
      <c r="B76" s="10" t="s">
        <v>77</v>
      </c>
      <c r="C76" s="10"/>
      <c r="D76" s="10"/>
      <c r="E76" s="273"/>
      <c r="F76" s="10"/>
      <c r="G76" s="10"/>
      <c r="H76" s="10"/>
    </row>
    <row r="77" spans="2:8" x14ac:dyDescent="0.25">
      <c r="B77" s="10"/>
      <c r="C77" s="10"/>
      <c r="D77" s="10"/>
      <c r="E77" s="273"/>
      <c r="F77" s="10"/>
      <c r="G77" s="10"/>
      <c r="H77" s="10"/>
    </row>
    <row r="78" spans="2:8" x14ac:dyDescent="0.25">
      <c r="B78" s="10"/>
      <c r="C78" s="10"/>
      <c r="D78" s="10"/>
      <c r="E78" s="273"/>
      <c r="F78" s="10"/>
      <c r="G78" s="10"/>
      <c r="H78" s="10"/>
    </row>
    <row r="79" spans="2:8" x14ac:dyDescent="0.25">
      <c r="B79" s="10"/>
      <c r="C79" s="10"/>
      <c r="D79" s="10"/>
      <c r="E79" s="273"/>
      <c r="F79" s="10"/>
      <c r="G79" s="10"/>
      <c r="H79" s="10"/>
    </row>
    <row r="80" spans="2:8" x14ac:dyDescent="0.25">
      <c r="B80" s="10"/>
      <c r="C80" s="10"/>
      <c r="D80" s="10"/>
      <c r="E80" s="273"/>
      <c r="F80" s="10"/>
      <c r="G80" s="10"/>
      <c r="H80" s="10"/>
    </row>
    <row r="81" spans="2:8" x14ac:dyDescent="0.25">
      <c r="B81" s="10"/>
      <c r="C81" s="10"/>
      <c r="D81" s="10"/>
      <c r="E81" s="273"/>
      <c r="F81" s="10"/>
      <c r="G81" s="10"/>
      <c r="H81" s="10"/>
    </row>
    <row r="82" spans="2:8" x14ac:dyDescent="0.25">
      <c r="B82" s="10"/>
      <c r="C82" s="10"/>
      <c r="D82" s="10"/>
      <c r="E82" s="273"/>
      <c r="F82" s="10"/>
      <c r="G82" s="10"/>
      <c r="H82" s="10"/>
    </row>
    <row r="83" spans="2:8" x14ac:dyDescent="0.25">
      <c r="B83" s="595"/>
      <c r="C83" s="595"/>
      <c r="D83" s="595"/>
      <c r="E83" s="273"/>
      <c r="F83" s="595"/>
      <c r="G83" s="595"/>
      <c r="H83" s="595"/>
    </row>
    <row r="84" spans="2:8" x14ac:dyDescent="0.25">
      <c r="B84" s="596" t="s">
        <v>438</v>
      </c>
      <c r="C84" s="596"/>
      <c r="D84" s="596"/>
      <c r="E84" s="273"/>
      <c r="F84" s="596" t="s">
        <v>79</v>
      </c>
      <c r="G84" s="596"/>
      <c r="H84" s="596"/>
    </row>
    <row r="85" spans="2:8" x14ac:dyDescent="0.25">
      <c r="B85" s="591" t="s">
        <v>80</v>
      </c>
      <c r="C85" s="591"/>
      <c r="D85" s="591"/>
      <c r="E85" s="273"/>
      <c r="F85" s="591" t="s">
        <v>81</v>
      </c>
      <c r="G85" s="591"/>
      <c r="H85" s="591"/>
    </row>
    <row r="86" spans="2:8" x14ac:dyDescent="0.25">
      <c r="B86" s="6"/>
      <c r="C86" s="6"/>
      <c r="D86" s="6"/>
      <c r="E86" s="273"/>
      <c r="F86" s="6"/>
      <c r="G86" s="6"/>
      <c r="H86" s="6"/>
    </row>
    <row r="87" spans="2:8" x14ac:dyDescent="0.25">
      <c r="B87" s="6"/>
      <c r="C87" s="6"/>
      <c r="D87" s="6"/>
      <c r="E87" s="273"/>
      <c r="F87" s="6"/>
      <c r="G87" s="6"/>
      <c r="H87" s="6"/>
    </row>
    <row r="88" spans="2:8" x14ac:dyDescent="0.25">
      <c r="B88" s="6"/>
      <c r="C88" s="6"/>
      <c r="D88" s="6"/>
      <c r="E88" s="273"/>
      <c r="F88" s="6"/>
      <c r="G88" s="6"/>
      <c r="H88" s="6"/>
    </row>
    <row r="89" spans="2:8" x14ac:dyDescent="0.25">
      <c r="B89" s="11"/>
      <c r="C89" s="11"/>
      <c r="D89" s="12"/>
      <c r="E89" s="368"/>
      <c r="F89" s="12"/>
      <c r="G89" s="11"/>
      <c r="H89" s="11"/>
    </row>
    <row r="90" spans="2:8" x14ac:dyDescent="0.25">
      <c r="B90" s="599" t="s">
        <v>439</v>
      </c>
      <c r="C90" s="599"/>
      <c r="D90" s="599"/>
      <c r="E90" s="599"/>
      <c r="F90" s="599"/>
      <c r="G90" s="599"/>
      <c r="H90" s="599"/>
    </row>
    <row r="91" spans="2:8" x14ac:dyDescent="0.25">
      <c r="B91" s="600" t="s">
        <v>440</v>
      </c>
      <c r="C91" s="600"/>
      <c r="D91" s="600"/>
      <c r="E91" s="600"/>
      <c r="F91" s="600"/>
      <c r="G91" s="600"/>
      <c r="H91" s="600"/>
    </row>
    <row r="92" spans="2:8" x14ac:dyDescent="0.25">
      <c r="B92" s="268"/>
      <c r="C92" s="268"/>
      <c r="D92" s="268"/>
      <c r="E92" s="268"/>
      <c r="F92" s="268"/>
      <c r="G92" s="268"/>
      <c r="H92" s="268"/>
    </row>
    <row r="93" spans="2:8" ht="15" customHeight="1" x14ac:dyDescent="0.25">
      <c r="B93" s="601" t="s">
        <v>102</v>
      </c>
      <c r="C93" s="601"/>
      <c r="D93" s="601"/>
      <c r="E93" s="601"/>
      <c r="F93" s="601"/>
      <c r="G93" s="601"/>
      <c r="H93" s="601"/>
    </row>
    <row r="94" spans="2:8" ht="15" customHeight="1" x14ac:dyDescent="0.25">
      <c r="B94" s="601"/>
      <c r="C94" s="601"/>
      <c r="D94" s="601"/>
      <c r="E94" s="601"/>
      <c r="F94" s="601"/>
      <c r="G94" s="601"/>
      <c r="H94" s="601"/>
    </row>
    <row r="95" spans="2:8" ht="45.75" customHeight="1" x14ac:dyDescent="0.25">
      <c r="B95" s="601"/>
      <c r="C95" s="601"/>
      <c r="D95" s="601"/>
      <c r="E95" s="601"/>
      <c r="F95" s="601"/>
      <c r="G95" s="601"/>
      <c r="H95" s="601"/>
    </row>
    <row r="96" spans="2:8" ht="15.75" thickBot="1" x14ac:dyDescent="0.3"/>
    <row r="97" spans="2:8" ht="15.75" thickBot="1" x14ac:dyDescent="0.3">
      <c r="B97" s="602" t="s">
        <v>103</v>
      </c>
      <c r="C97" s="603"/>
      <c r="D97" s="603"/>
      <c r="E97" s="604"/>
      <c r="F97" s="602" t="s">
        <v>104</v>
      </c>
      <c r="G97" s="603"/>
      <c r="H97" s="604"/>
    </row>
    <row r="98" spans="2:8" x14ac:dyDescent="0.25">
      <c r="B98" s="370"/>
      <c r="C98" s="14"/>
      <c r="D98" s="271"/>
      <c r="E98" s="371"/>
      <c r="F98" s="372"/>
      <c r="G98" s="373"/>
      <c r="H98" s="374"/>
    </row>
    <row r="99" spans="2:8" x14ac:dyDescent="0.25">
      <c r="B99" s="605"/>
      <c r="C99" s="606"/>
      <c r="D99" s="607"/>
      <c r="E99" s="608"/>
      <c r="F99" s="372"/>
      <c r="G99" s="373"/>
      <c r="H99" s="375"/>
    </row>
    <row r="100" spans="2:8" x14ac:dyDescent="0.25">
      <c r="B100" s="370" t="str">
        <f>B145</f>
        <v>MATERIALES</v>
      </c>
      <c r="C100" s="14"/>
      <c r="D100" s="607">
        <f>D145</f>
        <v>2831.06</v>
      </c>
      <c r="E100" s="608"/>
      <c r="F100" s="376" t="s">
        <v>476</v>
      </c>
      <c r="G100" s="377"/>
      <c r="H100" s="378">
        <f>D148</f>
        <v>344.76</v>
      </c>
    </row>
    <row r="101" spans="2:8" x14ac:dyDescent="0.25">
      <c r="B101" s="370" t="str">
        <f>B146</f>
        <v>MAQUINARIA DE TERRACERÍA</v>
      </c>
      <c r="C101" s="14"/>
      <c r="D101" s="607">
        <f>D146</f>
        <v>2360</v>
      </c>
      <c r="E101" s="608"/>
      <c r="F101" s="376"/>
      <c r="G101" s="377"/>
      <c r="H101" s="378"/>
    </row>
    <row r="102" spans="2:8" x14ac:dyDescent="0.25">
      <c r="B102" s="370" t="str">
        <f>B147</f>
        <v>MANO DE OBRA TERRACERIA</v>
      </c>
      <c r="C102" s="14"/>
      <c r="D102" s="607">
        <f>D147</f>
        <v>555</v>
      </c>
      <c r="E102" s="608"/>
      <c r="F102" s="376"/>
      <c r="G102" s="377"/>
      <c r="H102" s="378"/>
    </row>
    <row r="103" spans="2:8" x14ac:dyDescent="0.25">
      <c r="B103" s="376"/>
      <c r="C103" s="14"/>
      <c r="D103" s="379"/>
      <c r="E103" s="380"/>
      <c r="F103" s="376"/>
      <c r="G103" s="14"/>
      <c r="H103" s="381"/>
    </row>
    <row r="104" spans="2:8" x14ac:dyDescent="0.25">
      <c r="B104" s="382"/>
      <c r="C104" s="17"/>
      <c r="D104" s="17"/>
      <c r="E104" s="383"/>
      <c r="F104" s="370"/>
      <c r="G104" s="14"/>
      <c r="H104" s="381"/>
    </row>
    <row r="105" spans="2:8" x14ac:dyDescent="0.25">
      <c r="B105" s="372"/>
      <c r="C105" s="373"/>
      <c r="D105" s="384"/>
      <c r="E105" s="383"/>
      <c r="F105" s="370"/>
      <c r="G105" s="14"/>
      <c r="H105" s="385"/>
    </row>
    <row r="106" spans="2:8" x14ac:dyDescent="0.25">
      <c r="B106" s="370" t="s">
        <v>442</v>
      </c>
      <c r="C106" s="14"/>
      <c r="D106" s="386">
        <f>SUM(D99:D105)</f>
        <v>5746.0599999999995</v>
      </c>
      <c r="E106" s="387"/>
      <c r="F106" s="370" t="s">
        <v>442</v>
      </c>
      <c r="G106" s="14"/>
      <c r="H106" s="388">
        <f>SUM(H100:H104)</f>
        <v>344.76</v>
      </c>
    </row>
    <row r="107" spans="2:8" x14ac:dyDescent="0.25">
      <c r="B107" s="370"/>
      <c r="C107" s="389"/>
      <c r="D107" s="390"/>
      <c r="E107" s="391"/>
      <c r="F107" s="370"/>
      <c r="G107" s="389"/>
      <c r="H107" s="383"/>
    </row>
    <row r="108" spans="2:8" ht="15.75" thickBot="1" x14ac:dyDescent="0.3">
      <c r="B108" s="392"/>
      <c r="C108" s="393"/>
      <c r="D108" s="393"/>
      <c r="E108" s="394"/>
      <c r="F108" s="392"/>
      <c r="G108" s="393"/>
      <c r="H108" s="45"/>
    </row>
    <row r="109" spans="2:8" x14ac:dyDescent="0.25">
      <c r="B109" s="14"/>
      <c r="C109" s="14"/>
      <c r="D109" s="14"/>
      <c r="E109" s="395"/>
      <c r="F109" s="14"/>
      <c r="G109" s="14"/>
      <c r="H109" s="50"/>
    </row>
    <row r="110" spans="2:8" x14ac:dyDescent="0.25">
      <c r="B110" s="14"/>
      <c r="C110" s="14"/>
      <c r="D110" s="14"/>
      <c r="E110" s="395"/>
      <c r="F110" s="14"/>
      <c r="G110" s="14"/>
      <c r="H110" s="50"/>
    </row>
    <row r="111" spans="2:8" x14ac:dyDescent="0.25">
      <c r="B111" s="14"/>
      <c r="C111" s="14"/>
      <c r="D111" s="32"/>
      <c r="E111" s="396"/>
      <c r="F111" s="386"/>
      <c r="G111" s="271"/>
      <c r="H111" s="271"/>
    </row>
    <row r="112" spans="2:8" ht="23.25" customHeight="1" x14ac:dyDescent="0.25">
      <c r="B112" s="14"/>
      <c r="C112" s="14"/>
      <c r="D112" s="14" t="str">
        <f>B100</f>
        <v>MATERIALES</v>
      </c>
      <c r="E112" s="32"/>
      <c r="F112" s="397">
        <f>D100</f>
        <v>2831.06</v>
      </c>
      <c r="G112" s="14"/>
      <c r="H112" s="14"/>
    </row>
    <row r="113" spans="1:8" ht="28.5" customHeight="1" x14ac:dyDescent="0.25">
      <c r="B113" s="14"/>
      <c r="C113" s="14"/>
      <c r="D113" s="597" t="str">
        <f>B101</f>
        <v>MAQUINARIA DE TERRACERÍA</v>
      </c>
      <c r="E113" s="598"/>
      <c r="F113" s="397">
        <f>D101</f>
        <v>2360</v>
      </c>
      <c r="G113" s="14"/>
      <c r="H113" s="14"/>
    </row>
    <row r="114" spans="1:8" ht="27.75" customHeight="1" x14ac:dyDescent="0.25">
      <c r="B114" s="14"/>
      <c r="C114" s="377"/>
      <c r="D114" s="597" t="str">
        <f>B102</f>
        <v>MANO DE OBRA TERRACERIA</v>
      </c>
      <c r="E114" s="598"/>
      <c r="F114" s="398">
        <f>D102</f>
        <v>555</v>
      </c>
      <c r="G114" s="14"/>
      <c r="H114" s="14"/>
    </row>
    <row r="115" spans="1:8" ht="23.25" customHeight="1" x14ac:dyDescent="0.25">
      <c r="B115" s="14"/>
      <c r="C115" s="377"/>
      <c r="D115" s="399" t="s">
        <v>169</v>
      </c>
      <c r="E115" s="396"/>
      <c r="F115" s="400">
        <f>SUM(F111:F114)</f>
        <v>5746.0599999999995</v>
      </c>
      <c r="G115" s="14"/>
      <c r="H115" s="14"/>
    </row>
    <row r="116" spans="1:8" x14ac:dyDescent="0.25">
      <c r="B116" s="14"/>
      <c r="C116" s="14"/>
      <c r="D116" s="32"/>
      <c r="E116" s="396"/>
      <c r="F116" s="397"/>
      <c r="G116" s="14"/>
      <c r="H116" s="14"/>
    </row>
    <row r="117" spans="1:8" x14ac:dyDescent="0.25">
      <c r="B117" s="14"/>
      <c r="C117" s="14"/>
      <c r="G117" s="271"/>
      <c r="H117" s="14"/>
    </row>
    <row r="118" spans="1:8" x14ac:dyDescent="0.25">
      <c r="B118" s="14"/>
      <c r="C118" s="14"/>
      <c r="D118" s="399"/>
      <c r="E118" s="396"/>
      <c r="F118" s="386"/>
      <c r="G118" s="271"/>
      <c r="H118" s="14"/>
    </row>
    <row r="119" spans="1:8" x14ac:dyDescent="0.25">
      <c r="B119" s="14"/>
      <c r="C119" s="14"/>
      <c r="D119" s="32" t="s">
        <v>441</v>
      </c>
      <c r="E119" s="396"/>
      <c r="F119" s="401">
        <f>H100</f>
        <v>344.76</v>
      </c>
      <c r="G119" s="271"/>
      <c r="H119" s="14"/>
    </row>
    <row r="120" spans="1:8" ht="23.25" customHeight="1" x14ac:dyDescent="0.25">
      <c r="B120" s="14"/>
      <c r="C120" s="377"/>
      <c r="D120" s="32"/>
      <c r="E120" s="402"/>
      <c r="F120" s="403">
        <f>F119+F115</f>
        <v>6090.82</v>
      </c>
      <c r="G120" s="271"/>
      <c r="H120" s="14"/>
    </row>
    <row r="121" spans="1:8" x14ac:dyDescent="0.25">
      <c r="B121" s="14"/>
      <c r="C121" s="14"/>
      <c r="D121" s="32"/>
      <c r="E121" s="396"/>
      <c r="F121" s="32"/>
      <c r="G121" s="14"/>
      <c r="H121" s="14"/>
    </row>
    <row r="122" spans="1:8" x14ac:dyDescent="0.25">
      <c r="B122" s="14"/>
      <c r="C122" s="14"/>
      <c r="D122" s="14"/>
      <c r="E122" s="395"/>
      <c r="F122" s="14"/>
      <c r="G122" s="14"/>
      <c r="H122" s="14"/>
    </row>
    <row r="123" spans="1:8" ht="15" customHeight="1" x14ac:dyDescent="0.25">
      <c r="A123" s="611" t="s">
        <v>84</v>
      </c>
      <c r="B123" s="611"/>
      <c r="C123" s="611"/>
      <c r="D123" s="611"/>
      <c r="E123" s="611"/>
      <c r="F123" s="611"/>
      <c r="G123" s="611"/>
      <c r="H123" s="611"/>
    </row>
    <row r="124" spans="1:8" ht="15" customHeight="1" x14ac:dyDescent="0.25">
      <c r="A124" s="611"/>
      <c r="B124" s="611"/>
      <c r="C124" s="611"/>
      <c r="D124" s="611"/>
      <c r="E124" s="611"/>
      <c r="F124" s="611"/>
      <c r="G124" s="611"/>
      <c r="H124" s="611"/>
    </row>
    <row r="125" spans="1:8" ht="44.25" customHeight="1" x14ac:dyDescent="0.25">
      <c r="A125" s="611"/>
      <c r="B125" s="611"/>
      <c r="C125" s="611"/>
      <c r="D125" s="611"/>
      <c r="E125" s="611"/>
      <c r="F125" s="611"/>
      <c r="G125" s="611"/>
      <c r="H125" s="611"/>
    </row>
    <row r="127" spans="1:8" x14ac:dyDescent="0.25">
      <c r="B127" s="612" t="s">
        <v>85</v>
      </c>
      <c r="C127" s="612"/>
      <c r="D127" s="14"/>
      <c r="E127" s="395"/>
      <c r="F127" s="14"/>
      <c r="G127" s="14"/>
      <c r="H127" s="14"/>
    </row>
    <row r="128" spans="1:8" x14ac:dyDescent="0.25">
      <c r="B128" s="14"/>
      <c r="C128" s="14"/>
      <c r="D128" s="14"/>
      <c r="E128" s="395"/>
      <c r="F128" s="14"/>
      <c r="G128" s="14"/>
      <c r="H128" s="14"/>
    </row>
    <row r="129" spans="2:8" x14ac:dyDescent="0.25">
      <c r="B129" s="613" t="s">
        <v>443</v>
      </c>
      <c r="C129" s="613"/>
      <c r="D129" s="613"/>
      <c r="E129" s="404"/>
      <c r="F129" s="19"/>
      <c r="G129" s="14"/>
      <c r="H129" s="14"/>
    </row>
    <row r="130" spans="2:8" x14ac:dyDescent="0.25">
      <c r="B130" s="14"/>
      <c r="C130" s="14"/>
      <c r="D130" s="14"/>
      <c r="E130" s="395"/>
      <c r="F130" s="14"/>
      <c r="G130" s="14"/>
      <c r="H130" s="14"/>
    </row>
    <row r="131" spans="2:8" x14ac:dyDescent="0.25">
      <c r="B131" s="613" t="s">
        <v>87</v>
      </c>
      <c r="C131" s="613"/>
      <c r="D131" s="613"/>
      <c r="E131" s="395"/>
      <c r="F131" s="14"/>
      <c r="G131" s="14"/>
      <c r="H131" s="14"/>
    </row>
    <row r="132" spans="2:8" ht="15" customHeight="1" x14ac:dyDescent="0.25">
      <c r="B132" s="614" t="str">
        <f>B60</f>
        <v>"CONFORMACION DE RASANTE DE  COLONIA SANTA MARTA"</v>
      </c>
      <c r="C132" s="614"/>
      <c r="D132" s="614"/>
      <c r="E132" s="614"/>
      <c r="F132" s="614"/>
      <c r="G132" s="614"/>
      <c r="H132" s="614"/>
    </row>
    <row r="133" spans="2:8" ht="39.75" customHeight="1" x14ac:dyDescent="0.25">
      <c r="B133" s="614"/>
      <c r="C133" s="614"/>
      <c r="D133" s="614"/>
      <c r="E133" s="614"/>
      <c r="F133" s="614"/>
      <c r="G133" s="614"/>
      <c r="H133" s="614"/>
    </row>
    <row r="134" spans="2:8" x14ac:dyDescent="0.25">
      <c r="B134" s="16" t="s">
        <v>88</v>
      </c>
      <c r="C134" s="17"/>
      <c r="D134" s="14"/>
      <c r="E134" s="395"/>
      <c r="F134" s="14"/>
      <c r="G134" s="14"/>
      <c r="H134" s="14"/>
    </row>
    <row r="135" spans="2:8" x14ac:dyDescent="0.25">
      <c r="B135" s="16"/>
      <c r="C135" s="17"/>
      <c r="D135" s="14"/>
      <c r="E135" s="395"/>
      <c r="F135" s="14"/>
      <c r="G135" s="14"/>
      <c r="H135" s="14"/>
    </row>
    <row r="136" spans="2:8" ht="15" customHeight="1" x14ac:dyDescent="0.25">
      <c r="B136" s="14"/>
      <c r="C136" s="14"/>
      <c r="D136" s="615" t="str">
        <f>B132</f>
        <v>"CONFORMACION DE RASANTE DE  COLONIA SANTA MARTA"</v>
      </c>
      <c r="E136" s="615"/>
      <c r="F136" s="615"/>
      <c r="G136" s="615"/>
      <c r="H136" s="615"/>
    </row>
    <row r="137" spans="2:8" ht="47.25" customHeight="1" x14ac:dyDescent="0.25">
      <c r="B137" s="617" t="s">
        <v>89</v>
      </c>
      <c r="C137" s="617"/>
      <c r="D137" s="616"/>
      <c r="E137" s="616"/>
      <c r="F137" s="616"/>
      <c r="G137" s="616"/>
      <c r="H137" s="616"/>
    </row>
    <row r="138" spans="2:8" x14ac:dyDescent="0.25">
      <c r="B138" s="14"/>
      <c r="C138" s="14"/>
      <c r="D138" s="618"/>
      <c r="E138" s="618"/>
      <c r="F138" s="618"/>
      <c r="G138" s="618"/>
      <c r="H138" s="618"/>
    </row>
    <row r="139" spans="2:8" x14ac:dyDescent="0.25">
      <c r="B139" s="619" t="s">
        <v>444</v>
      </c>
      <c r="C139" s="619"/>
      <c r="D139" s="272" t="s">
        <v>61</v>
      </c>
      <c r="E139" s="620" t="s">
        <v>63</v>
      </c>
      <c r="F139" s="620"/>
      <c r="G139" s="19"/>
      <c r="H139" s="19"/>
    </row>
    <row r="140" spans="2:8" x14ac:dyDescent="0.25">
      <c r="B140" s="14"/>
      <c r="C140" s="609" t="s">
        <v>91</v>
      </c>
      <c r="D140" s="609"/>
      <c r="E140" s="610" t="s">
        <v>92</v>
      </c>
      <c r="F140" s="610"/>
      <c r="G140" s="20" t="s">
        <v>93</v>
      </c>
      <c r="H140" s="20" t="s">
        <v>94</v>
      </c>
    </row>
    <row r="141" spans="2:8" x14ac:dyDescent="0.25">
      <c r="B141" s="14"/>
      <c r="C141" s="14"/>
      <c r="D141" s="14"/>
      <c r="E141" s="395"/>
      <c r="F141" s="14"/>
      <c r="G141" s="14"/>
      <c r="H141" s="14"/>
    </row>
    <row r="142" spans="2:8" x14ac:dyDescent="0.25">
      <c r="B142" s="612" t="s">
        <v>95</v>
      </c>
      <c r="C142" s="612"/>
      <c r="D142" s="612"/>
      <c r="E142" s="612"/>
      <c r="F142" s="612"/>
      <c r="G142" s="14"/>
      <c r="H142" s="14"/>
    </row>
    <row r="143" spans="2:8" x14ac:dyDescent="0.25">
      <c r="B143" s="14"/>
      <c r="C143" s="14"/>
      <c r="D143" s="14"/>
      <c r="E143" s="395"/>
      <c r="F143" s="14"/>
      <c r="G143" s="14"/>
      <c r="H143" s="14"/>
    </row>
    <row r="144" spans="2:8" x14ac:dyDescent="0.25">
      <c r="B144" s="621" t="s">
        <v>114</v>
      </c>
      <c r="C144" s="622"/>
      <c r="D144" s="621" t="s">
        <v>97</v>
      </c>
      <c r="E144" s="622"/>
      <c r="F144" s="621" t="s">
        <v>98</v>
      </c>
      <c r="G144" s="622"/>
      <c r="H144" s="405" t="s">
        <v>99</v>
      </c>
    </row>
    <row r="145" spans="2:10" ht="19.5" customHeight="1" x14ac:dyDescent="0.25">
      <c r="B145" s="623" t="str">
        <f>B190</f>
        <v>MATERIALES</v>
      </c>
      <c r="C145" s="624"/>
      <c r="D145" s="625">
        <f>H190</f>
        <v>2831.06</v>
      </c>
      <c r="E145" s="626"/>
      <c r="F145" s="625"/>
      <c r="G145" s="626"/>
      <c r="H145" s="406">
        <f>D145</f>
        <v>2831.06</v>
      </c>
      <c r="J145" s="166"/>
    </row>
    <row r="146" spans="2:10" ht="19.5" customHeight="1" x14ac:dyDescent="0.25">
      <c r="B146" s="627" t="str">
        <f>B193</f>
        <v>MAQUINARIA DE TERRACERÍA</v>
      </c>
      <c r="C146" s="628"/>
      <c r="D146" s="625">
        <f>H193</f>
        <v>2360</v>
      </c>
      <c r="E146" s="626"/>
      <c r="F146" s="625"/>
      <c r="G146" s="626"/>
      <c r="H146" s="406">
        <f>SUM(D146:G146)</f>
        <v>2360</v>
      </c>
      <c r="J146" s="166"/>
    </row>
    <row r="147" spans="2:10" ht="19.5" customHeight="1" x14ac:dyDescent="0.25">
      <c r="B147" s="627" t="str">
        <f>B200</f>
        <v>MANO DE OBRA TERRACERIA</v>
      </c>
      <c r="C147" s="628"/>
      <c r="D147" s="625">
        <f>H200</f>
        <v>555</v>
      </c>
      <c r="E147" s="626"/>
      <c r="F147" s="625"/>
      <c r="G147" s="626"/>
      <c r="H147" s="406">
        <f>SUM(D147:G147)</f>
        <v>555</v>
      </c>
      <c r="J147" s="166"/>
    </row>
    <row r="148" spans="2:10" ht="19.5" customHeight="1" x14ac:dyDescent="0.25">
      <c r="B148" s="623" t="s">
        <v>441</v>
      </c>
      <c r="C148" s="624"/>
      <c r="D148" s="625">
        <f>H206</f>
        <v>344.76</v>
      </c>
      <c r="E148" s="626"/>
      <c r="F148" s="625"/>
      <c r="G148" s="626"/>
      <c r="H148" s="406">
        <f>SUM(D148:G148)</f>
        <v>344.76</v>
      </c>
    </row>
    <row r="149" spans="2:10" ht="18" x14ac:dyDescent="0.25">
      <c r="B149" s="629" t="s">
        <v>100</v>
      </c>
      <c r="C149" s="630"/>
      <c r="D149" s="630"/>
      <c r="E149" s="630"/>
      <c r="F149" s="630"/>
      <c r="G149" s="631"/>
      <c r="H149" s="407">
        <f>SUM(H145:H148)</f>
        <v>6090.82</v>
      </c>
    </row>
    <row r="150" spans="2:10" x14ac:dyDescent="0.25">
      <c r="B150" s="14"/>
      <c r="C150" s="14"/>
      <c r="D150" s="14"/>
      <c r="E150" s="395"/>
      <c r="F150" s="14"/>
      <c r="G150" s="14"/>
      <c r="H150" s="14"/>
    </row>
    <row r="151" spans="2:10" x14ac:dyDescent="0.25">
      <c r="B151" s="14"/>
      <c r="C151" s="14"/>
      <c r="D151" s="14"/>
      <c r="E151" s="395"/>
      <c r="F151" s="14"/>
      <c r="G151" s="14"/>
      <c r="H151" s="14"/>
    </row>
    <row r="152" spans="2:10" x14ac:dyDescent="0.25">
      <c r="B152" s="14"/>
      <c r="C152" s="14"/>
      <c r="D152" s="14"/>
      <c r="E152" s="395"/>
      <c r="F152" s="14"/>
      <c r="G152" s="14"/>
      <c r="H152" s="14"/>
    </row>
    <row r="153" spans="2:10" x14ac:dyDescent="0.25">
      <c r="B153" s="14"/>
      <c r="C153" s="14"/>
      <c r="D153" s="14"/>
      <c r="E153" s="395"/>
      <c r="F153" s="14"/>
      <c r="G153" s="14"/>
      <c r="H153" s="14"/>
    </row>
    <row r="154" spans="2:10" x14ac:dyDescent="0.25">
      <c r="B154" s="14"/>
      <c r="C154" s="14"/>
      <c r="D154" s="14"/>
      <c r="E154" s="395"/>
      <c r="F154" s="14"/>
      <c r="G154" s="14"/>
      <c r="H154" s="14"/>
    </row>
    <row r="155" spans="2:10" x14ac:dyDescent="0.25">
      <c r="B155" s="269"/>
      <c r="C155" s="269"/>
      <c r="D155" s="269"/>
      <c r="E155" s="273"/>
      <c r="F155" s="269"/>
      <c r="G155" s="270"/>
      <c r="H155" s="270"/>
    </row>
    <row r="156" spans="2:10" ht="24" customHeight="1" x14ac:dyDescent="0.25">
      <c r="B156" s="596" t="s">
        <v>438</v>
      </c>
      <c r="C156" s="596"/>
      <c r="D156" s="596"/>
      <c r="E156" s="273"/>
      <c r="F156" s="596" t="s">
        <v>79</v>
      </c>
      <c r="G156" s="596"/>
      <c r="H156" s="596"/>
    </row>
    <row r="157" spans="2:10" x14ac:dyDescent="0.25">
      <c r="B157" s="591" t="s">
        <v>80</v>
      </c>
      <c r="C157" s="591"/>
      <c r="D157" s="591"/>
      <c r="E157" s="273"/>
      <c r="F157" s="591" t="s">
        <v>81</v>
      </c>
      <c r="G157" s="591"/>
      <c r="H157" s="591"/>
    </row>
    <row r="158" spans="2:10" x14ac:dyDescent="0.25">
      <c r="B158" s="6"/>
      <c r="C158" s="6"/>
      <c r="D158" s="6"/>
      <c r="E158" s="273"/>
      <c r="F158" s="6"/>
      <c r="G158" s="6"/>
      <c r="H158" s="6"/>
    </row>
    <row r="159" spans="2:10" x14ac:dyDescent="0.25">
      <c r="B159" s="6"/>
      <c r="C159" s="6"/>
      <c r="D159" s="6"/>
      <c r="E159" s="273"/>
      <c r="F159" s="6"/>
      <c r="G159" s="6"/>
      <c r="H159" s="6"/>
    </row>
    <row r="164" spans="1:8" x14ac:dyDescent="0.25">
      <c r="B164" s="11"/>
      <c r="C164" s="11"/>
      <c r="D164" s="12"/>
      <c r="E164" s="368"/>
      <c r="F164" s="12"/>
      <c r="G164" s="11"/>
      <c r="H164" s="11"/>
    </row>
    <row r="165" spans="1:8" ht="24.75" customHeight="1" x14ac:dyDescent="0.25">
      <c r="B165" s="599" t="s">
        <v>439</v>
      </c>
      <c r="C165" s="599"/>
      <c r="D165" s="599"/>
      <c r="E165" s="599"/>
      <c r="F165" s="599"/>
      <c r="G165" s="599"/>
      <c r="H165" s="599"/>
    </row>
    <row r="166" spans="1:8" x14ac:dyDescent="0.25">
      <c r="B166" s="600" t="s">
        <v>440</v>
      </c>
      <c r="C166" s="600"/>
      <c r="D166" s="600"/>
      <c r="E166" s="600"/>
      <c r="F166" s="600"/>
      <c r="G166" s="600"/>
      <c r="H166" s="600"/>
    </row>
    <row r="167" spans="1:8" ht="15" customHeight="1" x14ac:dyDescent="0.25">
      <c r="A167" s="601" t="s">
        <v>445</v>
      </c>
      <c r="B167" s="601"/>
      <c r="C167" s="601"/>
      <c r="D167" s="601"/>
      <c r="E167" s="601"/>
      <c r="F167" s="601"/>
      <c r="G167" s="601"/>
      <c r="H167" s="601"/>
    </row>
    <row r="168" spans="1:8" ht="15" customHeight="1" x14ac:dyDescent="0.25">
      <c r="A168" s="601"/>
      <c r="B168" s="601"/>
      <c r="C168" s="601"/>
      <c r="D168" s="601"/>
      <c r="E168" s="601"/>
      <c r="F168" s="601"/>
      <c r="G168" s="601"/>
      <c r="H168" s="601"/>
    </row>
    <row r="169" spans="1:8" ht="15" customHeight="1" x14ac:dyDescent="0.25">
      <c r="A169" s="601"/>
      <c r="B169" s="601"/>
      <c r="C169" s="601"/>
      <c r="D169" s="601"/>
      <c r="E169" s="601"/>
      <c r="F169" s="601"/>
      <c r="G169" s="601"/>
      <c r="H169" s="601"/>
    </row>
    <row r="170" spans="1:8" x14ac:dyDescent="0.25">
      <c r="A170" s="408" t="s">
        <v>446</v>
      </c>
      <c r="E170"/>
    </row>
    <row r="171" spans="1:8" ht="24" x14ac:dyDescent="0.25">
      <c r="B171" s="409" t="s">
        <v>447</v>
      </c>
      <c r="C171" s="409" t="s">
        <v>4</v>
      </c>
      <c r="D171" s="409" t="s">
        <v>348</v>
      </c>
      <c r="E171" s="409" t="s">
        <v>448</v>
      </c>
      <c r="F171" s="409" t="s">
        <v>449</v>
      </c>
      <c r="G171" s="409" t="s">
        <v>450</v>
      </c>
    </row>
    <row r="172" spans="1:8" x14ac:dyDescent="0.25">
      <c r="B172" s="410"/>
      <c r="C172" s="411"/>
      <c r="D172" s="411"/>
      <c r="E172" s="411"/>
      <c r="F172" s="131"/>
      <c r="G172" s="412"/>
    </row>
    <row r="173" spans="1:8" x14ac:dyDescent="0.25">
      <c r="B173" s="131" t="s">
        <v>9</v>
      </c>
      <c r="C173" s="411">
        <v>5.4</v>
      </c>
      <c r="D173" s="411">
        <v>64</v>
      </c>
      <c r="E173" s="411">
        <f>+C173*D173</f>
        <v>345.6</v>
      </c>
      <c r="F173" s="131">
        <v>900</v>
      </c>
      <c r="G173" s="131">
        <f>+E173/F173</f>
        <v>0.38400000000000001</v>
      </c>
    </row>
    <row r="174" spans="1:8" x14ac:dyDescent="0.25">
      <c r="B174" s="131" t="s">
        <v>10</v>
      </c>
      <c r="C174" s="411">
        <v>8</v>
      </c>
      <c r="D174" s="411">
        <v>66.709999999999994</v>
      </c>
      <c r="E174" s="411">
        <f t="shared" ref="E174:E181" si="0">+C174*D174</f>
        <v>533.67999999999995</v>
      </c>
      <c r="F174" s="131">
        <v>900</v>
      </c>
      <c r="G174" s="131">
        <f t="shared" ref="G174:G181" si="1">+E174/F174</f>
        <v>0.59297777777777771</v>
      </c>
    </row>
    <row r="175" spans="1:8" x14ac:dyDescent="0.25">
      <c r="B175" s="131" t="s">
        <v>11</v>
      </c>
      <c r="C175" s="411">
        <v>5.8</v>
      </c>
      <c r="D175" s="411">
        <v>101.32</v>
      </c>
      <c r="E175" s="411">
        <f t="shared" si="0"/>
        <v>587.65599999999995</v>
      </c>
      <c r="F175" s="131">
        <v>900</v>
      </c>
      <c r="G175" s="131">
        <f t="shared" si="1"/>
        <v>0.65295111111111104</v>
      </c>
    </row>
    <row r="176" spans="1:8" x14ac:dyDescent="0.25">
      <c r="B176" s="131" t="s">
        <v>13</v>
      </c>
      <c r="C176" s="411">
        <v>5.25</v>
      </c>
      <c r="D176" s="411">
        <v>46.79</v>
      </c>
      <c r="E176" s="411">
        <f t="shared" si="0"/>
        <v>245.64750000000001</v>
      </c>
      <c r="F176" s="131">
        <v>900</v>
      </c>
      <c r="G176" s="131">
        <f t="shared" si="1"/>
        <v>0.27294166666666669</v>
      </c>
    </row>
    <row r="177" spans="1:12" x14ac:dyDescent="0.25">
      <c r="B177" s="131" t="s">
        <v>14</v>
      </c>
      <c r="C177" s="411">
        <v>4.25</v>
      </c>
      <c r="D177" s="411">
        <v>126.31</v>
      </c>
      <c r="E177" s="411">
        <f t="shared" si="0"/>
        <v>536.8175</v>
      </c>
      <c r="F177" s="131">
        <v>900</v>
      </c>
      <c r="G177" s="131">
        <f t="shared" si="1"/>
        <v>0.5964638888888889</v>
      </c>
    </row>
    <row r="178" spans="1:12" x14ac:dyDescent="0.25">
      <c r="B178" s="131" t="s">
        <v>15</v>
      </c>
      <c r="C178" s="411">
        <v>4.5</v>
      </c>
      <c r="D178" s="411">
        <v>36.76</v>
      </c>
      <c r="E178" s="411">
        <f t="shared" si="0"/>
        <v>165.42</v>
      </c>
      <c r="F178" s="131">
        <v>900</v>
      </c>
      <c r="G178" s="131">
        <f t="shared" si="1"/>
        <v>0.18379999999999999</v>
      </c>
    </row>
    <row r="179" spans="1:12" x14ac:dyDescent="0.25">
      <c r="B179" s="131" t="s">
        <v>16</v>
      </c>
      <c r="C179" s="411">
        <v>5.2</v>
      </c>
      <c r="D179" s="411">
        <v>53.2</v>
      </c>
      <c r="E179" s="411">
        <f t="shared" si="0"/>
        <v>276.64000000000004</v>
      </c>
      <c r="F179" s="131">
        <v>900</v>
      </c>
      <c r="G179" s="131">
        <f t="shared" si="1"/>
        <v>0.30737777777777781</v>
      </c>
    </row>
    <row r="180" spans="1:12" x14ac:dyDescent="0.25">
      <c r="B180" s="131" t="s">
        <v>17</v>
      </c>
      <c r="C180" s="411">
        <v>8</v>
      </c>
      <c r="D180" s="411">
        <v>93.99</v>
      </c>
      <c r="E180" s="411">
        <f t="shared" si="0"/>
        <v>751.92</v>
      </c>
      <c r="F180" s="131">
        <v>900</v>
      </c>
      <c r="G180" s="131">
        <f t="shared" si="1"/>
        <v>0.83546666666666658</v>
      </c>
    </row>
    <row r="181" spans="1:12" x14ac:dyDescent="0.25">
      <c r="B181" s="131" t="s">
        <v>18</v>
      </c>
      <c r="C181" s="411">
        <v>4.62</v>
      </c>
      <c r="D181" s="411">
        <v>40.299999999999997</v>
      </c>
      <c r="E181" s="411">
        <f t="shared" si="0"/>
        <v>186.18599999999998</v>
      </c>
      <c r="F181" s="131">
        <v>900</v>
      </c>
      <c r="G181" s="131">
        <f t="shared" si="1"/>
        <v>0.2068733333333333</v>
      </c>
    </row>
    <row r="182" spans="1:12" x14ac:dyDescent="0.25">
      <c r="B182" s="411"/>
      <c r="C182" s="411"/>
      <c r="D182" s="411"/>
      <c r="E182" s="411"/>
      <c r="F182" s="131"/>
      <c r="G182" s="131"/>
      <c r="J182" s="413"/>
      <c r="K182" s="1"/>
      <c r="L182" s="166"/>
    </row>
    <row r="183" spans="1:12" x14ac:dyDescent="0.25">
      <c r="B183" s="411"/>
      <c r="C183" s="411"/>
      <c r="D183" s="412" t="s">
        <v>19</v>
      </c>
      <c r="E183" s="414">
        <f>SUM(E173:E182)</f>
        <v>3629.567</v>
      </c>
      <c r="F183" s="412"/>
      <c r="G183" s="412">
        <f>SUM(G173:G181)</f>
        <v>4.0328522222222221</v>
      </c>
    </row>
    <row r="184" spans="1:12" ht="15.75" thickBot="1" x14ac:dyDescent="0.3">
      <c r="E184"/>
    </row>
    <row r="185" spans="1:12" ht="30" customHeight="1" thickBot="1" x14ac:dyDescent="0.3">
      <c r="A185" s="635" t="s">
        <v>445</v>
      </c>
      <c r="B185" s="636"/>
      <c r="C185" s="636"/>
      <c r="D185" s="636"/>
      <c r="E185" s="636"/>
      <c r="F185" s="636"/>
      <c r="G185" s="636"/>
      <c r="H185" s="637"/>
    </row>
    <row r="186" spans="1:12" ht="15.75" hidden="1" customHeight="1" x14ac:dyDescent="0.25">
      <c r="A186" s="638"/>
      <c r="B186" s="601"/>
      <c r="C186" s="601"/>
      <c r="D186" s="601"/>
      <c r="E186" s="601"/>
      <c r="F186" s="601"/>
      <c r="G186" s="601"/>
      <c r="H186" s="639"/>
    </row>
    <row r="187" spans="1:12" ht="15.75" hidden="1" customHeight="1" x14ac:dyDescent="0.25">
      <c r="A187" s="638"/>
      <c r="B187" s="601"/>
      <c r="C187" s="601"/>
      <c r="D187" s="601"/>
      <c r="E187" s="601"/>
      <c r="F187" s="601"/>
      <c r="G187" s="601"/>
      <c r="H187" s="639"/>
    </row>
    <row r="188" spans="1:12" ht="15.75" hidden="1" thickBot="1" x14ac:dyDescent="0.3">
      <c r="A188" s="415"/>
      <c r="B188" s="416"/>
      <c r="C188" s="416"/>
      <c r="D188" s="416"/>
      <c r="E188" s="417"/>
      <c r="F188" s="416"/>
      <c r="G188" s="416"/>
      <c r="H188" s="418"/>
    </row>
    <row r="189" spans="1:12" ht="15.75" thickBot="1" x14ac:dyDescent="0.3">
      <c r="A189" s="640" t="s">
        <v>167</v>
      </c>
      <c r="B189" s="641"/>
      <c r="C189" s="641"/>
      <c r="D189" s="642"/>
      <c r="E189" s="419" t="s">
        <v>116</v>
      </c>
      <c r="F189" s="420" t="s">
        <v>117</v>
      </c>
      <c r="G189" s="421" t="s">
        <v>168</v>
      </c>
      <c r="H189" s="422" t="s">
        <v>19</v>
      </c>
    </row>
    <row r="190" spans="1:12" x14ac:dyDescent="0.25">
      <c r="A190" s="423">
        <v>1</v>
      </c>
      <c r="B190" s="643" t="s">
        <v>108</v>
      </c>
      <c r="C190" s="643"/>
      <c r="D190" s="643"/>
      <c r="E190" s="424"/>
      <c r="F190" s="425"/>
      <c r="G190" s="426"/>
      <c r="H190" s="427">
        <f>SUM(H191:H191)</f>
        <v>2831.06</v>
      </c>
    </row>
    <row r="191" spans="1:12" x14ac:dyDescent="0.25">
      <c r="A191" s="428">
        <v>1.1000000000000001</v>
      </c>
      <c r="B191" s="644" t="s">
        <v>451</v>
      </c>
      <c r="C191" s="645"/>
      <c r="D191" s="646"/>
      <c r="E191" s="429">
        <f>+E183*0.15*1.3</f>
        <v>707.76556499999992</v>
      </c>
      <c r="F191" s="430" t="s">
        <v>129</v>
      </c>
      <c r="G191" s="431">
        <v>4</v>
      </c>
      <c r="H191" s="432">
        <f>ROUND((E191*G191),2)</f>
        <v>2831.06</v>
      </c>
    </row>
    <row r="192" spans="1:12" x14ac:dyDescent="0.25">
      <c r="A192" s="428"/>
      <c r="B192" s="433"/>
      <c r="C192" s="433"/>
      <c r="D192" s="434"/>
      <c r="E192" s="435"/>
      <c r="F192" s="430"/>
      <c r="G192" s="431"/>
      <c r="H192" s="432"/>
    </row>
    <row r="193" spans="1:11" x14ac:dyDescent="0.25">
      <c r="A193" s="423">
        <v>2</v>
      </c>
      <c r="B193" s="436" t="s">
        <v>452</v>
      </c>
      <c r="C193" s="437"/>
      <c r="D193" s="438"/>
      <c r="E193" s="424"/>
      <c r="F193" s="425"/>
      <c r="G193" s="426"/>
      <c r="H193" s="439">
        <f>SUM(H194:H199)</f>
        <v>2360</v>
      </c>
    </row>
    <row r="194" spans="1:11" x14ac:dyDescent="0.25">
      <c r="A194" s="428">
        <v>2.1</v>
      </c>
      <c r="B194" s="647" t="s">
        <v>453</v>
      </c>
      <c r="C194" s="648"/>
      <c r="D194" s="649"/>
      <c r="E194" s="417">
        <f>ROUND((707.77/15)/4,0)</f>
        <v>12</v>
      </c>
      <c r="F194" s="440" t="s">
        <v>179</v>
      </c>
      <c r="G194" s="431">
        <v>130</v>
      </c>
      <c r="H194" s="432">
        <f>E194*G194</f>
        <v>1560</v>
      </c>
    </row>
    <row r="195" spans="1:11" x14ac:dyDescent="0.25">
      <c r="A195" s="428">
        <v>2.2000000000000002</v>
      </c>
      <c r="B195" s="267" t="s">
        <v>178</v>
      </c>
      <c r="C195" s="267"/>
      <c r="D195" s="441"/>
      <c r="E195" s="417">
        <v>4</v>
      </c>
      <c r="F195" s="440" t="s">
        <v>179</v>
      </c>
      <c r="G195" s="431">
        <v>60</v>
      </c>
      <c r="H195" s="432">
        <f>E195*G195</f>
        <v>240</v>
      </c>
    </row>
    <row r="196" spans="1:11" x14ac:dyDescent="0.25">
      <c r="A196" s="428">
        <v>2.2999999999999998</v>
      </c>
      <c r="B196" s="267" t="s">
        <v>454</v>
      </c>
      <c r="C196" s="267"/>
      <c r="D196" s="441"/>
      <c r="E196" s="417">
        <v>4</v>
      </c>
      <c r="F196" s="440" t="s">
        <v>179</v>
      </c>
      <c r="G196" s="431">
        <v>80</v>
      </c>
      <c r="H196" s="432">
        <f>E196*G196</f>
        <v>320</v>
      </c>
    </row>
    <row r="197" spans="1:11" x14ac:dyDescent="0.25">
      <c r="A197" s="428">
        <v>2.4</v>
      </c>
      <c r="B197" s="267" t="s">
        <v>455</v>
      </c>
      <c r="C197" s="267"/>
      <c r="D197" s="441"/>
      <c r="E197" s="417">
        <v>4</v>
      </c>
      <c r="F197" s="440" t="s">
        <v>179</v>
      </c>
      <c r="G197" s="431">
        <v>20</v>
      </c>
      <c r="H197" s="432">
        <f>E197*G197</f>
        <v>80</v>
      </c>
    </row>
    <row r="198" spans="1:11" x14ac:dyDescent="0.25">
      <c r="A198" s="428">
        <v>2.5</v>
      </c>
      <c r="B198" s="433" t="s">
        <v>456</v>
      </c>
      <c r="C198" s="33"/>
      <c r="D198" s="33"/>
      <c r="E198" s="442">
        <v>4</v>
      </c>
      <c r="F198" s="440" t="s">
        <v>179</v>
      </c>
      <c r="G198" s="431">
        <v>40</v>
      </c>
      <c r="H198" s="432">
        <f>E198*G198</f>
        <v>160</v>
      </c>
    </row>
    <row r="199" spans="1:11" x14ac:dyDescent="0.25">
      <c r="A199" s="428"/>
      <c r="B199" s="433"/>
      <c r="C199" s="33"/>
      <c r="D199" s="434"/>
      <c r="E199" s="417"/>
      <c r="F199" s="440"/>
      <c r="G199" s="431"/>
      <c r="H199" s="432"/>
    </row>
    <row r="200" spans="1:11" x14ac:dyDescent="0.25">
      <c r="A200" s="423">
        <v>3</v>
      </c>
      <c r="B200" s="436" t="s">
        <v>457</v>
      </c>
      <c r="C200" s="443"/>
      <c r="D200" s="444"/>
      <c r="E200" s="424"/>
      <c r="F200" s="425"/>
      <c r="G200" s="426"/>
      <c r="H200" s="439">
        <f>SUM(H201:H205)</f>
        <v>555</v>
      </c>
    </row>
    <row r="201" spans="1:11" x14ac:dyDescent="0.25">
      <c r="A201" s="428">
        <v>3.2</v>
      </c>
      <c r="B201" s="445" t="s">
        <v>474</v>
      </c>
      <c r="C201" s="446"/>
      <c r="D201" s="447"/>
      <c r="E201" s="417">
        <v>1</v>
      </c>
      <c r="F201" s="440" t="s">
        <v>179</v>
      </c>
      <c r="G201" s="431">
        <v>15</v>
      </c>
      <c r="H201" s="432">
        <f>E201*G201*1</f>
        <v>15</v>
      </c>
    </row>
    <row r="202" spans="1:11" x14ac:dyDescent="0.25">
      <c r="A202" s="428">
        <v>3.3</v>
      </c>
      <c r="B202" s="445" t="s">
        <v>458</v>
      </c>
      <c r="C202" s="446"/>
      <c r="D202" s="447"/>
      <c r="E202" s="442">
        <v>4</v>
      </c>
      <c r="F202" s="448" t="s">
        <v>179</v>
      </c>
      <c r="G202" s="431">
        <v>15</v>
      </c>
      <c r="H202" s="432">
        <f>E202*G202*5</f>
        <v>300</v>
      </c>
    </row>
    <row r="203" spans="1:11" x14ac:dyDescent="0.25">
      <c r="A203" s="428">
        <v>3.4</v>
      </c>
      <c r="B203" s="36" t="s">
        <v>459</v>
      </c>
      <c r="C203" s="449"/>
      <c r="D203" s="450"/>
      <c r="E203" s="442">
        <v>4</v>
      </c>
      <c r="F203" s="448" t="s">
        <v>179</v>
      </c>
      <c r="G203" s="431">
        <v>20</v>
      </c>
      <c r="H203" s="432">
        <f>E203*G203*1</f>
        <v>80</v>
      </c>
    </row>
    <row r="204" spans="1:11" x14ac:dyDescent="0.25">
      <c r="A204" s="428">
        <v>3.5</v>
      </c>
      <c r="B204" s="445" t="s">
        <v>460</v>
      </c>
      <c r="C204" s="449"/>
      <c r="D204" s="450"/>
      <c r="E204" s="442">
        <v>4</v>
      </c>
      <c r="F204" s="448" t="s">
        <v>179</v>
      </c>
      <c r="G204" s="431">
        <v>20</v>
      </c>
      <c r="H204" s="432">
        <f>E204*G204*1</f>
        <v>80</v>
      </c>
    </row>
    <row r="205" spans="1:11" x14ac:dyDescent="0.25">
      <c r="A205" s="451">
        <v>3.7</v>
      </c>
      <c r="B205" s="445" t="s">
        <v>461</v>
      </c>
      <c r="C205" s="449"/>
      <c r="D205" s="450"/>
      <c r="E205" s="442">
        <v>4</v>
      </c>
      <c r="F205" s="448" t="s">
        <v>179</v>
      </c>
      <c r="G205" s="431">
        <v>20</v>
      </c>
      <c r="H205" s="432">
        <f>E205*G205</f>
        <v>80</v>
      </c>
    </row>
    <row r="206" spans="1:11" x14ac:dyDescent="0.25">
      <c r="A206" s="423">
        <v>5</v>
      </c>
      <c r="B206" s="436" t="s">
        <v>462</v>
      </c>
      <c r="C206" s="443"/>
      <c r="D206" s="444"/>
      <c r="E206" s="452">
        <v>0.06</v>
      </c>
      <c r="F206" s="453"/>
      <c r="G206" s="454"/>
      <c r="H206" s="455">
        <f>ROUND((H190+H193+H200)*0.06,2)</f>
        <v>344.76</v>
      </c>
      <c r="K206" s="456"/>
    </row>
    <row r="207" spans="1:11" ht="15.75" thickBot="1" x14ac:dyDescent="0.3"/>
    <row r="208" spans="1:11" ht="15.75" thickBot="1" x14ac:dyDescent="0.3">
      <c r="A208" s="632" t="s">
        <v>19</v>
      </c>
      <c r="B208" s="633"/>
      <c r="C208" s="633"/>
      <c r="D208" s="633"/>
      <c r="E208" s="633"/>
      <c r="F208" s="633"/>
      <c r="G208" s="634"/>
      <c r="H208" s="457">
        <f>H206+H200+H193+H190</f>
        <v>6090.82</v>
      </c>
    </row>
    <row r="209" spans="1:11" x14ac:dyDescent="0.25">
      <c r="A209" s="458" t="s">
        <v>463</v>
      </c>
      <c r="B209" s="459"/>
      <c r="C209" s="460"/>
      <c r="D209" s="460"/>
      <c r="E209" s="460"/>
      <c r="F209" s="460"/>
      <c r="G209" s="460"/>
      <c r="H209" s="461"/>
    </row>
    <row r="210" spans="1:11" x14ac:dyDescent="0.25">
      <c r="A210" s="462"/>
      <c r="B210" s="33"/>
    </row>
    <row r="211" spans="1:11" x14ac:dyDescent="0.25">
      <c r="J211" t="s">
        <v>486</v>
      </c>
      <c r="K211">
        <f>ROUND(+H208/E183,2)</f>
        <v>1.68</v>
      </c>
    </row>
    <row r="229" spans="1:1" x14ac:dyDescent="0.25">
      <c r="A229" s="408"/>
    </row>
    <row r="241" spans="1:11" x14ac:dyDescent="0.25">
      <c r="A241" s="463"/>
    </row>
    <row r="252" spans="1:11" ht="108.75" customHeight="1" x14ac:dyDescent="0.25">
      <c r="B252" s="651" t="s">
        <v>477</v>
      </c>
      <c r="C252" s="650"/>
      <c r="D252" s="650"/>
      <c r="E252" s="650"/>
      <c r="F252" s="650"/>
      <c r="G252" s="650"/>
      <c r="H252" s="650"/>
    </row>
    <row r="253" spans="1:11" ht="39.75" customHeight="1" x14ac:dyDescent="0.25">
      <c r="B253" s="651" t="s">
        <v>464</v>
      </c>
      <c r="C253" s="650"/>
      <c r="D253" s="650"/>
      <c r="E253" s="650"/>
      <c r="F253" s="650"/>
      <c r="G253" s="650"/>
      <c r="H253" s="650"/>
      <c r="K253" s="464"/>
    </row>
    <row r="254" spans="1:11" ht="76.5" customHeight="1" x14ac:dyDescent="0.25">
      <c r="B254" s="465" t="s">
        <v>465</v>
      </c>
      <c r="C254" s="652" t="s">
        <v>466</v>
      </c>
      <c r="D254" s="652"/>
      <c r="E254" s="652"/>
      <c r="F254" s="652"/>
      <c r="G254" s="652"/>
      <c r="H254" s="652"/>
      <c r="I254" s="466"/>
      <c r="K254" s="464"/>
    </row>
    <row r="255" spans="1:11" ht="15" customHeight="1" x14ac:dyDescent="0.25">
      <c r="B255" s="467" t="s">
        <v>467</v>
      </c>
      <c r="C255" s="468"/>
      <c r="D255" s="468"/>
      <c r="E255" s="468"/>
      <c r="F255" s="468"/>
      <c r="G255" s="468"/>
      <c r="H255" s="468"/>
      <c r="K255" s="464"/>
    </row>
    <row r="256" spans="1:11" ht="47.25" customHeight="1" x14ac:dyDescent="0.25">
      <c r="B256" s="650" t="s">
        <v>495</v>
      </c>
      <c r="C256" s="650"/>
      <c r="D256" s="650"/>
      <c r="E256" s="650"/>
      <c r="F256" s="650"/>
      <c r="G256" s="650"/>
      <c r="H256" s="650"/>
      <c r="K256" s="464"/>
    </row>
    <row r="257" spans="2:8" ht="15" customHeight="1" x14ac:dyDescent="0.25">
      <c r="B257" s="467" t="s">
        <v>468</v>
      </c>
      <c r="C257" s="468"/>
      <c r="D257" s="468"/>
      <c r="E257" s="468"/>
      <c r="F257" s="468"/>
      <c r="G257" s="468"/>
      <c r="H257" s="468"/>
    </row>
    <row r="258" spans="2:8" ht="36" customHeight="1" x14ac:dyDescent="0.25">
      <c r="B258" s="650" t="s">
        <v>469</v>
      </c>
      <c r="C258" s="650"/>
      <c r="D258" s="650"/>
      <c r="E258" s="650"/>
      <c r="F258" s="650"/>
      <c r="G258" s="650"/>
      <c r="H258" s="650"/>
    </row>
    <row r="259" spans="2:8" ht="15" customHeight="1" x14ac:dyDescent="0.25">
      <c r="B259" s="467" t="s">
        <v>470</v>
      </c>
      <c r="C259" s="468"/>
      <c r="D259" s="468"/>
      <c r="E259" s="468"/>
      <c r="F259" s="468"/>
      <c r="G259" s="468"/>
      <c r="H259" s="468"/>
    </row>
    <row r="260" spans="2:8" ht="42.75" customHeight="1" x14ac:dyDescent="0.25">
      <c r="B260" s="650" t="s">
        <v>471</v>
      </c>
      <c r="C260" s="650"/>
      <c r="D260" s="650"/>
      <c r="E260" s="650"/>
      <c r="F260" s="650"/>
      <c r="G260" s="650"/>
      <c r="H260" s="650"/>
    </row>
    <row r="261" spans="2:8" ht="15" customHeight="1" x14ac:dyDescent="0.25">
      <c r="B261" s="467" t="s">
        <v>472</v>
      </c>
      <c r="C261" s="468"/>
      <c r="D261" s="468"/>
      <c r="E261" s="468"/>
      <c r="F261" s="468"/>
      <c r="G261" s="468"/>
      <c r="H261" s="468"/>
    </row>
    <row r="262" spans="2:8" ht="50.25" customHeight="1" x14ac:dyDescent="0.25">
      <c r="B262" s="650" t="s">
        <v>496</v>
      </c>
      <c r="C262" s="650"/>
      <c r="D262" s="650"/>
      <c r="E262" s="650"/>
      <c r="F262" s="650"/>
      <c r="G262" s="650"/>
      <c r="H262" s="650"/>
    </row>
    <row r="263" spans="2:8" ht="15" customHeight="1" x14ac:dyDescent="0.25">
      <c r="B263" s="469"/>
      <c r="C263" s="470"/>
      <c r="D263" s="470"/>
      <c r="E263" s="470"/>
      <c r="F263" s="470"/>
      <c r="G263" s="470"/>
      <c r="H263" s="470"/>
    </row>
  </sheetData>
  <mergeCells count="81">
    <mergeCell ref="B262:H262"/>
    <mergeCell ref="B252:H252"/>
    <mergeCell ref="B253:H253"/>
    <mergeCell ref="C254:H254"/>
    <mergeCell ref="B256:H256"/>
    <mergeCell ref="B258:H258"/>
    <mergeCell ref="B260:H260"/>
    <mergeCell ref="A208:G208"/>
    <mergeCell ref="B157:D157"/>
    <mergeCell ref="F157:H157"/>
    <mergeCell ref="B165:H165"/>
    <mergeCell ref="B166:H166"/>
    <mergeCell ref="A167:H169"/>
    <mergeCell ref="A185:H187"/>
    <mergeCell ref="A189:D189"/>
    <mergeCell ref="B190:D190"/>
    <mergeCell ref="B191:D191"/>
    <mergeCell ref="B194:D194"/>
    <mergeCell ref="B148:C148"/>
    <mergeCell ref="D148:E148"/>
    <mergeCell ref="F148:G148"/>
    <mergeCell ref="B149:G149"/>
    <mergeCell ref="B156:D156"/>
    <mergeCell ref="F156:H156"/>
    <mergeCell ref="B146:C146"/>
    <mergeCell ref="D146:E146"/>
    <mergeCell ref="F146:G146"/>
    <mergeCell ref="B147:C147"/>
    <mergeCell ref="D147:E147"/>
    <mergeCell ref="F147:G147"/>
    <mergeCell ref="B142:F142"/>
    <mergeCell ref="B144:C144"/>
    <mergeCell ref="D144:E144"/>
    <mergeCell ref="F144:G144"/>
    <mergeCell ref="B145:C145"/>
    <mergeCell ref="D145:E145"/>
    <mergeCell ref="F145:G145"/>
    <mergeCell ref="C140:D140"/>
    <mergeCell ref="E140:F140"/>
    <mergeCell ref="D114:E114"/>
    <mergeCell ref="A123:H125"/>
    <mergeCell ref="B127:C127"/>
    <mergeCell ref="B129:D129"/>
    <mergeCell ref="B131:D131"/>
    <mergeCell ref="B132:H133"/>
    <mergeCell ref="D136:H137"/>
    <mergeCell ref="B137:C137"/>
    <mergeCell ref="D138:H138"/>
    <mergeCell ref="B139:C139"/>
    <mergeCell ref="E139:F139"/>
    <mergeCell ref="D113:E113"/>
    <mergeCell ref="B85:D85"/>
    <mergeCell ref="F85:H85"/>
    <mergeCell ref="B90:H90"/>
    <mergeCell ref="B91:H91"/>
    <mergeCell ref="B93:H95"/>
    <mergeCell ref="B97:E97"/>
    <mergeCell ref="F97:H97"/>
    <mergeCell ref="B99:C99"/>
    <mergeCell ref="D99:E99"/>
    <mergeCell ref="D100:E100"/>
    <mergeCell ref="D101:E101"/>
    <mergeCell ref="D102:E102"/>
    <mergeCell ref="B70:H70"/>
    <mergeCell ref="F71:G71"/>
    <mergeCell ref="B83:D83"/>
    <mergeCell ref="F83:H83"/>
    <mergeCell ref="B84:D84"/>
    <mergeCell ref="F84:H84"/>
    <mergeCell ref="F68:G68"/>
    <mergeCell ref="B1:H7"/>
    <mergeCell ref="B10:C10"/>
    <mergeCell ref="B16:H22"/>
    <mergeCell ref="F25:G26"/>
    <mergeCell ref="B32:H34"/>
    <mergeCell ref="B36:H37"/>
    <mergeCell ref="B43:H43"/>
    <mergeCell ref="B44:H44"/>
    <mergeCell ref="B47:H53"/>
    <mergeCell ref="B55:C55"/>
    <mergeCell ref="B60:H66"/>
  </mergeCells>
  <printOptions horizontalCentered="1"/>
  <pageMargins left="0.70866141732283472" right="0.31496062992125984" top="0.74803149606299213" bottom="0.74803149606299213" header="0.31496062992125984" footer="0.31496062992125984"/>
  <pageSetup scale="85" orientation="portrait" horizontalDpi="0" verticalDpi="0" r:id="rId1"/>
  <rowBreaks count="6" manualBreakCount="6">
    <brk id="46" max="7" man="1"/>
    <brk id="92" max="7" man="1"/>
    <brk id="122" max="7" man="1"/>
    <brk id="166" max="7" man="1"/>
    <brk id="208" max="7" man="1"/>
    <brk id="251" max="7"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55"/>
  <sheetViews>
    <sheetView topLeftCell="A49" workbookViewId="0">
      <selection activeCell="A82" sqref="A82:C82"/>
    </sheetView>
  </sheetViews>
  <sheetFormatPr baseColWidth="10" defaultColWidth="11.28515625" defaultRowHeight="15" x14ac:dyDescent="0.25"/>
  <cols>
    <col min="1" max="1" width="19.5703125" customWidth="1"/>
    <col min="2" max="2" width="37.5703125" customWidth="1"/>
    <col min="3" max="3" width="15.85546875" customWidth="1"/>
    <col min="4" max="4" width="13.7109375" customWidth="1"/>
    <col min="5" max="5" width="18" customWidth="1"/>
    <col min="6" max="6" width="15.140625" customWidth="1"/>
    <col min="7" max="7" width="15.7109375" customWidth="1"/>
    <col min="9" max="9" width="11.7109375" bestFit="1" customWidth="1"/>
    <col min="11" max="11" width="22.28515625" customWidth="1"/>
    <col min="14" max="14" width="15.28515625" customWidth="1"/>
    <col min="15" max="15" width="11.7109375" bestFit="1" customWidth="1"/>
  </cols>
  <sheetData>
    <row r="1" spans="1:7" x14ac:dyDescent="0.25">
      <c r="A1" s="585" t="s">
        <v>59</v>
      </c>
      <c r="B1" s="585"/>
      <c r="C1" s="585"/>
      <c r="D1" s="585"/>
      <c r="E1" s="585"/>
      <c r="F1" s="585"/>
      <c r="G1" s="585"/>
    </row>
    <row r="2" spans="1:7" x14ac:dyDescent="0.25">
      <c r="A2" s="585"/>
      <c r="B2" s="585"/>
      <c r="C2" s="585"/>
      <c r="D2" s="585"/>
      <c r="E2" s="585"/>
      <c r="F2" s="585"/>
      <c r="G2" s="585"/>
    </row>
    <row r="3" spans="1:7" x14ac:dyDescent="0.25">
      <c r="A3" s="585"/>
      <c r="B3" s="585"/>
      <c r="C3" s="585"/>
      <c r="D3" s="585"/>
      <c r="E3" s="585"/>
      <c r="F3" s="585"/>
      <c r="G3" s="585"/>
    </row>
    <row r="4" spans="1:7" x14ac:dyDescent="0.25">
      <c r="A4" s="585"/>
      <c r="B4" s="585"/>
      <c r="C4" s="585"/>
      <c r="D4" s="585"/>
      <c r="E4" s="585"/>
      <c r="F4" s="585"/>
      <c r="G4" s="585"/>
    </row>
    <row r="5" spans="1:7" x14ac:dyDescent="0.25">
      <c r="A5" s="585"/>
      <c r="B5" s="585"/>
      <c r="C5" s="585"/>
      <c r="D5" s="585"/>
      <c r="E5" s="585"/>
      <c r="F5" s="585"/>
      <c r="G5" s="585"/>
    </row>
    <row r="6" spans="1:7" x14ac:dyDescent="0.25">
      <c r="A6" s="585"/>
      <c r="B6" s="585"/>
      <c r="C6" s="585"/>
      <c r="D6" s="585"/>
      <c r="E6" s="585"/>
      <c r="F6" s="585"/>
      <c r="G6" s="585"/>
    </row>
    <row r="7" spans="1:7" x14ac:dyDescent="0.25">
      <c r="A7" s="585"/>
      <c r="B7" s="585"/>
      <c r="C7" s="585"/>
      <c r="D7" s="585"/>
      <c r="E7" s="585"/>
      <c r="F7" s="585"/>
      <c r="G7" s="585"/>
    </row>
    <row r="8" spans="1:7" x14ac:dyDescent="0.25">
      <c r="A8" s="6"/>
      <c r="B8" s="6"/>
      <c r="C8" s="6"/>
      <c r="D8" s="6"/>
      <c r="E8" s="6"/>
      <c r="F8" s="6"/>
      <c r="G8" s="6"/>
    </row>
    <row r="9" spans="1:7" x14ac:dyDescent="0.25">
      <c r="A9" s="6"/>
      <c r="B9" s="6"/>
      <c r="C9" s="6"/>
      <c r="D9" s="6"/>
      <c r="E9" s="6"/>
      <c r="F9" s="6"/>
      <c r="G9" s="6"/>
    </row>
    <row r="10" spans="1:7" x14ac:dyDescent="0.25">
      <c r="A10" s="586" t="s">
        <v>60</v>
      </c>
      <c r="B10" s="586"/>
      <c r="C10" s="6" t="s">
        <v>61</v>
      </c>
      <c r="D10" s="6"/>
      <c r="E10" s="6" t="s">
        <v>62</v>
      </c>
      <c r="F10" s="6" t="s">
        <v>63</v>
      </c>
      <c r="G10" s="6"/>
    </row>
    <row r="11" spans="1:7" x14ac:dyDescent="0.25">
      <c r="A11" s="7"/>
      <c r="B11" s="7"/>
      <c r="C11" s="6"/>
      <c r="D11" s="6"/>
      <c r="E11" s="6"/>
      <c r="F11" s="6"/>
      <c r="G11" s="6"/>
    </row>
    <row r="12" spans="1:7" x14ac:dyDescent="0.25">
      <c r="A12" s="6"/>
      <c r="B12" s="6"/>
      <c r="C12" s="6"/>
      <c r="D12" s="6"/>
      <c r="E12" s="6"/>
      <c r="F12" s="6"/>
      <c r="G12" s="6"/>
    </row>
    <row r="13" spans="1:7" x14ac:dyDescent="0.25">
      <c r="A13" s="6" t="s">
        <v>64</v>
      </c>
      <c r="B13" s="6"/>
      <c r="C13" s="6"/>
      <c r="D13" s="6"/>
      <c r="E13" s="6"/>
      <c r="F13" s="6"/>
      <c r="G13" s="6"/>
    </row>
    <row r="14" spans="1:7" x14ac:dyDescent="0.25">
      <c r="A14" s="6"/>
      <c r="B14" s="6"/>
      <c r="C14" s="6"/>
      <c r="D14" s="6"/>
      <c r="E14" s="6"/>
      <c r="F14" s="6"/>
      <c r="G14" s="6"/>
    </row>
    <row r="15" spans="1:7" x14ac:dyDescent="0.25">
      <c r="A15" s="6"/>
      <c r="B15" s="6"/>
      <c r="C15" s="6"/>
      <c r="D15" s="6"/>
      <c r="E15" s="6"/>
      <c r="F15" s="6"/>
      <c r="G15" s="6"/>
    </row>
    <row r="16" spans="1:7" x14ac:dyDescent="0.25">
      <c r="A16" s="653" t="str">
        <f>+B157</f>
        <v>"INTRODUCCIÓN  DEL SERVICIO DE ALCANTARILLADO SANITARIO EN COLONIA SANTA MARTA"</v>
      </c>
      <c r="B16" s="653"/>
      <c r="C16" s="653"/>
      <c r="D16" s="653"/>
      <c r="E16" s="653"/>
      <c r="F16" s="653"/>
      <c r="G16" s="653"/>
    </row>
    <row r="17" spans="1:7" x14ac:dyDescent="0.25">
      <c r="A17" s="653"/>
      <c r="B17" s="653"/>
      <c r="C17" s="653"/>
      <c r="D17" s="653"/>
      <c r="E17" s="653"/>
      <c r="F17" s="653"/>
      <c r="G17" s="653"/>
    </row>
    <row r="18" spans="1:7" x14ac:dyDescent="0.25">
      <c r="A18" s="653"/>
      <c r="B18" s="653"/>
      <c r="C18" s="653"/>
      <c r="D18" s="653"/>
      <c r="E18" s="653"/>
      <c r="F18" s="653"/>
      <c r="G18" s="653"/>
    </row>
    <row r="19" spans="1:7" x14ac:dyDescent="0.25">
      <c r="A19" s="653"/>
      <c r="B19" s="653"/>
      <c r="C19" s="653"/>
      <c r="D19" s="653"/>
      <c r="E19" s="653"/>
      <c r="F19" s="653"/>
      <c r="G19" s="653"/>
    </row>
    <row r="20" spans="1:7" x14ac:dyDescent="0.25">
      <c r="A20" s="653"/>
      <c r="B20" s="653"/>
      <c r="C20" s="653"/>
      <c r="D20" s="653"/>
      <c r="E20" s="653"/>
      <c r="F20" s="653"/>
      <c r="G20" s="653"/>
    </row>
    <row r="21" spans="1:7" x14ac:dyDescent="0.25">
      <c r="A21" s="653"/>
      <c r="B21" s="653"/>
      <c r="C21" s="653"/>
      <c r="D21" s="653"/>
      <c r="E21" s="653"/>
      <c r="F21" s="653"/>
      <c r="G21" s="653"/>
    </row>
    <row r="22" spans="1:7" x14ac:dyDescent="0.25">
      <c r="A22" s="653"/>
      <c r="B22" s="653"/>
      <c r="C22" s="653"/>
      <c r="D22" s="653"/>
      <c r="E22" s="653"/>
      <c r="F22" s="653"/>
      <c r="G22" s="653"/>
    </row>
    <row r="23" spans="1:7" x14ac:dyDescent="0.25">
      <c r="A23" s="6"/>
      <c r="B23" s="6"/>
      <c r="C23" s="6"/>
      <c r="D23" s="6"/>
      <c r="E23" s="6"/>
      <c r="F23" s="6"/>
      <c r="G23" s="6"/>
    </row>
    <row r="24" spans="1:7" x14ac:dyDescent="0.25">
      <c r="A24" s="6"/>
      <c r="B24" s="6"/>
      <c r="C24" s="6"/>
      <c r="D24" s="6"/>
      <c r="E24" s="6"/>
      <c r="F24" s="6"/>
      <c r="G24" s="6"/>
    </row>
    <row r="25" spans="1:7" x14ac:dyDescent="0.25">
      <c r="A25" s="6" t="s">
        <v>65</v>
      </c>
      <c r="B25" s="6"/>
      <c r="C25" s="6"/>
      <c r="D25" s="654">
        <f>+G186</f>
        <v>157464.19</v>
      </c>
      <c r="E25" s="655"/>
      <c r="F25" s="655"/>
      <c r="G25" s="6"/>
    </row>
    <row r="26" spans="1:7" x14ac:dyDescent="0.25">
      <c r="A26" s="6"/>
      <c r="B26" s="6"/>
      <c r="C26" s="6"/>
      <c r="D26" s="655"/>
      <c r="E26" s="655"/>
      <c r="F26" s="655"/>
      <c r="G26" s="6"/>
    </row>
    <row r="27" spans="1:7" x14ac:dyDescent="0.25">
      <c r="A27" s="6"/>
      <c r="B27" s="6"/>
      <c r="C27" s="6"/>
      <c r="D27" s="6"/>
      <c r="E27" s="6"/>
      <c r="F27" s="6"/>
      <c r="G27" s="6"/>
    </row>
    <row r="28" spans="1:7" x14ac:dyDescent="0.25">
      <c r="A28" s="6"/>
      <c r="B28" s="6"/>
      <c r="C28" s="6"/>
      <c r="D28" s="6"/>
      <c r="E28" s="6"/>
      <c r="F28" s="6"/>
      <c r="G28" s="6"/>
    </row>
    <row r="29" spans="1:7" x14ac:dyDescent="0.25">
      <c r="A29" s="6"/>
      <c r="B29" s="6"/>
      <c r="C29" s="6"/>
      <c r="D29" s="6"/>
      <c r="E29" s="6"/>
      <c r="F29" s="6"/>
      <c r="G29" s="6"/>
    </row>
    <row r="30" spans="1:7" x14ac:dyDescent="0.25">
      <c r="A30" s="6" t="s">
        <v>66</v>
      </c>
      <c r="B30" s="6"/>
      <c r="C30" s="591" t="s">
        <v>67</v>
      </c>
      <c r="D30" s="591"/>
      <c r="E30" s="591"/>
      <c r="F30" s="591"/>
      <c r="G30" s="591"/>
    </row>
    <row r="31" spans="1:7" x14ac:dyDescent="0.25">
      <c r="A31" s="6"/>
      <c r="B31" s="6"/>
      <c r="C31" s="656" t="s">
        <v>68</v>
      </c>
      <c r="D31" s="656"/>
      <c r="E31" s="656"/>
      <c r="F31" s="656"/>
      <c r="G31" s="656"/>
    </row>
    <row r="32" spans="1:7" x14ac:dyDescent="0.25">
      <c r="A32" s="590"/>
      <c r="B32" s="590"/>
      <c r="C32" s="590"/>
      <c r="D32" s="590"/>
      <c r="E32" s="590"/>
      <c r="F32" s="590"/>
      <c r="G32" s="590"/>
    </row>
    <row r="33" spans="1:7" x14ac:dyDescent="0.25">
      <c r="A33" s="590"/>
      <c r="B33" s="590"/>
      <c r="C33" s="590"/>
      <c r="D33" s="590"/>
      <c r="E33" s="590"/>
      <c r="F33" s="590"/>
      <c r="G33" s="590"/>
    </row>
    <row r="34" spans="1:7" x14ac:dyDescent="0.25">
      <c r="A34" s="590"/>
      <c r="B34" s="590"/>
      <c r="C34" s="590"/>
      <c r="D34" s="590"/>
      <c r="E34" s="590"/>
      <c r="F34" s="590"/>
      <c r="G34" s="590"/>
    </row>
    <row r="35" spans="1:7" x14ac:dyDescent="0.25">
      <c r="A35" s="6"/>
      <c r="B35" s="6"/>
      <c r="C35" s="6"/>
      <c r="D35" s="6"/>
      <c r="E35" s="6"/>
      <c r="F35" s="6"/>
      <c r="G35" s="6"/>
    </row>
    <row r="36" spans="1:7" x14ac:dyDescent="0.25">
      <c r="A36" s="6"/>
      <c r="B36" s="6"/>
      <c r="C36" s="6"/>
      <c r="D36" s="6"/>
      <c r="E36" s="6"/>
      <c r="F36" s="6"/>
      <c r="G36" s="6"/>
    </row>
    <row r="37" spans="1:7" x14ac:dyDescent="0.25">
      <c r="A37" s="6"/>
      <c r="B37" s="6"/>
      <c r="C37" s="6"/>
      <c r="D37" s="6"/>
      <c r="E37" s="6"/>
      <c r="F37" s="6"/>
      <c r="G37" s="6"/>
    </row>
    <row r="38" spans="1:7" x14ac:dyDescent="0.25">
      <c r="A38" s="6"/>
      <c r="B38" s="6"/>
      <c r="C38" s="6"/>
      <c r="D38" s="6"/>
      <c r="E38" s="6"/>
      <c r="F38" s="6"/>
      <c r="G38" s="6"/>
    </row>
    <row r="39" spans="1:7" x14ac:dyDescent="0.25">
      <c r="A39" s="6"/>
      <c r="B39" s="6"/>
      <c r="C39" s="6"/>
      <c r="D39" s="6"/>
      <c r="E39" s="6"/>
      <c r="F39" s="6"/>
      <c r="G39" s="6"/>
    </row>
    <row r="40" spans="1:7" x14ac:dyDescent="0.25">
      <c r="A40" s="6"/>
      <c r="B40" s="6"/>
      <c r="C40" s="6"/>
      <c r="D40" s="6"/>
      <c r="E40" s="6"/>
      <c r="F40" s="6"/>
      <c r="G40" s="6"/>
    </row>
    <row r="41" spans="1:7" x14ac:dyDescent="0.25">
      <c r="A41" s="6"/>
      <c r="B41" s="6"/>
      <c r="C41" s="6"/>
      <c r="D41" s="6"/>
      <c r="E41" s="6"/>
      <c r="F41" s="6"/>
      <c r="G41" s="6"/>
    </row>
    <row r="42" spans="1:7" x14ac:dyDescent="0.25">
      <c r="A42" s="6"/>
      <c r="B42" s="6"/>
      <c r="C42" s="6"/>
      <c r="D42" s="6"/>
      <c r="E42" s="6"/>
      <c r="F42" s="6"/>
      <c r="G42" s="6"/>
    </row>
    <row r="43" spans="1:7" x14ac:dyDescent="0.25">
      <c r="A43" s="591" t="s">
        <v>69</v>
      </c>
      <c r="B43" s="591"/>
      <c r="C43" s="591"/>
      <c r="D43" s="591"/>
      <c r="E43" s="591"/>
      <c r="F43" s="591"/>
      <c r="G43" s="591"/>
    </row>
    <row r="44" spans="1:7" x14ac:dyDescent="0.25">
      <c r="A44" s="659" t="s">
        <v>70</v>
      </c>
      <c r="B44" s="659"/>
      <c r="C44" s="659"/>
      <c r="D44" s="659"/>
      <c r="E44" s="659"/>
      <c r="F44" s="659"/>
      <c r="G44" s="659"/>
    </row>
    <row r="45" spans="1:7" x14ac:dyDescent="0.25">
      <c r="A45" s="660"/>
      <c r="B45" s="660"/>
      <c r="C45" s="660"/>
      <c r="D45" s="660"/>
      <c r="E45" s="660"/>
      <c r="F45" s="660"/>
      <c r="G45" s="660"/>
    </row>
    <row r="46" spans="1:7" x14ac:dyDescent="0.25">
      <c r="A46" s="8"/>
      <c r="B46" s="8"/>
      <c r="C46" s="8"/>
      <c r="D46" s="8"/>
      <c r="E46" s="8"/>
      <c r="F46" s="8"/>
      <c r="G46" s="8"/>
    </row>
    <row r="47" spans="1:7" x14ac:dyDescent="0.25">
      <c r="A47" s="8"/>
      <c r="B47" s="8"/>
      <c r="C47" s="8"/>
      <c r="D47" s="8"/>
      <c r="E47" s="8"/>
      <c r="F47" s="8"/>
      <c r="G47" s="8"/>
    </row>
    <row r="48" spans="1:7" x14ac:dyDescent="0.25">
      <c r="A48" s="593" t="s">
        <v>71</v>
      </c>
      <c r="B48" s="593"/>
      <c r="C48" s="593"/>
      <c r="D48" s="593"/>
      <c r="E48" s="593"/>
      <c r="F48" s="593"/>
      <c r="G48" s="593"/>
    </row>
    <row r="49" spans="1:7" x14ac:dyDescent="0.25">
      <c r="A49" s="593"/>
      <c r="B49" s="593"/>
      <c r="C49" s="593"/>
      <c r="D49" s="593"/>
      <c r="E49" s="593"/>
      <c r="F49" s="593"/>
      <c r="G49" s="593"/>
    </row>
    <row r="50" spans="1:7" x14ac:dyDescent="0.25">
      <c r="A50" s="593"/>
      <c r="B50" s="593"/>
      <c r="C50" s="593"/>
      <c r="D50" s="593"/>
      <c r="E50" s="593"/>
      <c r="F50" s="593"/>
      <c r="G50" s="593"/>
    </row>
    <row r="51" spans="1:7" x14ac:dyDescent="0.25">
      <c r="A51" s="593"/>
      <c r="B51" s="593"/>
      <c r="C51" s="593"/>
      <c r="D51" s="593"/>
      <c r="E51" s="593"/>
      <c r="F51" s="593"/>
      <c r="G51" s="593"/>
    </row>
    <row r="52" spans="1:7" x14ac:dyDescent="0.25">
      <c r="A52" s="593"/>
      <c r="B52" s="593"/>
      <c r="C52" s="593"/>
      <c r="D52" s="593"/>
      <c r="E52" s="593"/>
      <c r="F52" s="593"/>
      <c r="G52" s="593"/>
    </row>
    <row r="53" spans="1:7" x14ac:dyDescent="0.25">
      <c r="A53" s="593"/>
      <c r="B53" s="593"/>
      <c r="C53" s="593"/>
      <c r="D53" s="593"/>
      <c r="E53" s="593"/>
      <c r="F53" s="593"/>
      <c r="G53" s="593"/>
    </row>
    <row r="54" spans="1:7" x14ac:dyDescent="0.25">
      <c r="A54" s="593"/>
      <c r="B54" s="593"/>
      <c r="C54" s="593"/>
      <c r="D54" s="593"/>
      <c r="E54" s="593"/>
      <c r="F54" s="593"/>
      <c r="G54" s="593"/>
    </row>
    <row r="55" spans="1:7" x14ac:dyDescent="0.25">
      <c r="A55" s="6"/>
      <c r="B55" s="6"/>
      <c r="C55" s="6"/>
      <c r="D55" s="6"/>
      <c r="E55" s="6"/>
      <c r="F55" s="6"/>
      <c r="G55" s="6"/>
    </row>
    <row r="56" spans="1:7" x14ac:dyDescent="0.25">
      <c r="A56" s="586" t="s">
        <v>60</v>
      </c>
      <c r="B56" s="586"/>
      <c r="C56" s="6" t="s">
        <v>61</v>
      </c>
      <c r="D56" s="6"/>
      <c r="E56" s="6" t="s">
        <v>62</v>
      </c>
      <c r="F56" s="6" t="s">
        <v>63</v>
      </c>
      <c r="G56" s="6"/>
    </row>
    <row r="57" spans="1:7" x14ac:dyDescent="0.25">
      <c r="A57" s="6"/>
      <c r="B57" s="6"/>
      <c r="C57" s="6"/>
      <c r="D57" s="6"/>
      <c r="E57" s="6"/>
      <c r="F57" s="6"/>
      <c r="G57" s="6"/>
    </row>
    <row r="58" spans="1:7" x14ac:dyDescent="0.25">
      <c r="A58" s="6" t="s">
        <v>64</v>
      </c>
      <c r="B58" s="6"/>
      <c r="C58" s="6"/>
      <c r="D58" s="6"/>
      <c r="E58" s="6"/>
      <c r="F58" s="6"/>
      <c r="G58" s="6"/>
    </row>
    <row r="59" spans="1:7" x14ac:dyDescent="0.25">
      <c r="A59" s="653" t="str">
        <f>A16</f>
        <v>"INTRODUCCIÓN  DEL SERVICIO DE ALCANTARILLADO SANITARIO EN COLONIA SANTA MARTA"</v>
      </c>
      <c r="B59" s="653"/>
      <c r="C59" s="653"/>
      <c r="D59" s="653"/>
      <c r="E59" s="653"/>
      <c r="F59" s="653"/>
      <c r="G59" s="653"/>
    </row>
    <row r="60" spans="1:7" x14ac:dyDescent="0.25">
      <c r="A60" s="653"/>
      <c r="B60" s="653"/>
      <c r="C60" s="653"/>
      <c r="D60" s="653"/>
      <c r="E60" s="653"/>
      <c r="F60" s="653"/>
      <c r="G60" s="653"/>
    </row>
    <row r="61" spans="1:7" x14ac:dyDescent="0.25">
      <c r="A61" s="653"/>
      <c r="B61" s="653"/>
      <c r="C61" s="653"/>
      <c r="D61" s="653"/>
      <c r="E61" s="653"/>
      <c r="F61" s="653"/>
      <c r="G61" s="653"/>
    </row>
    <row r="62" spans="1:7" x14ac:dyDescent="0.25">
      <c r="A62" s="653"/>
      <c r="B62" s="653"/>
      <c r="C62" s="653"/>
      <c r="D62" s="653"/>
      <c r="E62" s="653"/>
      <c r="F62" s="653"/>
      <c r="G62" s="653"/>
    </row>
    <row r="63" spans="1:7" x14ac:dyDescent="0.25">
      <c r="A63" s="653"/>
      <c r="B63" s="653"/>
      <c r="C63" s="653"/>
      <c r="D63" s="653"/>
      <c r="E63" s="653"/>
      <c r="F63" s="653"/>
      <c r="G63" s="653"/>
    </row>
    <row r="64" spans="1:7" x14ac:dyDescent="0.25">
      <c r="A64" s="653"/>
      <c r="B64" s="653"/>
      <c r="C64" s="653"/>
      <c r="D64" s="653"/>
      <c r="E64" s="653"/>
      <c r="F64" s="653"/>
      <c r="G64" s="653"/>
    </row>
    <row r="65" spans="1:7" x14ac:dyDescent="0.25">
      <c r="A65" s="653"/>
      <c r="B65" s="653"/>
      <c r="C65" s="653"/>
      <c r="D65" s="653"/>
      <c r="E65" s="653"/>
      <c r="F65" s="653"/>
      <c r="G65" s="653"/>
    </row>
    <row r="66" spans="1:7" x14ac:dyDescent="0.25">
      <c r="A66" s="6" t="s">
        <v>72</v>
      </c>
      <c r="B66" s="6"/>
      <c r="C66" s="6"/>
      <c r="D66" s="6"/>
      <c r="E66" s="6"/>
      <c r="F66" s="6"/>
      <c r="G66" s="6"/>
    </row>
    <row r="67" spans="1:7" x14ac:dyDescent="0.25">
      <c r="A67" s="6"/>
      <c r="B67" s="6"/>
      <c r="C67" s="6"/>
      <c r="D67" s="6"/>
      <c r="E67" s="584"/>
      <c r="F67" s="584"/>
      <c r="G67" s="6"/>
    </row>
    <row r="68" spans="1:7" x14ac:dyDescent="0.25">
      <c r="A68" s="6" t="s">
        <v>73</v>
      </c>
      <c r="B68" s="6"/>
      <c r="C68" s="6"/>
      <c r="D68" s="6"/>
      <c r="E68" s="6"/>
      <c r="F68" s="6"/>
      <c r="G68" s="6"/>
    </row>
    <row r="69" spans="1:7" ht="18" x14ac:dyDescent="0.25">
      <c r="A69" s="657" t="str">
        <f>C30</f>
        <v>JOSE MAURICIO SERRANO MARTINEZ</v>
      </c>
      <c r="B69" s="657"/>
      <c r="C69" s="657"/>
      <c r="D69" s="657"/>
      <c r="E69" s="657"/>
      <c r="F69" s="657"/>
      <c r="G69" s="657"/>
    </row>
    <row r="70" spans="1:7" x14ac:dyDescent="0.25">
      <c r="A70" s="6"/>
      <c r="B70" s="6"/>
      <c r="C70" s="6"/>
      <c r="D70" s="6"/>
      <c r="E70" s="584"/>
      <c r="F70" s="584"/>
      <c r="G70" s="6"/>
    </row>
    <row r="71" spans="1:7" x14ac:dyDescent="0.25">
      <c r="A71" s="6" t="s">
        <v>74</v>
      </c>
      <c r="B71" s="6"/>
      <c r="C71" s="6"/>
      <c r="D71" s="6" t="s">
        <v>75</v>
      </c>
      <c r="E71" s="9" t="str">
        <f>A44</f>
        <v>DICIEMBRE DE 2O14</v>
      </c>
      <c r="F71" s="6"/>
      <c r="G71" s="6"/>
    </row>
    <row r="72" spans="1:7" x14ac:dyDescent="0.25">
      <c r="A72" s="6"/>
      <c r="B72" s="6"/>
      <c r="C72" s="6"/>
      <c r="D72" s="6"/>
      <c r="E72" s="6"/>
      <c r="F72" s="6"/>
      <c r="G72" s="6"/>
    </row>
    <row r="73" spans="1:7" x14ac:dyDescent="0.25">
      <c r="A73" s="6" t="s">
        <v>76</v>
      </c>
      <c r="B73" s="6"/>
      <c r="C73" s="6"/>
      <c r="D73" s="6"/>
      <c r="E73" s="6"/>
      <c r="F73" s="6"/>
      <c r="G73" s="6"/>
    </row>
    <row r="74" spans="1:7" x14ac:dyDescent="0.25">
      <c r="A74" s="6"/>
      <c r="B74" s="6"/>
      <c r="C74" s="6"/>
      <c r="D74" s="6"/>
      <c r="E74" s="6"/>
      <c r="F74" s="6"/>
      <c r="G74" s="6"/>
    </row>
    <row r="75" spans="1:7" x14ac:dyDescent="0.25">
      <c r="A75" s="10" t="s">
        <v>77</v>
      </c>
      <c r="B75" s="10"/>
      <c r="C75" s="10"/>
      <c r="D75" s="10"/>
      <c r="E75" s="10"/>
      <c r="F75" s="10"/>
      <c r="G75" s="10"/>
    </row>
    <row r="76" spans="1:7" x14ac:dyDescent="0.25">
      <c r="A76" s="10"/>
      <c r="B76" s="10"/>
      <c r="C76" s="10"/>
      <c r="D76" s="10"/>
      <c r="E76" s="10"/>
      <c r="F76" s="10"/>
      <c r="G76" s="10"/>
    </row>
    <row r="77" spans="1:7" x14ac:dyDescent="0.25">
      <c r="A77" s="10"/>
      <c r="B77" s="10"/>
      <c r="C77" s="10"/>
      <c r="D77" s="10"/>
      <c r="E77" s="10"/>
      <c r="F77" s="10"/>
      <c r="G77" s="10"/>
    </row>
    <row r="78" spans="1:7" x14ac:dyDescent="0.25">
      <c r="A78" s="10"/>
      <c r="B78" s="10"/>
      <c r="C78" s="10"/>
      <c r="D78" s="10"/>
      <c r="E78" s="10"/>
      <c r="F78" s="10"/>
      <c r="G78" s="10"/>
    </row>
    <row r="79" spans="1:7" x14ac:dyDescent="0.25">
      <c r="A79" s="10"/>
      <c r="B79" s="10"/>
      <c r="C79" s="10"/>
      <c r="D79" s="10"/>
      <c r="E79" s="10"/>
      <c r="F79" s="10"/>
      <c r="G79" s="10"/>
    </row>
    <row r="80" spans="1:7" x14ac:dyDescent="0.25">
      <c r="A80" s="10"/>
      <c r="B80" s="10"/>
      <c r="C80" s="10"/>
      <c r="D80" s="10"/>
      <c r="E80" s="10"/>
      <c r="F80" s="10"/>
      <c r="G80" s="10"/>
    </row>
    <row r="81" spans="1:7" x14ac:dyDescent="0.25">
      <c r="A81" s="10"/>
      <c r="B81" s="10"/>
      <c r="C81" s="10"/>
      <c r="D81" s="10"/>
      <c r="E81" s="10"/>
      <c r="F81" s="10"/>
      <c r="G81" s="10"/>
    </row>
    <row r="82" spans="1:7" x14ac:dyDescent="0.25">
      <c r="A82" s="595"/>
      <c r="B82" s="595"/>
      <c r="C82" s="595"/>
      <c r="D82" s="6"/>
      <c r="E82" s="595"/>
      <c r="F82" s="658"/>
      <c r="G82" s="658"/>
    </row>
    <row r="83" spans="1:7" x14ac:dyDescent="0.25">
      <c r="A83" s="596" t="s">
        <v>78</v>
      </c>
      <c r="B83" s="596"/>
      <c r="C83" s="596"/>
      <c r="D83" s="6"/>
      <c r="E83" s="596" t="s">
        <v>79</v>
      </c>
      <c r="F83" s="596"/>
      <c r="G83" s="596"/>
    </row>
    <row r="84" spans="1:7" x14ac:dyDescent="0.25">
      <c r="A84" s="591" t="s">
        <v>80</v>
      </c>
      <c r="B84" s="591"/>
      <c r="C84" s="591"/>
      <c r="D84" s="6"/>
      <c r="E84" s="591" t="s">
        <v>81</v>
      </c>
      <c r="F84" s="591"/>
      <c r="G84" s="591"/>
    </row>
    <row r="85" spans="1:7" x14ac:dyDescent="0.25">
      <c r="A85" s="6"/>
      <c r="B85" s="6"/>
      <c r="C85" s="6"/>
      <c r="D85" s="6"/>
      <c r="E85" s="6"/>
      <c r="F85" s="6"/>
      <c r="G85" s="6"/>
    </row>
    <row r="86" spans="1:7" x14ac:dyDescent="0.25">
      <c r="A86" s="6"/>
      <c r="B86" s="6"/>
      <c r="C86" s="6"/>
      <c r="D86" s="6"/>
      <c r="E86" s="6"/>
      <c r="F86" s="6"/>
      <c r="G86" s="6"/>
    </row>
    <row r="87" spans="1:7" x14ac:dyDescent="0.25">
      <c r="A87" s="6"/>
      <c r="B87" s="6"/>
      <c r="C87" s="6"/>
      <c r="D87" s="6"/>
      <c r="E87" s="6"/>
      <c r="F87" s="6"/>
      <c r="G87" s="6"/>
    </row>
    <row r="88" spans="1:7" x14ac:dyDescent="0.25">
      <c r="A88" s="6"/>
      <c r="B88" s="6"/>
      <c r="C88" s="6"/>
      <c r="D88" s="6"/>
      <c r="E88" s="6"/>
      <c r="F88" s="6"/>
      <c r="G88" s="6"/>
    </row>
    <row r="89" spans="1:7" x14ac:dyDescent="0.25">
      <c r="A89" s="11"/>
      <c r="B89" s="11"/>
      <c r="C89" s="12"/>
      <c r="D89" s="12"/>
      <c r="E89" s="12"/>
      <c r="F89" s="11"/>
      <c r="G89" s="11"/>
    </row>
    <row r="90" spans="1:7" x14ac:dyDescent="0.25">
      <c r="A90" s="11"/>
      <c r="B90" s="11"/>
      <c r="C90" s="596" t="s">
        <v>82</v>
      </c>
      <c r="D90" s="596"/>
      <c r="E90" s="596"/>
      <c r="F90" s="11"/>
      <c r="G90" s="11"/>
    </row>
    <row r="91" spans="1:7" x14ac:dyDescent="0.25">
      <c r="A91" s="13"/>
      <c r="B91" s="13"/>
      <c r="C91" s="592" t="s">
        <v>83</v>
      </c>
      <c r="D91" s="592"/>
      <c r="E91" s="592"/>
      <c r="F91" s="13"/>
      <c r="G91" s="13"/>
    </row>
    <row r="94" spans="1:7" x14ac:dyDescent="0.25">
      <c r="A94" s="661" t="s">
        <v>84</v>
      </c>
      <c r="B94" s="661"/>
      <c r="C94" s="661"/>
      <c r="D94" s="661"/>
      <c r="E94" s="661"/>
      <c r="F94" s="661"/>
      <c r="G94" s="661"/>
    </row>
    <row r="95" spans="1:7" x14ac:dyDescent="0.25">
      <c r="A95" s="661"/>
      <c r="B95" s="661"/>
      <c r="C95" s="661"/>
      <c r="D95" s="661"/>
      <c r="E95" s="661"/>
      <c r="F95" s="661"/>
      <c r="G95" s="661"/>
    </row>
    <row r="96" spans="1:7" ht="44.25" customHeight="1" x14ac:dyDescent="0.25">
      <c r="A96" s="661"/>
      <c r="B96" s="661"/>
      <c r="C96" s="661"/>
      <c r="D96" s="661"/>
      <c r="E96" s="661"/>
      <c r="F96" s="661"/>
      <c r="G96" s="661"/>
    </row>
    <row r="97" spans="1:7" x14ac:dyDescent="0.25">
      <c r="A97" s="612" t="s">
        <v>85</v>
      </c>
      <c r="B97" s="612"/>
      <c r="C97" s="14"/>
      <c r="D97" s="14"/>
      <c r="E97" s="14"/>
      <c r="F97" s="14"/>
      <c r="G97" s="14"/>
    </row>
    <row r="98" spans="1:7" x14ac:dyDescent="0.25">
      <c r="A98" s="14"/>
      <c r="B98" s="14"/>
      <c r="C98" s="14"/>
      <c r="D98" s="14"/>
      <c r="E98" s="14"/>
      <c r="F98" s="14"/>
      <c r="G98" s="14"/>
    </row>
    <row r="99" spans="1:7" x14ac:dyDescent="0.25">
      <c r="A99" s="613" t="s">
        <v>86</v>
      </c>
      <c r="B99" s="613"/>
      <c r="C99" s="613"/>
      <c r="D99" s="15"/>
      <c r="E99" s="14"/>
      <c r="F99" s="14"/>
      <c r="G99" s="14"/>
    </row>
    <row r="100" spans="1:7" x14ac:dyDescent="0.25">
      <c r="A100" s="14"/>
      <c r="B100" s="14"/>
      <c r="C100" s="14"/>
      <c r="D100" s="14"/>
      <c r="E100" s="14"/>
      <c r="F100" s="14"/>
      <c r="G100" s="14"/>
    </row>
    <row r="101" spans="1:7" x14ac:dyDescent="0.25">
      <c r="A101" s="613" t="s">
        <v>87</v>
      </c>
      <c r="B101" s="613"/>
      <c r="C101" s="613"/>
      <c r="D101" s="14"/>
      <c r="E101" s="14"/>
      <c r="F101" s="14"/>
      <c r="G101" s="14"/>
    </row>
    <row r="102" spans="1:7" x14ac:dyDescent="0.25">
      <c r="A102" s="662" t="str">
        <f>A59</f>
        <v>"INTRODUCCIÓN  DEL SERVICIO DE ALCANTARILLADO SANITARIO EN COLONIA SANTA MARTA"</v>
      </c>
      <c r="B102" s="662"/>
      <c r="C102" s="662"/>
      <c r="D102" s="662"/>
      <c r="E102" s="662"/>
      <c r="F102" s="662"/>
      <c r="G102" s="662"/>
    </row>
    <row r="103" spans="1:7" x14ac:dyDescent="0.25">
      <c r="A103" s="662"/>
      <c r="B103" s="662"/>
      <c r="C103" s="662"/>
      <c r="D103" s="662"/>
      <c r="E103" s="662"/>
      <c r="F103" s="662"/>
      <c r="G103" s="662"/>
    </row>
    <row r="104" spans="1:7" x14ac:dyDescent="0.25">
      <c r="A104" s="16" t="s">
        <v>88</v>
      </c>
      <c r="B104" s="17"/>
      <c r="C104" s="14"/>
      <c r="D104" s="14"/>
      <c r="E104" s="14"/>
      <c r="F104" s="14"/>
      <c r="G104" s="14"/>
    </row>
    <row r="105" spans="1:7" x14ac:dyDescent="0.25">
      <c r="A105" s="14"/>
      <c r="B105" s="14"/>
      <c r="C105" s="663" t="str">
        <f>A102</f>
        <v>"INTRODUCCIÓN  DEL SERVICIO DE ALCANTARILLADO SANITARIO EN COLONIA SANTA MARTA"</v>
      </c>
      <c r="D105" s="664"/>
      <c r="E105" s="664"/>
      <c r="F105" s="664"/>
      <c r="G105" s="664"/>
    </row>
    <row r="106" spans="1:7" ht="32.25" customHeight="1" x14ac:dyDescent="0.25">
      <c r="A106" s="666" t="s">
        <v>89</v>
      </c>
      <c r="B106" s="666"/>
      <c r="C106" s="665"/>
      <c r="D106" s="665"/>
      <c r="E106" s="665"/>
      <c r="F106" s="665"/>
      <c r="G106" s="665"/>
    </row>
    <row r="107" spans="1:7" x14ac:dyDescent="0.25">
      <c r="A107" s="14"/>
      <c r="B107" s="14"/>
      <c r="C107" s="673"/>
      <c r="D107" s="673"/>
      <c r="E107" s="673"/>
      <c r="F107" s="673"/>
      <c r="G107" s="673"/>
    </row>
    <row r="108" spans="1:7" x14ac:dyDescent="0.25">
      <c r="A108" s="619" t="s">
        <v>90</v>
      </c>
      <c r="B108" s="619"/>
      <c r="C108" s="18" t="s">
        <v>61</v>
      </c>
      <c r="D108" s="620" t="s">
        <v>63</v>
      </c>
      <c r="E108" s="620"/>
      <c r="F108" s="19"/>
      <c r="G108" s="19"/>
    </row>
    <row r="109" spans="1:7" x14ac:dyDescent="0.25">
      <c r="A109" s="14"/>
      <c r="B109" s="609" t="s">
        <v>91</v>
      </c>
      <c r="C109" s="609"/>
      <c r="D109" s="610" t="s">
        <v>92</v>
      </c>
      <c r="E109" s="610"/>
      <c r="F109" s="20" t="s">
        <v>93</v>
      </c>
      <c r="G109" s="20" t="s">
        <v>94</v>
      </c>
    </row>
    <row r="110" spans="1:7" x14ac:dyDescent="0.25">
      <c r="A110" s="612" t="s">
        <v>95</v>
      </c>
      <c r="B110" s="612"/>
      <c r="C110" s="612"/>
      <c r="D110" s="612"/>
      <c r="E110" s="612"/>
      <c r="F110" s="14"/>
      <c r="G110" s="14"/>
    </row>
    <row r="111" spans="1:7" x14ac:dyDescent="0.25">
      <c r="A111" s="667" t="s">
        <v>96</v>
      </c>
      <c r="B111" s="668"/>
      <c r="C111" s="667" t="s">
        <v>97</v>
      </c>
      <c r="D111" s="668"/>
      <c r="E111" s="667" t="s">
        <v>98</v>
      </c>
      <c r="F111" s="668"/>
      <c r="G111" s="21" t="s">
        <v>99</v>
      </c>
    </row>
    <row r="112" spans="1:7" ht="30.75" customHeight="1" x14ac:dyDescent="0.25">
      <c r="A112" s="669" t="str">
        <f>A138</f>
        <v>CONSULTORIA, CONTROL DE CALIDAD, DIRECCION DE CAMPO</v>
      </c>
      <c r="B112" s="670"/>
      <c r="C112" s="671">
        <f>D138</f>
        <v>15950</v>
      </c>
      <c r="D112" s="672"/>
      <c r="E112" s="621"/>
      <c r="F112" s="622"/>
      <c r="G112" s="22">
        <f t="shared" ref="G112:G117" si="0">C112</f>
        <v>15950</v>
      </c>
    </row>
    <row r="113" spans="1:7" ht="15.75" x14ac:dyDescent="0.25">
      <c r="A113" s="674" t="str">
        <f>A139</f>
        <v>OBRAS DE TERRACERIA</v>
      </c>
      <c r="B113" s="675"/>
      <c r="C113" s="671">
        <f>D139</f>
        <v>67296.149999999994</v>
      </c>
      <c r="D113" s="672"/>
      <c r="E113" s="621"/>
      <c r="F113" s="622"/>
      <c r="G113" s="22">
        <f t="shared" si="0"/>
        <v>67296.149999999994</v>
      </c>
    </row>
    <row r="114" spans="1:7" ht="15.75" x14ac:dyDescent="0.25">
      <c r="A114" s="674" t="str">
        <f>A140</f>
        <v>OBRAS DE ALBANILERIA</v>
      </c>
      <c r="B114" s="675"/>
      <c r="C114" s="671">
        <f>D140</f>
        <v>35364.97</v>
      </c>
      <c r="D114" s="672"/>
      <c r="E114" s="621"/>
      <c r="F114" s="622"/>
      <c r="G114" s="22">
        <f t="shared" si="0"/>
        <v>35364.97</v>
      </c>
    </row>
    <row r="115" spans="1:7" ht="15.75" x14ac:dyDescent="0.25">
      <c r="A115" s="674" t="str">
        <f>A141</f>
        <v>COMPRA, ALQUILER DE EQUIPOS Y SEŇALIZACION</v>
      </c>
      <c r="B115" s="675"/>
      <c r="C115" s="671">
        <f>D141</f>
        <v>22050</v>
      </c>
      <c r="D115" s="672"/>
      <c r="E115" s="621"/>
      <c r="F115" s="622"/>
      <c r="G115" s="22">
        <f t="shared" si="0"/>
        <v>22050</v>
      </c>
    </row>
    <row r="116" spans="1:7" ht="15.75" x14ac:dyDescent="0.25">
      <c r="A116" s="674" t="str">
        <f>+B184</f>
        <v>COMPRA DE INMUEBLE PARA SERVIDUMBRE</v>
      </c>
      <c r="B116" s="675"/>
      <c r="C116" s="23"/>
      <c r="D116" s="24">
        <f>+G184</f>
        <v>6030</v>
      </c>
      <c r="E116" s="25"/>
      <c r="F116" s="26"/>
      <c r="G116" s="27">
        <f>D116</f>
        <v>6030</v>
      </c>
    </row>
    <row r="117" spans="1:7" ht="27" customHeight="1" thickBot="1" x14ac:dyDescent="0.3">
      <c r="A117" s="669" t="str">
        <f>+B185</f>
        <v>IMPREVISTOS</v>
      </c>
      <c r="B117" s="670"/>
      <c r="C117" s="671">
        <f>+G185</f>
        <v>10773.07</v>
      </c>
      <c r="D117" s="672"/>
      <c r="E117" s="621"/>
      <c r="F117" s="622"/>
      <c r="G117" s="22">
        <f t="shared" si="0"/>
        <v>10773.07</v>
      </c>
    </row>
    <row r="118" spans="1:7" ht="15.75" customHeight="1" thickBot="1" x14ac:dyDescent="0.3">
      <c r="A118" s="28" t="s">
        <v>100</v>
      </c>
      <c r="B118" s="29"/>
      <c r="C118" s="29"/>
      <c r="D118" s="29"/>
      <c r="E118" s="29"/>
      <c r="F118" s="30"/>
      <c r="G118" s="31">
        <f>SUM(G112:G117)</f>
        <v>157464.19</v>
      </c>
    </row>
    <row r="119" spans="1:7" x14ac:dyDescent="0.25">
      <c r="A119" s="14"/>
      <c r="B119" s="14"/>
      <c r="C119" s="14"/>
      <c r="D119" s="14"/>
      <c r="E119" s="14"/>
      <c r="F119" s="14"/>
      <c r="G119" s="32"/>
    </row>
    <row r="120" spans="1:7" x14ac:dyDescent="0.25">
      <c r="A120" s="14"/>
      <c r="B120" s="14"/>
      <c r="C120" s="14"/>
      <c r="D120" s="14"/>
      <c r="E120" s="14"/>
      <c r="F120" s="14"/>
      <c r="G120" s="32"/>
    </row>
    <row r="121" spans="1:7" x14ac:dyDescent="0.25">
      <c r="A121" s="14"/>
      <c r="B121" s="14"/>
      <c r="C121" s="14"/>
      <c r="D121" s="14"/>
      <c r="E121" s="14"/>
      <c r="F121" s="14"/>
      <c r="G121" s="32"/>
    </row>
    <row r="122" spans="1:7" x14ac:dyDescent="0.25">
      <c r="A122" s="595"/>
      <c r="B122" s="595"/>
      <c r="C122" s="595"/>
      <c r="D122" s="6"/>
      <c r="E122" s="595"/>
      <c r="F122" s="658"/>
      <c r="G122" s="658"/>
    </row>
    <row r="123" spans="1:7" x14ac:dyDescent="0.25">
      <c r="A123" s="596" t="s">
        <v>78</v>
      </c>
      <c r="B123" s="596"/>
      <c r="C123" s="596"/>
      <c r="D123" s="6"/>
      <c r="E123" s="596" t="s">
        <v>79</v>
      </c>
      <c r="F123" s="596"/>
      <c r="G123" s="596"/>
    </row>
    <row r="124" spans="1:7" x14ac:dyDescent="0.25">
      <c r="A124" s="591" t="s">
        <v>80</v>
      </c>
      <c r="B124" s="591"/>
      <c r="C124" s="591"/>
      <c r="D124" s="6"/>
      <c r="E124" s="591" t="s">
        <v>81</v>
      </c>
      <c r="F124" s="591"/>
      <c r="G124" s="591"/>
    </row>
    <row r="125" spans="1:7" x14ac:dyDescent="0.25">
      <c r="A125" s="6"/>
      <c r="B125" s="6"/>
      <c r="C125" s="6"/>
      <c r="D125" s="6"/>
      <c r="E125" s="6"/>
      <c r="F125" s="6"/>
      <c r="G125" s="6"/>
    </row>
    <row r="126" spans="1:7" x14ac:dyDescent="0.25">
      <c r="A126" s="6"/>
      <c r="B126" s="6"/>
      <c r="C126" s="6"/>
      <c r="D126" s="6"/>
      <c r="E126" s="6"/>
      <c r="F126" s="6"/>
      <c r="G126" s="6"/>
    </row>
    <row r="127" spans="1:7" x14ac:dyDescent="0.25">
      <c r="A127" s="6"/>
      <c r="B127" s="6"/>
      <c r="C127" s="6"/>
      <c r="D127" s="6"/>
      <c r="E127" s="6"/>
      <c r="F127" s="6"/>
      <c r="G127" s="6"/>
    </row>
    <row r="128" spans="1:7" x14ac:dyDescent="0.25">
      <c r="A128" s="6"/>
      <c r="B128" s="6"/>
      <c r="C128" s="6"/>
      <c r="D128" s="6"/>
      <c r="E128" s="6"/>
      <c r="F128" s="6"/>
      <c r="G128" s="6"/>
    </row>
    <row r="129" spans="1:7" x14ac:dyDescent="0.25">
      <c r="A129" s="11"/>
      <c r="B129" s="11"/>
      <c r="C129" s="596" t="s">
        <v>82</v>
      </c>
      <c r="D129" s="596"/>
      <c r="E129" s="596"/>
      <c r="F129" s="11"/>
      <c r="G129" s="11"/>
    </row>
    <row r="130" spans="1:7" x14ac:dyDescent="0.25">
      <c r="A130" s="600" t="s">
        <v>101</v>
      </c>
      <c r="B130" s="600"/>
      <c r="C130" s="600"/>
      <c r="D130" s="600"/>
      <c r="E130" s="600"/>
      <c r="F130" s="600"/>
      <c r="G130" s="600"/>
    </row>
    <row r="133" spans="1:7" x14ac:dyDescent="0.25">
      <c r="A133" s="676" t="s">
        <v>102</v>
      </c>
      <c r="B133" s="676"/>
      <c r="C133" s="676"/>
      <c r="D133" s="676"/>
      <c r="E133" s="676"/>
      <c r="F133" s="676"/>
      <c r="G133" s="676"/>
    </row>
    <row r="134" spans="1:7" x14ac:dyDescent="0.25">
      <c r="A134" s="676"/>
      <c r="B134" s="676"/>
      <c r="C134" s="676"/>
      <c r="D134" s="676"/>
      <c r="E134" s="676"/>
      <c r="F134" s="676"/>
      <c r="G134" s="676"/>
    </row>
    <row r="135" spans="1:7" ht="45.75" customHeight="1" x14ac:dyDescent="0.25">
      <c r="A135" s="676"/>
      <c r="B135" s="676"/>
      <c r="C135" s="676"/>
      <c r="D135" s="676"/>
      <c r="E135" s="676"/>
      <c r="F135" s="676"/>
      <c r="G135" s="676"/>
    </row>
    <row r="136" spans="1:7" ht="15.75" thickBot="1" x14ac:dyDescent="0.3"/>
    <row r="137" spans="1:7" x14ac:dyDescent="0.25">
      <c r="A137" s="677" t="s">
        <v>103</v>
      </c>
      <c r="B137" s="678"/>
      <c r="C137" s="678"/>
      <c r="D137" s="679"/>
      <c r="E137" s="677" t="s">
        <v>104</v>
      </c>
      <c r="F137" s="678"/>
      <c r="G137" s="679"/>
    </row>
    <row r="138" spans="1:7" ht="27.75" customHeight="1" x14ac:dyDescent="0.25">
      <c r="A138" s="680" t="str">
        <f>B161</f>
        <v>CONSULTORIA, CONTROL DE CALIDAD, DIRECCION DE CAMPO</v>
      </c>
      <c r="B138" s="681"/>
      <c r="C138" s="33"/>
      <c r="D138" s="34">
        <f>G161</f>
        <v>15950</v>
      </c>
      <c r="E138" s="35" t="s">
        <v>105</v>
      </c>
      <c r="F138" s="36"/>
      <c r="G138" s="37">
        <f>+G185</f>
        <v>10773.07</v>
      </c>
    </row>
    <row r="139" spans="1:7" x14ac:dyDescent="0.25">
      <c r="A139" s="687" t="str">
        <f>B168</f>
        <v>OBRAS DE TERRACERIA</v>
      </c>
      <c r="B139" s="648"/>
      <c r="C139" s="33"/>
      <c r="D139" s="34">
        <f>G168</f>
        <v>67296.149999999994</v>
      </c>
      <c r="E139" s="35"/>
      <c r="F139" s="36"/>
      <c r="G139" s="38"/>
    </row>
    <row r="140" spans="1:7" ht="25.5" customHeight="1" x14ac:dyDescent="0.25">
      <c r="A140" s="688" t="str">
        <f>B174</f>
        <v>OBRAS DE ALBANILERIA</v>
      </c>
      <c r="B140" s="689"/>
      <c r="C140" s="39"/>
      <c r="D140" s="34">
        <f>G174</f>
        <v>35364.97</v>
      </c>
      <c r="E140" s="35"/>
      <c r="F140" s="36"/>
      <c r="G140" s="38"/>
    </row>
    <row r="141" spans="1:7" ht="39" customHeight="1" x14ac:dyDescent="0.25">
      <c r="A141" s="688" t="str">
        <f>B180</f>
        <v>COMPRA, ALQUILER DE EQUIPOS Y SEŇALIZACION</v>
      </c>
      <c r="B141" s="689"/>
      <c r="C141" s="33"/>
      <c r="D141" s="34">
        <f>G180</f>
        <v>22050</v>
      </c>
      <c r="E141" s="40"/>
      <c r="F141" s="36"/>
      <c r="G141" s="38"/>
    </row>
    <row r="142" spans="1:7" ht="30.75" customHeight="1" x14ac:dyDescent="0.25">
      <c r="A142" s="690" t="str">
        <f>+B184</f>
        <v>COMPRA DE INMUEBLE PARA SERVIDUMBRE</v>
      </c>
      <c r="B142" s="685"/>
      <c r="C142" s="33"/>
      <c r="D142" s="37">
        <f>+G184</f>
        <v>6030</v>
      </c>
      <c r="E142" s="691"/>
      <c r="F142" s="692"/>
      <c r="G142" s="38"/>
    </row>
    <row r="143" spans="1:7" x14ac:dyDescent="0.25">
      <c r="A143" s="41" t="str">
        <f>+B185</f>
        <v>IMPREVISTOS</v>
      </c>
      <c r="B143" s="685"/>
      <c r="C143" s="685"/>
      <c r="D143" s="42">
        <f>+G185</f>
        <v>10773.07</v>
      </c>
      <c r="E143" s="693"/>
      <c r="F143" s="686"/>
      <c r="G143" s="38"/>
    </row>
    <row r="144" spans="1:7" ht="15.75" thickBot="1" x14ac:dyDescent="0.3">
      <c r="A144" s="43" t="s">
        <v>106</v>
      </c>
      <c r="B144" s="682"/>
      <c r="C144" s="682"/>
      <c r="D144" s="44">
        <f>SUM(D138:D143)</f>
        <v>157464.19</v>
      </c>
      <c r="E144" s="683" t="s">
        <v>106</v>
      </c>
      <c r="F144" s="684"/>
      <c r="G144" s="45">
        <f>SUM(G138:G143)</f>
        <v>10773.07</v>
      </c>
    </row>
    <row r="145" spans="1:16" x14ac:dyDescent="0.25">
      <c r="A145" s="46"/>
      <c r="B145" s="47"/>
      <c r="C145" s="47"/>
      <c r="D145" s="48"/>
      <c r="E145" s="49"/>
      <c r="F145" s="49"/>
      <c r="G145" s="50"/>
    </row>
    <row r="146" spans="1:16" ht="29.25" customHeight="1" x14ac:dyDescent="0.25">
      <c r="A146" s="51"/>
      <c r="B146" s="685"/>
      <c r="C146" s="685"/>
      <c r="D146" s="6"/>
      <c r="E146" s="686"/>
      <c r="F146" s="686"/>
      <c r="G146" s="50"/>
    </row>
    <row r="147" spans="1:16" ht="30" customHeight="1" x14ac:dyDescent="0.25">
      <c r="B147" s="52" t="s">
        <v>107</v>
      </c>
      <c r="C147" s="52"/>
      <c r="D147" s="52"/>
      <c r="E147" s="53">
        <f>D144*0.2</f>
        <v>31492.838000000003</v>
      </c>
      <c r="F147" s="49"/>
      <c r="G147" s="50"/>
    </row>
    <row r="148" spans="1:16" ht="24.75" customHeight="1" x14ac:dyDescent="0.25">
      <c r="B148" s="52" t="s">
        <v>108</v>
      </c>
      <c r="C148" s="52"/>
      <c r="D148" s="52"/>
      <c r="E148" s="54">
        <f>+D144*0.35</f>
        <v>55112.466499999995</v>
      </c>
      <c r="F148" s="49"/>
      <c r="G148" s="55"/>
    </row>
    <row r="149" spans="1:16" ht="27" customHeight="1" x14ac:dyDescent="0.25">
      <c r="B149" s="52" t="s">
        <v>109</v>
      </c>
      <c r="C149" s="52"/>
      <c r="D149" s="52"/>
      <c r="E149" s="56">
        <f>D144*0.15</f>
        <v>23619.628499999999</v>
      </c>
      <c r="F149" s="49"/>
      <c r="G149" s="55"/>
      <c r="K149" s="57"/>
    </row>
    <row r="150" spans="1:16" ht="28.5" customHeight="1" x14ac:dyDescent="0.55000000000000004">
      <c r="B150" s="52" t="s">
        <v>110</v>
      </c>
      <c r="C150" s="52"/>
      <c r="D150" s="52"/>
      <c r="E150" s="58">
        <f>D144*0.3</f>
        <v>47239.256999999998</v>
      </c>
      <c r="F150" s="49"/>
      <c r="G150" s="55"/>
    </row>
    <row r="151" spans="1:16" x14ac:dyDescent="0.25">
      <c r="B151" s="51"/>
      <c r="C151" s="59" t="s">
        <v>19</v>
      </c>
      <c r="D151" s="59"/>
      <c r="E151" s="56">
        <f>SUM(E147:E150)</f>
        <v>157464.19</v>
      </c>
      <c r="F151" s="49"/>
      <c r="G151" s="55"/>
    </row>
    <row r="152" spans="1:16" x14ac:dyDescent="0.25">
      <c r="A152" s="51"/>
      <c r="B152" s="685"/>
      <c r="C152" s="685"/>
      <c r="D152" s="60"/>
      <c r="E152" s="686"/>
      <c r="F152" s="686"/>
      <c r="G152" s="55"/>
    </row>
    <row r="153" spans="1:16" x14ac:dyDescent="0.25">
      <c r="A153" s="14"/>
      <c r="B153" s="14"/>
      <c r="C153" s="14"/>
      <c r="D153" s="14"/>
      <c r="E153" s="14"/>
      <c r="F153" s="14"/>
      <c r="G153" s="14"/>
    </row>
    <row r="154" spans="1:16" x14ac:dyDescent="0.25">
      <c r="A154" s="14"/>
      <c r="B154" s="14"/>
      <c r="C154" s="14"/>
      <c r="D154" s="14"/>
      <c r="E154" s="14"/>
      <c r="F154" s="14"/>
      <c r="G154" s="14"/>
    </row>
    <row r="155" spans="1:16" x14ac:dyDescent="0.25">
      <c r="A155" s="61"/>
      <c r="B155" s="61"/>
      <c r="C155" s="61"/>
      <c r="D155" s="61"/>
      <c r="E155" s="61"/>
      <c r="F155" s="61"/>
      <c r="G155" s="61"/>
    </row>
    <row r="156" spans="1:16" ht="15" customHeight="1" x14ac:dyDescent="0.25">
      <c r="A156" s="696"/>
      <c r="B156" s="696"/>
      <c r="C156" s="696"/>
      <c r="D156" s="696"/>
      <c r="E156" s="696"/>
      <c r="F156" s="696"/>
      <c r="G156" s="696"/>
      <c r="I156" s="33"/>
      <c r="J156" s="33"/>
      <c r="K156" s="33"/>
      <c r="L156" s="33"/>
      <c r="M156" s="33"/>
      <c r="N156" s="33"/>
      <c r="O156" s="33"/>
      <c r="P156" s="33"/>
    </row>
    <row r="157" spans="1:16" ht="30" customHeight="1" x14ac:dyDescent="0.25">
      <c r="A157" s="62" t="s">
        <v>64</v>
      </c>
      <c r="B157" s="697" t="s">
        <v>148</v>
      </c>
      <c r="C157" s="697"/>
      <c r="D157" s="697"/>
      <c r="E157" s="697"/>
      <c r="F157" s="697"/>
      <c r="G157" s="697"/>
      <c r="I157" s="33"/>
      <c r="J157" s="33"/>
      <c r="K157" s="33"/>
      <c r="L157" s="33"/>
      <c r="M157" s="33"/>
      <c r="N157" s="33"/>
      <c r="O157" s="33"/>
      <c r="P157" s="33"/>
    </row>
    <row r="158" spans="1:16" ht="26.25" customHeight="1" x14ac:dyDescent="0.25">
      <c r="A158" s="63" t="s">
        <v>75</v>
      </c>
      <c r="B158" s="64" t="s">
        <v>111</v>
      </c>
      <c r="I158" s="33"/>
      <c r="J158" s="33"/>
      <c r="K158" s="33"/>
      <c r="L158" s="33"/>
      <c r="M158" s="33"/>
      <c r="N158" s="33"/>
      <c r="O158" s="33"/>
      <c r="P158" s="33"/>
    </row>
    <row r="159" spans="1:16" ht="25.5" customHeight="1" thickBot="1" x14ac:dyDescent="0.3">
      <c r="A159" s="65" t="s">
        <v>112</v>
      </c>
      <c r="B159" s="64" t="s">
        <v>113</v>
      </c>
      <c r="I159" s="33"/>
      <c r="J159" s="33"/>
      <c r="K159" s="33"/>
      <c r="L159" s="33"/>
      <c r="M159" s="33"/>
      <c r="N159" s="66"/>
      <c r="O159" s="33"/>
      <c r="P159" s="66"/>
    </row>
    <row r="160" spans="1:16" ht="28.5" customHeight="1" x14ac:dyDescent="0.25">
      <c r="A160" s="67" t="s">
        <v>114</v>
      </c>
      <c r="B160" s="68" t="s">
        <v>115</v>
      </c>
      <c r="C160" s="69" t="s">
        <v>116</v>
      </c>
      <c r="D160" s="69" t="s">
        <v>117</v>
      </c>
      <c r="E160" s="69" t="s">
        <v>118</v>
      </c>
      <c r="F160" s="69" t="s">
        <v>19</v>
      </c>
      <c r="G160" s="70" t="s">
        <v>106</v>
      </c>
      <c r="H160" s="258" t="s">
        <v>323</v>
      </c>
      <c r="I160" s="33"/>
      <c r="J160" s="33"/>
      <c r="K160" s="33"/>
      <c r="L160" s="33"/>
      <c r="M160" s="33"/>
      <c r="N160" s="33"/>
      <c r="O160" s="33"/>
      <c r="P160" s="33"/>
    </row>
    <row r="161" spans="1:16" ht="30" x14ac:dyDescent="0.25">
      <c r="A161" s="71">
        <v>1</v>
      </c>
      <c r="B161" s="72" t="s">
        <v>119</v>
      </c>
      <c r="C161" s="73"/>
      <c r="D161" s="73"/>
      <c r="E161" s="74"/>
      <c r="F161" s="74"/>
      <c r="G161" s="75">
        <f>SUM(F162:F167)</f>
        <v>15950</v>
      </c>
      <c r="I161" s="76"/>
      <c r="J161" s="77"/>
      <c r="K161" s="33"/>
      <c r="L161" s="33"/>
      <c r="M161" s="33"/>
      <c r="N161" s="33"/>
      <c r="O161" s="33"/>
      <c r="P161" s="33"/>
    </row>
    <row r="162" spans="1:16" x14ac:dyDescent="0.25">
      <c r="A162" s="78">
        <f>A161+0.1</f>
        <v>1.1000000000000001</v>
      </c>
      <c r="B162" s="79" t="s">
        <v>120</v>
      </c>
      <c r="C162" s="80">
        <v>1</v>
      </c>
      <c r="D162" s="81" t="s">
        <v>121</v>
      </c>
      <c r="E162" s="74">
        <v>1800</v>
      </c>
      <c r="F162" s="74">
        <f>ROUND(C162*E162,2)</f>
        <v>1800</v>
      </c>
      <c r="G162" s="82"/>
      <c r="I162" s="83"/>
      <c r="J162" s="84"/>
      <c r="K162" s="33"/>
      <c r="L162" s="33"/>
      <c r="M162" s="33"/>
      <c r="N162" s="33"/>
      <c r="O162" s="33"/>
      <c r="P162" s="33"/>
    </row>
    <row r="163" spans="1:16" x14ac:dyDescent="0.25">
      <c r="A163" s="78">
        <f t="shared" ref="A163:A167" si="1">A162+0.1</f>
        <v>1.2000000000000002</v>
      </c>
      <c r="B163" s="79" t="s">
        <v>122</v>
      </c>
      <c r="C163" s="80">
        <v>1</v>
      </c>
      <c r="D163" s="81" t="s">
        <v>121</v>
      </c>
      <c r="E163" s="74">
        <f>ROUND(250*10*1.1,2)</f>
        <v>2750</v>
      </c>
      <c r="F163" s="74">
        <f t="shared" ref="F163:F185" si="2">ROUND(C163*E163,2)</f>
        <v>2750</v>
      </c>
      <c r="G163" s="82"/>
      <c r="I163" s="83"/>
      <c r="J163" s="84"/>
      <c r="K163" s="33"/>
      <c r="L163" s="33"/>
      <c r="M163" s="33"/>
      <c r="N163" s="33"/>
      <c r="O163" s="33"/>
      <c r="P163" s="33"/>
    </row>
    <row r="164" spans="1:16" x14ac:dyDescent="0.25">
      <c r="A164" s="78">
        <f t="shared" si="1"/>
        <v>1.3000000000000003</v>
      </c>
      <c r="B164" s="79" t="s">
        <v>123</v>
      </c>
      <c r="C164" s="80">
        <v>1</v>
      </c>
      <c r="D164" s="81" t="s">
        <v>121</v>
      </c>
      <c r="E164" s="74">
        <v>600</v>
      </c>
      <c r="F164" s="74">
        <f t="shared" si="2"/>
        <v>600</v>
      </c>
      <c r="G164" s="82"/>
      <c r="I164" s="83"/>
      <c r="J164" s="84"/>
      <c r="K164" s="33"/>
      <c r="L164" s="33"/>
      <c r="M164" s="33"/>
      <c r="N164" s="33"/>
      <c r="O164" s="33"/>
      <c r="P164" s="33"/>
    </row>
    <row r="165" spans="1:16" x14ac:dyDescent="0.25">
      <c r="A165" s="78">
        <f t="shared" si="1"/>
        <v>1.4000000000000004</v>
      </c>
      <c r="B165" s="79" t="s">
        <v>124</v>
      </c>
      <c r="C165" s="80">
        <v>1</v>
      </c>
      <c r="D165" s="81" t="s">
        <v>121</v>
      </c>
      <c r="E165" s="74">
        <v>600</v>
      </c>
      <c r="F165" s="74">
        <f t="shared" si="2"/>
        <v>600</v>
      </c>
      <c r="G165" s="82"/>
      <c r="I165" s="83"/>
      <c r="J165" s="84"/>
      <c r="K165" s="33"/>
      <c r="L165" s="33"/>
      <c r="M165" s="33"/>
      <c r="N165" s="33"/>
      <c r="O165" s="33"/>
      <c r="P165" s="33"/>
    </row>
    <row r="166" spans="1:16" ht="30" x14ac:dyDescent="0.25">
      <c r="A166" s="78">
        <f t="shared" si="1"/>
        <v>1.5000000000000004</v>
      </c>
      <c r="B166" s="79" t="s">
        <v>125</v>
      </c>
      <c r="C166" s="80">
        <v>1</v>
      </c>
      <c r="D166" s="81" t="s">
        <v>121</v>
      </c>
      <c r="E166" s="74">
        <v>6000</v>
      </c>
      <c r="F166" s="74">
        <f t="shared" si="2"/>
        <v>6000</v>
      </c>
      <c r="G166" s="82"/>
      <c r="K166" s="33"/>
      <c r="L166" s="33"/>
      <c r="M166" s="33"/>
      <c r="N166" s="33"/>
      <c r="O166" s="33"/>
      <c r="P166" s="33"/>
    </row>
    <row r="167" spans="1:16" ht="30" x14ac:dyDescent="0.25">
      <c r="A167" s="78">
        <f t="shared" si="1"/>
        <v>1.6000000000000005</v>
      </c>
      <c r="B167" s="79" t="s">
        <v>126</v>
      </c>
      <c r="C167" s="80">
        <v>1</v>
      </c>
      <c r="D167" s="81" t="s">
        <v>121</v>
      </c>
      <c r="E167" s="74">
        <f>ROUND(1400*3,2)</f>
        <v>4200</v>
      </c>
      <c r="F167" s="74">
        <f t="shared" si="2"/>
        <v>4200</v>
      </c>
      <c r="G167" s="82"/>
      <c r="I167" s="83"/>
      <c r="J167" s="84"/>
      <c r="K167" s="33"/>
      <c r="L167" s="33"/>
      <c r="M167" s="33"/>
      <c r="N167" s="33"/>
      <c r="O167" s="33"/>
      <c r="P167" s="33"/>
    </row>
    <row r="168" spans="1:16" x14ac:dyDescent="0.25">
      <c r="A168" s="71">
        <v>2</v>
      </c>
      <c r="B168" s="85" t="s">
        <v>127</v>
      </c>
      <c r="C168" s="80"/>
      <c r="D168" s="86"/>
      <c r="E168" s="74"/>
      <c r="F168" s="74"/>
      <c r="G168" s="75">
        <f>SUM(F169:F173)</f>
        <v>67296.149999999994</v>
      </c>
      <c r="I168" s="83"/>
      <c r="J168" s="77"/>
      <c r="K168" s="33"/>
      <c r="L168" s="33"/>
      <c r="M168" s="33"/>
      <c r="N168" s="33"/>
      <c r="O168" s="33"/>
      <c r="P168" s="33"/>
    </row>
    <row r="169" spans="1:16" x14ac:dyDescent="0.25">
      <c r="A169" s="78">
        <f>A168+0.1</f>
        <v>2.1</v>
      </c>
      <c r="B169" s="79" t="s">
        <v>128</v>
      </c>
      <c r="C169" s="80">
        <f>+CANTIDADES!H63</f>
        <v>3454.1200000000003</v>
      </c>
      <c r="D169" s="81" t="s">
        <v>129</v>
      </c>
      <c r="E169" s="74">
        <f>+ROUND(9.50910782516476,2)</f>
        <v>9.51</v>
      </c>
      <c r="F169" s="74">
        <f t="shared" si="2"/>
        <v>32848.68</v>
      </c>
      <c r="G169" s="82"/>
      <c r="I169" s="83"/>
      <c r="J169" s="84"/>
      <c r="K169" s="87"/>
      <c r="L169" s="33"/>
      <c r="M169" s="33"/>
      <c r="N169" s="33"/>
      <c r="O169" s="33"/>
      <c r="P169" s="33"/>
    </row>
    <row r="170" spans="1:16" x14ac:dyDescent="0.25">
      <c r="A170" s="78">
        <f t="shared" ref="A170:A173" si="3">A169+0.1</f>
        <v>2.2000000000000002</v>
      </c>
      <c r="B170" s="79" t="s">
        <v>130</v>
      </c>
      <c r="C170" s="80">
        <v>805</v>
      </c>
      <c r="D170" s="81" t="s">
        <v>131</v>
      </c>
      <c r="E170" s="74">
        <v>1.5</v>
      </c>
      <c r="F170" s="74">
        <f t="shared" si="2"/>
        <v>1207.5</v>
      </c>
      <c r="G170" s="82"/>
      <c r="I170" s="76"/>
      <c r="J170" s="84"/>
      <c r="K170" s="33"/>
      <c r="L170" s="33"/>
      <c r="M170" s="33"/>
      <c r="N170" s="33"/>
      <c r="O170" s="33"/>
      <c r="P170" s="33"/>
    </row>
    <row r="171" spans="1:16" ht="30" x14ac:dyDescent="0.25">
      <c r="A171" s="78">
        <f t="shared" si="3"/>
        <v>2.3000000000000003</v>
      </c>
      <c r="B171" s="79" t="s">
        <v>132</v>
      </c>
      <c r="C171" s="80">
        <f>+ROUND(C169*0.5,2)</f>
        <v>1727.06</v>
      </c>
      <c r="D171" s="81" t="s">
        <v>129</v>
      </c>
      <c r="E171" s="74">
        <v>11.74</v>
      </c>
      <c r="F171" s="74">
        <f t="shared" si="2"/>
        <v>20275.68</v>
      </c>
      <c r="G171" s="82"/>
      <c r="I171" s="33"/>
      <c r="J171" s="84"/>
      <c r="K171" s="33"/>
      <c r="L171" s="33"/>
      <c r="M171" s="33"/>
      <c r="N171" s="33"/>
      <c r="O171" s="33"/>
      <c r="P171" s="33"/>
    </row>
    <row r="172" spans="1:16" ht="30" x14ac:dyDescent="0.25">
      <c r="A172" s="78">
        <f t="shared" si="3"/>
        <v>2.4000000000000004</v>
      </c>
      <c r="B172" s="79" t="s">
        <v>133</v>
      </c>
      <c r="C172" s="80">
        <f>ROUND(+C169*0.5,2)</f>
        <v>1727.06</v>
      </c>
      <c r="D172" s="81" t="s">
        <v>129</v>
      </c>
      <c r="E172" s="74">
        <v>5.48</v>
      </c>
      <c r="F172" s="74">
        <f t="shared" si="2"/>
        <v>9464.2900000000009</v>
      </c>
      <c r="G172" s="82"/>
      <c r="I172" s="89"/>
      <c r="J172" s="84"/>
      <c r="K172" s="33"/>
      <c r="L172" s="33"/>
      <c r="M172" s="33"/>
      <c r="N172" s="33"/>
      <c r="O172" s="33"/>
      <c r="P172" s="33"/>
    </row>
    <row r="173" spans="1:16" x14ac:dyDescent="0.25">
      <c r="A173" s="78">
        <f t="shared" si="3"/>
        <v>2.5000000000000004</v>
      </c>
      <c r="B173" s="79" t="s">
        <v>134</v>
      </c>
      <c r="C173" s="80">
        <v>700</v>
      </c>
      <c r="D173" s="81" t="s">
        <v>131</v>
      </c>
      <c r="E173" s="74">
        <v>5</v>
      </c>
      <c r="F173" s="74">
        <f t="shared" si="2"/>
        <v>3500</v>
      </c>
      <c r="G173" s="82"/>
      <c r="I173" s="83"/>
      <c r="J173" s="84"/>
      <c r="K173" s="33"/>
      <c r="L173" s="33"/>
      <c r="M173" s="33"/>
      <c r="N173" s="66"/>
      <c r="O173" s="33"/>
      <c r="P173" s="87"/>
    </row>
    <row r="174" spans="1:16" ht="33" customHeight="1" x14ac:dyDescent="0.25">
      <c r="A174" s="71">
        <v>3</v>
      </c>
      <c r="B174" s="85" t="s">
        <v>135</v>
      </c>
      <c r="C174" s="80"/>
      <c r="D174" s="86"/>
      <c r="E174" s="74"/>
      <c r="F174" s="74"/>
      <c r="G174" s="75">
        <f>SUM(F175:F179)</f>
        <v>35364.97</v>
      </c>
      <c r="I174" s="83"/>
      <c r="J174" s="77"/>
      <c r="K174" s="33"/>
      <c r="L174" s="33"/>
      <c r="M174" s="33"/>
      <c r="N174" s="87"/>
      <c r="O174" s="33"/>
      <c r="P174" s="33"/>
    </row>
    <row r="175" spans="1:16" ht="15" customHeight="1" x14ac:dyDescent="0.25">
      <c r="A175" s="78">
        <f>A174+0.1</f>
        <v>3.1</v>
      </c>
      <c r="B175" s="79" t="s">
        <v>136</v>
      </c>
      <c r="C175" s="80">
        <v>16</v>
      </c>
      <c r="D175" s="81" t="s">
        <v>137</v>
      </c>
      <c r="E175" s="74">
        <v>1700</v>
      </c>
      <c r="F175" s="74">
        <f t="shared" si="2"/>
        <v>27200</v>
      </c>
      <c r="G175" s="82"/>
      <c r="I175" s="76"/>
      <c r="J175" s="84"/>
      <c r="K175" s="33"/>
      <c r="L175" s="33"/>
      <c r="M175" s="33"/>
      <c r="N175" s="33"/>
      <c r="O175" s="33"/>
      <c r="P175" s="33"/>
    </row>
    <row r="176" spans="1:16" ht="15" customHeight="1" x14ac:dyDescent="0.25">
      <c r="A176" s="78">
        <f t="shared" ref="A176:A178" si="4">A175+0.1</f>
        <v>3.2</v>
      </c>
      <c r="B176" s="79" t="s">
        <v>138</v>
      </c>
      <c r="C176" s="80">
        <v>5</v>
      </c>
      <c r="D176" s="81" t="s">
        <v>137</v>
      </c>
      <c r="E176" s="74">
        <v>450</v>
      </c>
      <c r="F176" s="74">
        <f t="shared" si="2"/>
        <v>2250</v>
      </c>
      <c r="G176" s="82"/>
      <c r="I176" s="83"/>
      <c r="J176" s="84"/>
      <c r="K176" s="33"/>
      <c r="L176" s="33"/>
      <c r="M176" s="33"/>
      <c r="N176" s="33"/>
      <c r="O176" s="33"/>
      <c r="P176" s="33"/>
    </row>
    <row r="177" spans="1:16" ht="15" customHeight="1" x14ac:dyDescent="0.25">
      <c r="A177" s="78">
        <f t="shared" si="4"/>
        <v>3.3000000000000003</v>
      </c>
      <c r="B177" s="79" t="s">
        <v>321</v>
      </c>
      <c r="C177" s="80"/>
      <c r="D177" s="81"/>
      <c r="E177" s="74"/>
      <c r="F177" s="74"/>
      <c r="G177" s="82"/>
      <c r="I177" s="83"/>
      <c r="J177" s="84"/>
      <c r="K177" s="33"/>
      <c r="L177" s="33"/>
      <c r="M177" s="33"/>
      <c r="N177" s="33"/>
      <c r="O177" s="33"/>
      <c r="P177" s="33"/>
    </row>
    <row r="178" spans="1:16" ht="30.75" customHeight="1" x14ac:dyDescent="0.25">
      <c r="A178" s="78">
        <f t="shared" si="4"/>
        <v>3.4000000000000004</v>
      </c>
      <c r="B178" s="90" t="s">
        <v>139</v>
      </c>
      <c r="C178" s="91">
        <v>1</v>
      </c>
      <c r="D178" s="92" t="s">
        <v>121</v>
      </c>
      <c r="E178" s="93">
        <v>2500</v>
      </c>
      <c r="F178" s="93">
        <f t="shared" si="2"/>
        <v>2500</v>
      </c>
      <c r="G178" s="94"/>
      <c r="I178" s="83"/>
      <c r="J178" s="95"/>
      <c r="K178" s="33"/>
      <c r="L178" s="33"/>
      <c r="M178" s="33"/>
      <c r="N178" s="33"/>
      <c r="O178" s="33"/>
      <c r="P178" s="33"/>
    </row>
    <row r="179" spans="1:16" ht="78.75" customHeight="1" x14ac:dyDescent="0.25">
      <c r="A179" s="78">
        <v>3.5</v>
      </c>
      <c r="B179" s="90" t="s">
        <v>322</v>
      </c>
      <c r="C179" s="91">
        <v>1</v>
      </c>
      <c r="D179" s="92" t="s">
        <v>144</v>
      </c>
      <c r="E179" s="93">
        <f>1417+1997.97</f>
        <v>3414.9700000000003</v>
      </c>
      <c r="F179" s="93">
        <f t="shared" si="2"/>
        <v>3414.97</v>
      </c>
      <c r="G179" s="94"/>
      <c r="I179" s="83"/>
      <c r="J179" s="95"/>
      <c r="K179" s="33"/>
      <c r="L179" s="33"/>
      <c r="M179" s="33"/>
      <c r="N179" s="33"/>
      <c r="O179" s="33"/>
      <c r="P179" s="33"/>
    </row>
    <row r="180" spans="1:16" ht="34.5" customHeight="1" x14ac:dyDescent="0.25">
      <c r="A180" s="71">
        <v>4</v>
      </c>
      <c r="B180" s="96" t="s">
        <v>140</v>
      </c>
      <c r="C180" s="80"/>
      <c r="D180" s="81"/>
      <c r="E180" s="74"/>
      <c r="F180" s="74"/>
      <c r="G180" s="75">
        <f>SUM(F181:F182)</f>
        <v>22050</v>
      </c>
      <c r="I180" s="83"/>
      <c r="J180" s="77"/>
      <c r="K180" s="33"/>
      <c r="L180" s="33"/>
      <c r="M180" s="33"/>
      <c r="N180" s="33"/>
      <c r="O180" s="33"/>
      <c r="P180" s="33"/>
    </row>
    <row r="181" spans="1:16" ht="34.5" customHeight="1" x14ac:dyDescent="0.25">
      <c r="A181" s="97">
        <v>4.0999999999999996</v>
      </c>
      <c r="B181" s="98" t="s">
        <v>141</v>
      </c>
      <c r="C181" s="91">
        <v>1</v>
      </c>
      <c r="D181" s="92" t="s">
        <v>137</v>
      </c>
      <c r="E181" s="93">
        <v>16000</v>
      </c>
      <c r="F181" s="74">
        <f t="shared" si="2"/>
        <v>16000</v>
      </c>
      <c r="G181" s="75"/>
      <c r="I181" s="83"/>
      <c r="J181" s="77"/>
      <c r="K181" s="33"/>
      <c r="L181" s="33"/>
      <c r="M181" s="33"/>
      <c r="N181" s="33"/>
      <c r="O181" s="33"/>
      <c r="P181" s="33"/>
    </row>
    <row r="182" spans="1:16" ht="15" customHeight="1" x14ac:dyDescent="0.25">
      <c r="A182" s="78">
        <f>+A180+0.1</f>
        <v>4.0999999999999996</v>
      </c>
      <c r="B182" s="79" t="s">
        <v>142</v>
      </c>
      <c r="C182" s="80">
        <v>1</v>
      </c>
      <c r="D182" s="81" t="s">
        <v>121</v>
      </c>
      <c r="E182" s="74">
        <v>6050</v>
      </c>
      <c r="F182" s="74">
        <f t="shared" si="2"/>
        <v>6050</v>
      </c>
      <c r="G182" s="75"/>
      <c r="I182" s="83"/>
      <c r="J182" s="77"/>
      <c r="K182" s="33"/>
      <c r="L182" s="33"/>
      <c r="M182" s="33"/>
      <c r="N182" s="33"/>
      <c r="O182" s="33"/>
      <c r="P182" s="33"/>
    </row>
    <row r="183" spans="1:16" ht="15" customHeight="1" x14ac:dyDescent="0.25">
      <c r="A183" s="99"/>
      <c r="B183" s="79"/>
      <c r="C183" s="80"/>
      <c r="D183" s="81"/>
      <c r="E183" s="74"/>
      <c r="F183" s="74"/>
      <c r="G183" s="75"/>
      <c r="I183" s="83"/>
      <c r="J183" s="77"/>
      <c r="K183" s="33"/>
      <c r="L183" s="33"/>
      <c r="M183" s="33"/>
      <c r="N183" s="33"/>
      <c r="O183" s="33"/>
      <c r="P183" s="33"/>
    </row>
    <row r="184" spans="1:16" ht="33" customHeight="1" x14ac:dyDescent="0.25">
      <c r="A184" s="100">
        <v>5</v>
      </c>
      <c r="B184" s="96" t="s">
        <v>143</v>
      </c>
      <c r="C184" s="101">
        <v>1</v>
      </c>
      <c r="D184" s="100" t="s">
        <v>121</v>
      </c>
      <c r="E184" s="102">
        <v>6030</v>
      </c>
      <c r="F184" s="102">
        <f t="shared" si="2"/>
        <v>6030</v>
      </c>
      <c r="G184" s="103">
        <f>SUM(F184)</f>
        <v>6030</v>
      </c>
      <c r="I184" s="83"/>
      <c r="J184" s="77"/>
      <c r="K184" s="33"/>
      <c r="L184" s="33"/>
      <c r="M184" s="33"/>
      <c r="N184" s="33"/>
      <c r="O184" s="33"/>
      <c r="P184" s="33"/>
    </row>
    <row r="185" spans="1:16" ht="21" customHeight="1" x14ac:dyDescent="0.25">
      <c r="A185" s="71">
        <v>6</v>
      </c>
      <c r="B185" s="104" t="s">
        <v>105</v>
      </c>
      <c r="C185" s="105">
        <v>1</v>
      </c>
      <c r="D185" s="106" t="s">
        <v>144</v>
      </c>
      <c r="E185" s="84">
        <f>+ROUND((G161+G168+G174+G180+G184)*0.0734405,2)</f>
        <v>10773.07</v>
      </c>
      <c r="F185" s="74">
        <f t="shared" si="2"/>
        <v>10773.07</v>
      </c>
      <c r="G185" s="75">
        <f>SUM(F185)</f>
        <v>10773.07</v>
      </c>
      <c r="I185" s="89">
        <f>+G161+G168+G174+G180+G184</f>
        <v>146691.12</v>
      </c>
      <c r="J185" s="84">
        <f>+ROUND(I185*0.0734405,2)</f>
        <v>10773.07</v>
      </c>
      <c r="K185" s="33"/>
      <c r="L185" s="33"/>
      <c r="M185" s="33"/>
      <c r="N185" s="33"/>
      <c r="O185" s="33"/>
      <c r="P185" s="33"/>
    </row>
    <row r="186" spans="1:16" ht="43.5" customHeight="1" x14ac:dyDescent="0.3">
      <c r="A186" s="107"/>
      <c r="B186" s="108" t="s">
        <v>145</v>
      </c>
      <c r="C186" s="109"/>
      <c r="D186" s="110"/>
      <c r="E186" s="111"/>
      <c r="F186" s="111"/>
      <c r="G186" s="112">
        <f>SUM(G161:G185)</f>
        <v>157464.19</v>
      </c>
      <c r="I186" s="83"/>
      <c r="J186" s="33"/>
      <c r="K186" s="33"/>
      <c r="L186" s="33"/>
      <c r="M186" s="33"/>
      <c r="N186" s="33"/>
      <c r="O186" s="33"/>
      <c r="P186" s="33"/>
    </row>
    <row r="187" spans="1:16" x14ac:dyDescent="0.25">
      <c r="A187" s="113"/>
      <c r="B187" s="114" t="s">
        <v>146</v>
      </c>
      <c r="C187" s="115"/>
      <c r="D187" s="116"/>
      <c r="E187" s="117"/>
      <c r="F187" s="118"/>
      <c r="G187" s="119"/>
      <c r="I187" s="33"/>
      <c r="J187" s="33"/>
      <c r="K187" s="33"/>
      <c r="L187" s="33"/>
      <c r="M187" s="33"/>
      <c r="N187" s="33"/>
      <c r="O187" s="33"/>
      <c r="P187" s="33"/>
    </row>
    <row r="188" spans="1:16" x14ac:dyDescent="0.25">
      <c r="A188" s="113"/>
      <c r="B188" s="114"/>
      <c r="C188" s="115"/>
      <c r="D188" s="116"/>
      <c r="E188" s="115"/>
      <c r="F188" s="119"/>
      <c r="G188" s="120"/>
      <c r="I188" s="33"/>
      <c r="J188" s="33"/>
      <c r="K188" s="33"/>
      <c r="L188" s="33"/>
      <c r="M188" s="33"/>
      <c r="N188" s="33"/>
      <c r="O188" s="33"/>
      <c r="P188" s="33"/>
    </row>
    <row r="189" spans="1:16" ht="23.25" customHeight="1" x14ac:dyDescent="0.25">
      <c r="A189" s="698" t="s">
        <v>147</v>
      </c>
      <c r="B189" s="698"/>
      <c r="C189" s="698"/>
      <c r="D189" s="113"/>
      <c r="E189" s="121"/>
      <c r="F189" s="121"/>
      <c r="G189" s="121"/>
    </row>
    <row r="190" spans="1:16" x14ac:dyDescent="0.25">
      <c r="A190" s="122" t="s">
        <v>64</v>
      </c>
      <c r="B190" s="699" t="s">
        <v>148</v>
      </c>
      <c r="C190" s="699"/>
      <c r="D190" s="699"/>
      <c r="E190" s="699"/>
      <c r="F190" s="699"/>
      <c r="G190" s="699"/>
      <c r="M190" s="57"/>
      <c r="N190" s="57"/>
    </row>
    <row r="191" spans="1:16" ht="15.75" thickBot="1" x14ac:dyDescent="0.3"/>
    <row r="192" spans="1:16" ht="15.75" x14ac:dyDescent="0.25">
      <c r="A192" s="123" t="s">
        <v>114</v>
      </c>
      <c r="B192" s="124" t="s">
        <v>115</v>
      </c>
      <c r="C192" s="69" t="s">
        <v>116</v>
      </c>
      <c r="D192" s="69" t="s">
        <v>117</v>
      </c>
      <c r="E192" s="69" t="s">
        <v>118</v>
      </c>
      <c r="F192" s="69" t="s">
        <v>19</v>
      </c>
      <c r="G192" s="70" t="s">
        <v>106</v>
      </c>
    </row>
    <row r="193" spans="1:7" ht="15.75" x14ac:dyDescent="0.25">
      <c r="A193" s="125">
        <v>1</v>
      </c>
      <c r="B193" s="126" t="s">
        <v>149</v>
      </c>
      <c r="C193" s="127"/>
      <c r="D193" s="127"/>
      <c r="E193" s="127"/>
      <c r="F193" s="127"/>
      <c r="G193" s="128">
        <f>SUM(F194:F202)</f>
        <v>8670.4100000000017</v>
      </c>
    </row>
    <row r="194" spans="1:7" ht="30" x14ac:dyDescent="0.25">
      <c r="A194" s="129"/>
      <c r="B194" s="130" t="s">
        <v>150</v>
      </c>
      <c r="C194" s="131">
        <v>36</v>
      </c>
      <c r="D194" s="132" t="s">
        <v>151</v>
      </c>
      <c r="E194" s="88">
        <f>+ROUND(56.34*1.13,2)</f>
        <v>63.66</v>
      </c>
      <c r="F194" s="88">
        <f>+C194*E194</f>
        <v>2291.7599999999998</v>
      </c>
      <c r="G194" s="133"/>
    </row>
    <row r="195" spans="1:7" ht="30" x14ac:dyDescent="0.25">
      <c r="A195" s="134"/>
      <c r="B195" s="130" t="s">
        <v>152</v>
      </c>
      <c r="C195" s="131">
        <v>73</v>
      </c>
      <c r="D195" s="132" t="s">
        <v>151</v>
      </c>
      <c r="E195" s="88">
        <f>+ROUND(31.41*1.13,2)</f>
        <v>35.49</v>
      </c>
      <c r="F195" s="88">
        <f t="shared" ref="F195:F202" si="5">+C195*E195</f>
        <v>2590.77</v>
      </c>
      <c r="G195" s="133"/>
    </row>
    <row r="196" spans="1:7" ht="30" x14ac:dyDescent="0.25">
      <c r="A196" s="134"/>
      <c r="B196" s="130" t="s">
        <v>153</v>
      </c>
      <c r="C196" s="131">
        <v>113</v>
      </c>
      <c r="D196" s="132" t="s">
        <v>151</v>
      </c>
      <c r="E196" s="88">
        <f>+ROUND(17.3*1.13,2)</f>
        <v>19.55</v>
      </c>
      <c r="F196" s="88">
        <f t="shared" si="5"/>
        <v>2209.15</v>
      </c>
      <c r="G196" s="135"/>
    </row>
    <row r="197" spans="1:7" x14ac:dyDescent="0.25">
      <c r="A197" s="134"/>
      <c r="B197" s="136" t="s">
        <v>154</v>
      </c>
      <c r="C197" s="131">
        <v>55</v>
      </c>
      <c r="D197" s="132" t="s">
        <v>151</v>
      </c>
      <c r="E197" s="88">
        <f>+ROUND(13.12*1.13,2)</f>
        <v>14.83</v>
      </c>
      <c r="F197" s="88">
        <f t="shared" si="5"/>
        <v>815.65</v>
      </c>
      <c r="G197" s="133"/>
    </row>
    <row r="198" spans="1:7" x14ac:dyDescent="0.25">
      <c r="A198" s="134"/>
      <c r="B198" s="136" t="s">
        <v>155</v>
      </c>
      <c r="C198" s="131">
        <v>11</v>
      </c>
      <c r="D198" s="132" t="s">
        <v>151</v>
      </c>
      <c r="E198" s="88">
        <f>+ROUND(10.55*1.13,2)</f>
        <v>11.92</v>
      </c>
      <c r="F198" s="88">
        <f t="shared" si="5"/>
        <v>131.12</v>
      </c>
      <c r="G198" s="133"/>
    </row>
    <row r="199" spans="1:7" x14ac:dyDescent="0.25">
      <c r="A199" s="134"/>
      <c r="B199" s="136" t="s">
        <v>156</v>
      </c>
      <c r="C199" s="131">
        <v>88</v>
      </c>
      <c r="D199" s="132" t="s">
        <v>151</v>
      </c>
      <c r="E199" s="88">
        <f>+ROUND(4.04*1.13,2)</f>
        <v>4.57</v>
      </c>
      <c r="F199" s="88">
        <f t="shared" si="5"/>
        <v>402.16</v>
      </c>
      <c r="G199" s="133"/>
    </row>
    <row r="200" spans="1:7" x14ac:dyDescent="0.25">
      <c r="A200" s="134"/>
      <c r="B200" s="136" t="s">
        <v>157</v>
      </c>
      <c r="C200" s="131">
        <v>4</v>
      </c>
      <c r="D200" s="132" t="s">
        <v>151</v>
      </c>
      <c r="E200" s="88">
        <f>+ROUND(2.27*1.13,2)</f>
        <v>2.57</v>
      </c>
      <c r="F200" s="88">
        <f t="shared" si="5"/>
        <v>10.28</v>
      </c>
      <c r="G200" s="133"/>
    </row>
    <row r="201" spans="1:7" x14ac:dyDescent="0.25">
      <c r="A201" s="134"/>
      <c r="B201" s="136" t="s">
        <v>158</v>
      </c>
      <c r="C201" s="131">
        <v>6</v>
      </c>
      <c r="D201" s="132" t="s">
        <v>151</v>
      </c>
      <c r="E201" s="88">
        <f>+ROUND(4.04*1.13,2)</f>
        <v>4.57</v>
      </c>
      <c r="F201" s="88">
        <f t="shared" si="5"/>
        <v>27.42</v>
      </c>
      <c r="G201" s="133"/>
    </row>
    <row r="202" spans="1:7" x14ac:dyDescent="0.25">
      <c r="A202" s="134"/>
      <c r="B202" s="137" t="s">
        <v>159</v>
      </c>
      <c r="C202" s="131">
        <v>5</v>
      </c>
      <c r="D202" s="132" t="s">
        <v>160</v>
      </c>
      <c r="E202" s="88">
        <f>+ROUND(8.5*4*1.13,2)</f>
        <v>38.42</v>
      </c>
      <c r="F202" s="88">
        <f t="shared" si="5"/>
        <v>192.10000000000002</v>
      </c>
      <c r="G202" s="133"/>
    </row>
    <row r="203" spans="1:7" x14ac:dyDescent="0.25">
      <c r="A203" s="138">
        <v>2</v>
      </c>
      <c r="B203" s="139" t="s">
        <v>161</v>
      </c>
      <c r="C203" s="140"/>
      <c r="D203" s="141"/>
      <c r="E203" s="88"/>
      <c r="F203" s="88"/>
      <c r="G203" s="135">
        <f>SUM(F204:F206)</f>
        <v>6862.09</v>
      </c>
    </row>
    <row r="204" spans="1:7" ht="30" x14ac:dyDescent="0.25">
      <c r="A204" s="142"/>
      <c r="B204" s="130" t="s">
        <v>162</v>
      </c>
      <c r="C204" s="131">
        <f>ROUND((11.84+25.72+10.35+68.15+33.71+35.89+10.69)*1.1,2)</f>
        <v>215.99</v>
      </c>
      <c r="D204" s="132" t="s">
        <v>131</v>
      </c>
      <c r="E204" s="88">
        <v>7</v>
      </c>
      <c r="F204" s="88">
        <f>+C204*E204</f>
        <v>1511.93</v>
      </c>
      <c r="G204" s="133"/>
    </row>
    <row r="205" spans="1:7" ht="30" x14ac:dyDescent="0.25">
      <c r="A205" s="142"/>
      <c r="B205" s="130" t="s">
        <v>163</v>
      </c>
      <c r="C205" s="131">
        <f>ROUND((64+51.88+34.79+46.78+53.2+31.55+34.26+53.29+30.09)*1.1,2)</f>
        <v>439.82</v>
      </c>
      <c r="D205" s="132" t="s">
        <v>131</v>
      </c>
      <c r="E205" s="88">
        <v>6</v>
      </c>
      <c r="F205" s="88">
        <f t="shared" ref="F205:F207" si="6">+C205*E205</f>
        <v>2638.92</v>
      </c>
      <c r="G205" s="133"/>
    </row>
    <row r="206" spans="1:7" ht="30" x14ac:dyDescent="0.25">
      <c r="A206" s="142"/>
      <c r="B206" s="130" t="s">
        <v>153</v>
      </c>
      <c r="C206" s="131">
        <f>ROUND((6*8+3.5*9+7*2+10+9*6+2.5*6+3.5*4+6*4+7*2+5*7+5*3.5+6.5*4+8+2.5*3+6.5*5+4*5+8*5+4*4+7*4+4*3+8*3+5*6.5+13.78*3)*1.2,2)</f>
        <v>677.81</v>
      </c>
      <c r="D206" s="132" t="s">
        <v>131</v>
      </c>
      <c r="E206" s="88">
        <v>4</v>
      </c>
      <c r="F206" s="88">
        <f t="shared" si="6"/>
        <v>2711.24</v>
      </c>
      <c r="G206" s="133"/>
    </row>
    <row r="207" spans="1:7" x14ac:dyDescent="0.25">
      <c r="A207" s="138">
        <v>3</v>
      </c>
      <c r="B207" s="143" t="s">
        <v>164</v>
      </c>
      <c r="C207" s="131">
        <v>1</v>
      </c>
      <c r="D207" s="132" t="s">
        <v>144</v>
      </c>
      <c r="E207" s="88">
        <f>+ROUND((30*20*5+300),2)</f>
        <v>3300</v>
      </c>
      <c r="F207" s="88">
        <f t="shared" si="6"/>
        <v>3300</v>
      </c>
      <c r="G207" s="135">
        <f>+F207</f>
        <v>3300</v>
      </c>
    </row>
    <row r="208" spans="1:7" x14ac:dyDescent="0.25">
      <c r="A208" s="142"/>
      <c r="B208" s="130"/>
      <c r="C208" s="73"/>
      <c r="D208" s="132"/>
      <c r="E208" s="88"/>
      <c r="F208" s="88"/>
      <c r="G208" s="133"/>
    </row>
    <row r="209" spans="1:11" ht="15" customHeight="1" x14ac:dyDescent="0.25">
      <c r="A209" s="138">
        <v>4</v>
      </c>
      <c r="B209" s="144" t="s">
        <v>165</v>
      </c>
      <c r="C209" s="140"/>
      <c r="D209" s="132"/>
      <c r="E209" s="88"/>
      <c r="F209" s="88">
        <f>ROUND(+(G193+G203+G207)*0.07,2)</f>
        <v>1318.28</v>
      </c>
      <c r="G209" s="133">
        <f>+F209</f>
        <v>1318.28</v>
      </c>
    </row>
    <row r="210" spans="1:11" ht="15" customHeight="1" thickBot="1" x14ac:dyDescent="0.3">
      <c r="A210" s="145"/>
      <c r="B210" s="146"/>
      <c r="C210" s="147"/>
      <c r="D210" s="147"/>
      <c r="E210" s="147"/>
      <c r="F210" s="148" t="s">
        <v>19</v>
      </c>
      <c r="G210" s="149">
        <f>+G193+G203+G207</f>
        <v>18832.5</v>
      </c>
    </row>
    <row r="211" spans="1:11" ht="15.75" x14ac:dyDescent="0.25">
      <c r="A211" s="150"/>
      <c r="B211" s="151"/>
      <c r="C211" s="152"/>
      <c r="D211" s="152"/>
      <c r="E211" s="153"/>
      <c r="F211" s="151"/>
      <c r="G211" s="151"/>
    </row>
    <row r="212" spans="1:11" x14ac:dyDescent="0.25">
      <c r="A212" s="154"/>
      <c r="B212" s="115"/>
      <c r="C212" s="115"/>
      <c r="D212" s="116"/>
      <c r="E212" s="117"/>
      <c r="F212" s="118"/>
      <c r="G212" s="119"/>
    </row>
    <row r="213" spans="1:11" x14ac:dyDescent="0.25">
      <c r="A213" s="154"/>
      <c r="B213" s="115"/>
      <c r="C213" s="115"/>
      <c r="D213" s="116"/>
      <c r="E213" s="117"/>
      <c r="F213" s="118"/>
      <c r="G213" s="119"/>
      <c r="K213" s="57"/>
    </row>
    <row r="214" spans="1:11" x14ac:dyDescent="0.25">
      <c r="A214" s="154"/>
      <c r="B214" s="115"/>
      <c r="C214" s="115"/>
      <c r="D214" s="116"/>
      <c r="E214" s="117"/>
      <c r="F214" s="118"/>
      <c r="G214" s="119"/>
    </row>
    <row r="215" spans="1:11" x14ac:dyDescent="0.25">
      <c r="A215" s="154"/>
      <c r="B215" s="115"/>
      <c r="C215" s="115"/>
      <c r="D215" s="116"/>
      <c r="E215" s="117"/>
      <c r="F215" s="118"/>
      <c r="G215" s="119"/>
    </row>
    <row r="216" spans="1:11" x14ac:dyDescent="0.25">
      <c r="A216" s="154"/>
      <c r="B216" s="115"/>
      <c r="C216" s="115"/>
      <c r="D216" s="116"/>
      <c r="E216" s="117"/>
      <c r="F216" s="118"/>
      <c r="G216" s="119"/>
    </row>
    <row r="217" spans="1:11" x14ac:dyDescent="0.25">
      <c r="A217" s="154"/>
      <c r="B217" s="115"/>
      <c r="C217" s="115"/>
      <c r="D217" s="116"/>
      <c r="E217" s="117"/>
      <c r="F217" s="118"/>
      <c r="G217" s="119"/>
    </row>
    <row r="218" spans="1:11" x14ac:dyDescent="0.25">
      <c r="A218" s="154"/>
      <c r="B218" s="115"/>
      <c r="C218" s="115"/>
      <c r="D218" s="116"/>
      <c r="E218" s="117"/>
      <c r="F218" s="118"/>
      <c r="G218" s="119"/>
    </row>
    <row r="219" spans="1:11" x14ac:dyDescent="0.25">
      <c r="A219" s="154"/>
      <c r="B219" s="115"/>
      <c r="C219" s="115"/>
      <c r="D219" s="116"/>
      <c r="E219" s="117"/>
      <c r="F219" s="118"/>
      <c r="G219" s="119"/>
    </row>
    <row r="220" spans="1:11" x14ac:dyDescent="0.25">
      <c r="A220" s="154"/>
      <c r="B220" s="115"/>
      <c r="C220" s="115"/>
      <c r="D220" s="116"/>
      <c r="E220" s="117"/>
      <c r="F220" s="118"/>
      <c r="G220" s="119"/>
    </row>
    <row r="221" spans="1:11" x14ac:dyDescent="0.25">
      <c r="A221" s="154"/>
      <c r="B221" s="115"/>
      <c r="C221" s="115"/>
      <c r="D221" s="116"/>
      <c r="E221" s="117"/>
      <c r="F221" s="118"/>
      <c r="G221" s="119"/>
    </row>
    <row r="222" spans="1:11" x14ac:dyDescent="0.25">
      <c r="A222" s="154"/>
      <c r="B222" s="115"/>
      <c r="C222" s="115"/>
      <c r="D222" s="116"/>
      <c r="E222" s="117"/>
      <c r="F222" s="118"/>
      <c r="G222" s="119"/>
    </row>
    <row r="223" spans="1:11" x14ac:dyDescent="0.25">
      <c r="A223" s="154"/>
      <c r="B223" s="115"/>
      <c r="C223" s="115"/>
      <c r="D223" s="116"/>
      <c r="E223" s="117"/>
      <c r="F223" s="118"/>
      <c r="G223" s="119"/>
    </row>
    <row r="224" spans="1:11" x14ac:dyDescent="0.25">
      <c r="A224" s="154"/>
      <c r="B224" s="115"/>
      <c r="C224" s="115"/>
      <c r="D224" s="116"/>
      <c r="E224" s="117"/>
      <c r="F224" s="118"/>
      <c r="G224" s="119"/>
    </row>
    <row r="225" spans="1:7" x14ac:dyDescent="0.25">
      <c r="A225" s="154"/>
      <c r="B225" s="115"/>
      <c r="C225" s="115"/>
      <c r="D225" s="116"/>
      <c r="E225" s="117"/>
      <c r="F225" s="118"/>
      <c r="G225" s="119"/>
    </row>
    <row r="226" spans="1:7" x14ac:dyDescent="0.25">
      <c r="A226" s="154"/>
      <c r="B226" s="115"/>
      <c r="C226" s="115"/>
      <c r="D226" s="116"/>
      <c r="E226" s="117"/>
      <c r="F226" s="118"/>
      <c r="G226" s="119"/>
    </row>
    <row r="227" spans="1:7" x14ac:dyDescent="0.25">
      <c r="A227" s="154"/>
      <c r="B227" s="115"/>
      <c r="C227" s="115"/>
      <c r="D227" s="116"/>
      <c r="E227" s="117"/>
      <c r="F227" s="118"/>
      <c r="G227" s="119"/>
    </row>
    <row r="228" spans="1:7" x14ac:dyDescent="0.25">
      <c r="A228" s="154"/>
      <c r="B228" s="115"/>
      <c r="C228" s="115"/>
      <c r="D228" s="116"/>
      <c r="E228" s="117"/>
      <c r="F228" s="118"/>
      <c r="G228" s="119"/>
    </row>
    <row r="229" spans="1:7" x14ac:dyDescent="0.25">
      <c r="A229" s="154"/>
      <c r="B229" s="115"/>
      <c r="C229" s="115"/>
      <c r="D229" s="116"/>
      <c r="E229" s="117"/>
      <c r="F229" s="118"/>
      <c r="G229" s="119"/>
    </row>
    <row r="230" spans="1:7" x14ac:dyDescent="0.25">
      <c r="A230" s="154"/>
      <c r="B230" s="115"/>
      <c r="C230" s="115"/>
      <c r="D230" s="116"/>
      <c r="E230" s="117"/>
      <c r="F230" s="118"/>
      <c r="G230" s="119"/>
    </row>
    <row r="231" spans="1:7" x14ac:dyDescent="0.25">
      <c r="A231" s="154"/>
      <c r="B231" s="155"/>
      <c r="C231" s="115"/>
      <c r="D231" s="116"/>
      <c r="E231" s="117"/>
      <c r="F231" s="118"/>
      <c r="G231" s="119"/>
    </row>
    <row r="232" spans="1:7" x14ac:dyDescent="0.25">
      <c r="A232" s="154"/>
      <c r="B232" s="115"/>
      <c r="C232" s="115"/>
      <c r="D232" s="116"/>
      <c r="E232" s="117"/>
      <c r="F232" s="118"/>
      <c r="G232" s="119"/>
    </row>
    <row r="233" spans="1:7" x14ac:dyDescent="0.25">
      <c r="A233" s="154"/>
      <c r="B233" s="115"/>
      <c r="C233" s="115"/>
      <c r="D233" s="116"/>
      <c r="E233" s="117"/>
      <c r="F233" s="118"/>
      <c r="G233" s="119"/>
    </row>
    <row r="234" spans="1:7" x14ac:dyDescent="0.25">
      <c r="A234" s="154"/>
      <c r="B234" s="115"/>
      <c r="C234" s="115"/>
      <c r="D234" s="116"/>
      <c r="E234" s="117"/>
      <c r="F234" s="118"/>
      <c r="G234" s="119"/>
    </row>
    <row r="235" spans="1:7" x14ac:dyDescent="0.25">
      <c r="A235" s="154"/>
      <c r="B235" s="115"/>
      <c r="C235" s="115"/>
      <c r="D235" s="116"/>
      <c r="E235" s="117"/>
      <c r="F235" s="118"/>
      <c r="G235" s="119"/>
    </row>
    <row r="236" spans="1:7" x14ac:dyDescent="0.25">
      <c r="A236" s="154"/>
      <c r="B236" s="115"/>
      <c r="C236" s="115"/>
      <c r="D236" s="116"/>
      <c r="E236" s="117"/>
      <c r="F236" s="118"/>
      <c r="G236" s="119"/>
    </row>
    <row r="237" spans="1:7" x14ac:dyDescent="0.25">
      <c r="A237" s="154"/>
      <c r="B237" s="115"/>
      <c r="C237" s="115"/>
      <c r="D237" s="116"/>
      <c r="E237" s="117"/>
      <c r="F237" s="118"/>
      <c r="G237" s="119"/>
    </row>
    <row r="238" spans="1:7" x14ac:dyDescent="0.25">
      <c r="A238" s="154"/>
      <c r="B238" s="115"/>
      <c r="C238" s="115"/>
      <c r="D238" s="116"/>
      <c r="E238" s="117"/>
      <c r="F238" s="118"/>
      <c r="G238" s="119"/>
    </row>
    <row r="239" spans="1:7" x14ac:dyDescent="0.25">
      <c r="A239" s="154"/>
      <c r="B239" s="115"/>
      <c r="C239" s="115"/>
      <c r="D239" s="116"/>
      <c r="E239" s="117"/>
      <c r="F239" s="118"/>
      <c r="G239" s="119"/>
    </row>
    <row r="240" spans="1:7" x14ac:dyDescent="0.25">
      <c r="A240" s="154"/>
      <c r="B240" s="156"/>
      <c r="C240" s="156"/>
      <c r="D240" s="157"/>
      <c r="E240" s="117"/>
      <c r="F240" s="118"/>
      <c r="G240" s="119"/>
    </row>
    <row r="241" spans="1:7" x14ac:dyDescent="0.25">
      <c r="A241" s="154"/>
      <c r="B241" s="156"/>
      <c r="C241" s="156"/>
      <c r="D241" s="157"/>
      <c r="E241" s="117"/>
      <c r="F241" s="118"/>
      <c r="G241" s="119"/>
    </row>
    <row r="242" spans="1:7" x14ac:dyDescent="0.25">
      <c r="A242" s="154"/>
      <c r="B242" s="156"/>
      <c r="C242" s="156"/>
      <c r="D242" s="157"/>
      <c r="E242" s="117"/>
      <c r="F242" s="118"/>
      <c r="G242" s="119"/>
    </row>
    <row r="243" spans="1:7" x14ac:dyDescent="0.25">
      <c r="A243" s="113"/>
      <c r="B243" s="695"/>
      <c r="C243" s="695"/>
      <c r="D243" s="695"/>
      <c r="E243" s="695"/>
      <c r="F243" s="695"/>
      <c r="G243" s="120"/>
    </row>
    <row r="244" spans="1:7" x14ac:dyDescent="0.25">
      <c r="A244" s="113"/>
      <c r="B244" s="158"/>
      <c r="C244" s="115"/>
      <c r="D244" s="116"/>
      <c r="E244" s="159"/>
      <c r="F244" s="160"/>
      <c r="G244" s="119"/>
    </row>
    <row r="245" spans="1:7" x14ac:dyDescent="0.25">
      <c r="A245" s="113"/>
      <c r="B245" s="158"/>
      <c r="C245" s="115"/>
      <c r="D245" s="116"/>
      <c r="E245" s="159"/>
      <c r="F245" s="160"/>
      <c r="G245" s="119"/>
    </row>
    <row r="246" spans="1:7" x14ac:dyDescent="0.25">
      <c r="A246" s="113"/>
      <c r="B246" s="115"/>
      <c r="C246" s="115"/>
      <c r="D246" s="116"/>
      <c r="E246" s="159"/>
      <c r="F246" s="160"/>
      <c r="G246" s="119"/>
    </row>
    <row r="247" spans="1:7" ht="15" customHeight="1" x14ac:dyDescent="0.25">
      <c r="A247" s="113"/>
      <c r="B247" s="161"/>
      <c r="C247" s="115"/>
      <c r="D247" s="116"/>
      <c r="E247" s="159"/>
      <c r="F247" s="160"/>
      <c r="G247" s="119"/>
    </row>
    <row r="248" spans="1:7" ht="15" customHeight="1" x14ac:dyDescent="0.25">
      <c r="A248" s="113"/>
      <c r="B248" s="115"/>
      <c r="C248" s="115"/>
      <c r="D248" s="116"/>
      <c r="E248" s="159"/>
      <c r="F248" s="160"/>
      <c r="G248" s="119"/>
    </row>
    <row r="249" spans="1:7" x14ac:dyDescent="0.25">
      <c r="A249" s="113"/>
      <c r="B249" s="115"/>
      <c r="C249" s="115"/>
      <c r="D249" s="116"/>
      <c r="E249" s="159"/>
      <c r="F249" s="160"/>
      <c r="G249" s="119"/>
    </row>
    <row r="250" spans="1:7" x14ac:dyDescent="0.25">
      <c r="A250" s="113"/>
      <c r="B250" s="115"/>
      <c r="C250" s="115"/>
      <c r="D250" s="116"/>
      <c r="E250" s="159"/>
      <c r="F250" s="160"/>
      <c r="G250" s="119"/>
    </row>
    <row r="251" spans="1:7" x14ac:dyDescent="0.25">
      <c r="A251" s="113"/>
      <c r="B251" s="115"/>
      <c r="C251" s="115"/>
      <c r="D251" s="116"/>
      <c r="E251" s="159"/>
      <c r="F251" s="160"/>
      <c r="G251" s="119"/>
    </row>
    <row r="252" spans="1:7" x14ac:dyDescent="0.25">
      <c r="A252" s="113"/>
      <c r="B252" s="115"/>
      <c r="C252" s="115"/>
      <c r="D252" s="116"/>
      <c r="E252" s="159"/>
      <c r="F252" s="160"/>
      <c r="G252" s="119"/>
    </row>
    <row r="253" spans="1:7" x14ac:dyDescent="0.25">
      <c r="A253" s="154"/>
      <c r="B253" s="115"/>
      <c r="C253" s="115"/>
      <c r="D253" s="116"/>
      <c r="E253" s="159"/>
      <c r="F253" s="160"/>
      <c r="G253" s="119"/>
    </row>
    <row r="254" spans="1:7" x14ac:dyDescent="0.25">
      <c r="A254" s="154"/>
      <c r="B254" s="161"/>
      <c r="C254" s="115"/>
      <c r="D254" s="116"/>
      <c r="E254" s="159"/>
      <c r="F254" s="160"/>
      <c r="G254" s="119"/>
    </row>
    <row r="255" spans="1:7" x14ac:dyDescent="0.25">
      <c r="A255" s="700"/>
      <c r="B255" s="700"/>
      <c r="C255" s="700"/>
      <c r="D255" s="700"/>
      <c r="E255" s="700"/>
      <c r="F255" s="700"/>
      <c r="G255" s="700"/>
    </row>
    <row r="256" spans="1:7" x14ac:dyDescent="0.25">
      <c r="A256" s="700"/>
      <c r="B256" s="700"/>
      <c r="C256" s="700"/>
      <c r="D256" s="700"/>
      <c r="E256" s="700"/>
      <c r="F256" s="700"/>
      <c r="G256" s="700"/>
    </row>
    <row r="257" spans="1:14" ht="15.75" x14ac:dyDescent="0.25">
      <c r="A257" s="150"/>
      <c r="B257" s="151"/>
      <c r="C257" s="152"/>
      <c r="D257" s="152"/>
      <c r="E257" s="153"/>
      <c r="F257" s="151"/>
      <c r="G257" s="151"/>
    </row>
    <row r="258" spans="1:14" x14ac:dyDescent="0.25">
      <c r="A258" s="154"/>
      <c r="B258" s="161"/>
      <c r="C258" s="156"/>
      <c r="D258" s="157"/>
      <c r="E258" s="162"/>
      <c r="F258" s="160"/>
      <c r="G258" s="119"/>
      <c r="I258">
        <v>16400</v>
      </c>
    </row>
    <row r="259" spans="1:14" x14ac:dyDescent="0.25">
      <c r="A259" s="154"/>
      <c r="B259" s="161"/>
      <c r="C259" s="156"/>
      <c r="D259" s="157"/>
      <c r="E259" s="162"/>
      <c r="F259" s="160"/>
      <c r="G259" s="119"/>
      <c r="I259">
        <v>3880.45</v>
      </c>
    </row>
    <row r="260" spans="1:14" x14ac:dyDescent="0.25">
      <c r="A260" s="113"/>
      <c r="B260" s="694"/>
      <c r="C260" s="694"/>
      <c r="D260" s="694"/>
      <c r="E260" s="694"/>
      <c r="F260" s="694"/>
      <c r="G260" s="120"/>
    </row>
    <row r="261" spans="1:14" x14ac:dyDescent="0.25">
      <c r="A261" s="150"/>
      <c r="B261" s="161"/>
      <c r="C261" s="163"/>
      <c r="D261" s="163"/>
      <c r="E261" s="164"/>
      <c r="F261" s="165"/>
      <c r="G261" s="119"/>
      <c r="I261" s="166">
        <f>29444.47-I275</f>
        <v>20711.22</v>
      </c>
      <c r="K261">
        <v>30021.15</v>
      </c>
      <c r="L261">
        <v>576.67999999999995</v>
      </c>
      <c r="M261" s="57">
        <f>K261-L261</f>
        <v>29444.47</v>
      </c>
    </row>
    <row r="262" spans="1:14" x14ac:dyDescent="0.25">
      <c r="A262" s="113"/>
      <c r="B262" s="695"/>
      <c r="C262" s="695"/>
      <c r="D262" s="695"/>
      <c r="E262" s="695"/>
      <c r="F262" s="695"/>
      <c r="G262" s="120"/>
    </row>
    <row r="263" spans="1:14" x14ac:dyDescent="0.25">
      <c r="A263" s="150"/>
      <c r="B263" s="161"/>
      <c r="C263" s="163"/>
      <c r="D263" s="163"/>
      <c r="E263" s="159"/>
      <c r="F263" s="167"/>
      <c r="G263" s="119"/>
    </row>
    <row r="264" spans="1:14" x14ac:dyDescent="0.25">
      <c r="A264" s="113"/>
      <c r="B264" s="695"/>
      <c r="C264" s="695"/>
      <c r="D264" s="695"/>
      <c r="E264" s="695"/>
      <c r="F264" s="695"/>
      <c r="G264" s="120"/>
    </row>
    <row r="265" spans="1:14" x14ac:dyDescent="0.25">
      <c r="A265" s="150"/>
      <c r="B265" s="161"/>
      <c r="C265" s="163"/>
      <c r="D265" s="163"/>
      <c r="E265" s="159"/>
      <c r="F265" s="165"/>
      <c r="G265" s="119"/>
    </row>
    <row r="266" spans="1:14" x14ac:dyDescent="0.25">
      <c r="A266" s="113"/>
      <c r="B266" s="695"/>
      <c r="C266" s="695"/>
      <c r="D266" s="695"/>
      <c r="E266" s="695"/>
      <c r="F266" s="695"/>
      <c r="G266" s="120"/>
    </row>
    <row r="267" spans="1:14" ht="82.5" customHeight="1" x14ac:dyDescent="0.25">
      <c r="A267" s="163"/>
      <c r="B267" s="161"/>
      <c r="C267" s="163"/>
      <c r="D267" s="163"/>
      <c r="E267" s="159"/>
      <c r="F267" s="167"/>
      <c r="G267" s="119"/>
    </row>
    <row r="268" spans="1:14" x14ac:dyDescent="0.25">
      <c r="A268" s="113"/>
      <c r="B268" s="695"/>
      <c r="C268" s="695"/>
      <c r="D268" s="695"/>
      <c r="E268" s="695"/>
      <c r="F268" s="695"/>
      <c r="G268" s="120"/>
    </row>
    <row r="269" spans="1:14" x14ac:dyDescent="0.25">
      <c r="A269" s="113"/>
      <c r="B269" s="161"/>
      <c r="C269" s="163"/>
      <c r="D269" s="163"/>
      <c r="E269" s="159"/>
      <c r="F269" s="168"/>
      <c r="G269" s="119"/>
    </row>
    <row r="270" spans="1:14" x14ac:dyDescent="0.25">
      <c r="A270" s="113"/>
      <c r="B270" s="161"/>
      <c r="C270" s="163"/>
      <c r="D270" s="163"/>
      <c r="E270" s="159"/>
      <c r="F270" s="168"/>
      <c r="G270" s="119"/>
    </row>
    <row r="271" spans="1:14" x14ac:dyDescent="0.25">
      <c r="A271" s="113"/>
      <c r="B271" s="695"/>
      <c r="C271" s="695"/>
      <c r="D271" s="695"/>
      <c r="E271" s="695"/>
      <c r="F271" s="695"/>
      <c r="G271" s="120"/>
    </row>
    <row r="272" spans="1:14" x14ac:dyDescent="0.25">
      <c r="A272" s="163"/>
      <c r="B272" s="161"/>
      <c r="C272" s="163"/>
      <c r="D272" s="163"/>
      <c r="E272" s="159"/>
      <c r="F272" s="168"/>
      <c r="G272" s="119"/>
      <c r="I272">
        <v>2100</v>
      </c>
      <c r="K272">
        <v>450</v>
      </c>
      <c r="L272">
        <f>H272+K272</f>
        <v>450</v>
      </c>
      <c r="M272" s="57">
        <f>G271-L272</f>
        <v>-450</v>
      </c>
      <c r="N272" s="57"/>
    </row>
    <row r="273" spans="1:9" x14ac:dyDescent="0.25">
      <c r="A273" s="113"/>
      <c r="B273" s="704"/>
      <c r="C273" s="704"/>
      <c r="D273" s="704"/>
      <c r="E273" s="704"/>
      <c r="F273" s="704"/>
      <c r="G273" s="120"/>
    </row>
    <row r="274" spans="1:9" x14ac:dyDescent="0.25">
      <c r="A274" s="113"/>
      <c r="B274" s="695"/>
      <c r="C274" s="695"/>
      <c r="D274" s="695"/>
      <c r="E274" s="695"/>
      <c r="F274" s="695"/>
      <c r="G274" s="120"/>
    </row>
    <row r="275" spans="1:9" x14ac:dyDescent="0.25">
      <c r="A275" s="113"/>
      <c r="B275" s="119"/>
      <c r="C275" s="163"/>
      <c r="D275" s="163"/>
      <c r="E275" s="169"/>
      <c r="F275" s="170"/>
      <c r="G275" s="119"/>
      <c r="H275">
        <v>8733.25</v>
      </c>
      <c r="I275" s="166">
        <f>H275-F275</f>
        <v>8733.25</v>
      </c>
    </row>
    <row r="276" spans="1:9" x14ac:dyDescent="0.25">
      <c r="A276" s="113"/>
      <c r="B276" s="705"/>
      <c r="C276" s="705"/>
      <c r="D276" s="705"/>
      <c r="E276" s="705"/>
      <c r="F276" s="705"/>
      <c r="G276" s="171"/>
      <c r="H276">
        <v>296064.21000000002</v>
      </c>
    </row>
    <row r="287" spans="1:9" ht="15" customHeight="1" x14ac:dyDescent="0.25">
      <c r="A287" s="706" t="s">
        <v>166</v>
      </c>
      <c r="B287" s="707"/>
      <c r="C287" s="707"/>
      <c r="D287" s="707"/>
      <c r="E287" s="707"/>
      <c r="F287" s="707"/>
      <c r="G287" s="708"/>
    </row>
    <row r="288" spans="1:9" ht="15.75" customHeight="1" x14ac:dyDescent="0.25">
      <c r="A288" s="709"/>
      <c r="B288" s="710"/>
      <c r="C288" s="710"/>
      <c r="D288" s="710"/>
      <c r="E288" s="710"/>
      <c r="F288" s="710"/>
      <c r="G288" s="711"/>
    </row>
    <row r="289" spans="1:11" ht="15.75" x14ac:dyDescent="0.25">
      <c r="A289" s="172" t="s">
        <v>96</v>
      </c>
      <c r="B289" s="173" t="s">
        <v>167</v>
      </c>
      <c r="C289" s="174" t="s">
        <v>116</v>
      </c>
      <c r="D289" s="174" t="s">
        <v>117</v>
      </c>
      <c r="E289" s="175" t="s">
        <v>168</v>
      </c>
      <c r="F289" s="173" t="s">
        <v>169</v>
      </c>
      <c r="G289" s="173" t="s">
        <v>19</v>
      </c>
    </row>
    <row r="290" spans="1:11" x14ac:dyDescent="0.25">
      <c r="A290" s="176">
        <v>1</v>
      </c>
      <c r="B290" s="701" t="s">
        <v>127</v>
      </c>
      <c r="C290" s="702"/>
      <c r="D290" s="702"/>
      <c r="E290" s="702"/>
      <c r="F290" s="702"/>
      <c r="G290" s="177">
        <f>G158</f>
        <v>0</v>
      </c>
    </row>
    <row r="291" spans="1:11" ht="20.25" hidden="1" customHeight="1" x14ac:dyDescent="0.25">
      <c r="A291" s="178"/>
      <c r="B291" s="179" t="s">
        <v>170</v>
      </c>
      <c r="C291" s="178"/>
      <c r="D291" s="178"/>
      <c r="E291" s="180"/>
      <c r="F291" s="181"/>
      <c r="G291" s="73"/>
    </row>
    <row r="292" spans="1:11" hidden="1" x14ac:dyDescent="0.25">
      <c r="A292" s="178">
        <v>1.1000000000000001</v>
      </c>
      <c r="B292" s="182" t="s">
        <v>171</v>
      </c>
      <c r="C292" s="178">
        <v>1</v>
      </c>
      <c r="D292" s="178" t="s">
        <v>172</v>
      </c>
      <c r="E292" s="183">
        <v>3160.71</v>
      </c>
      <c r="F292" s="184">
        <f>C292*E292</f>
        <v>3160.71</v>
      </c>
      <c r="G292" s="73"/>
    </row>
    <row r="293" spans="1:11" hidden="1" x14ac:dyDescent="0.25">
      <c r="A293" s="178">
        <v>1.2</v>
      </c>
      <c r="B293" s="182" t="s">
        <v>173</v>
      </c>
      <c r="C293" s="178">
        <v>1</v>
      </c>
      <c r="D293" s="178" t="s">
        <v>172</v>
      </c>
      <c r="E293" s="183">
        <v>2074.5</v>
      </c>
      <c r="F293" s="184">
        <f>C293*E293</f>
        <v>2074.5</v>
      </c>
      <c r="G293" s="73"/>
    </row>
    <row r="294" spans="1:11" x14ac:dyDescent="0.25">
      <c r="A294" s="178"/>
      <c r="B294" s="185"/>
      <c r="C294" s="186"/>
      <c r="D294" s="186"/>
      <c r="E294" s="187"/>
      <c r="F294" s="188"/>
      <c r="G294" s="73"/>
    </row>
    <row r="295" spans="1:11" x14ac:dyDescent="0.25">
      <c r="A295" s="176">
        <v>2</v>
      </c>
      <c r="B295" s="701" t="s">
        <v>174</v>
      </c>
      <c r="C295" s="702"/>
      <c r="D295" s="702"/>
      <c r="E295" s="702"/>
      <c r="F295" s="702"/>
      <c r="G295" s="177">
        <f>G162</f>
        <v>0</v>
      </c>
    </row>
    <row r="296" spans="1:11" hidden="1" x14ac:dyDescent="0.25">
      <c r="A296" s="178">
        <v>2.1</v>
      </c>
      <c r="B296" s="182" t="s">
        <v>175</v>
      </c>
      <c r="C296" s="178">
        <v>1</v>
      </c>
      <c r="D296" s="178" t="s">
        <v>172</v>
      </c>
      <c r="E296" s="183">
        <v>25675.83</v>
      </c>
      <c r="F296" s="184">
        <f>C296*E296</f>
        <v>25675.83</v>
      </c>
      <c r="G296" s="73"/>
    </row>
    <row r="297" spans="1:11" x14ac:dyDescent="0.25">
      <c r="A297" s="178"/>
      <c r="B297" s="185"/>
      <c r="C297" s="186"/>
      <c r="D297" s="186"/>
      <c r="E297" s="187"/>
      <c r="F297" s="188"/>
      <c r="G297" s="73"/>
    </row>
    <row r="298" spans="1:11" x14ac:dyDescent="0.25">
      <c r="A298" s="176">
        <v>3</v>
      </c>
      <c r="B298" s="701" t="s">
        <v>176</v>
      </c>
      <c r="C298" s="702"/>
      <c r="D298" s="702"/>
      <c r="E298" s="702"/>
      <c r="F298" s="702"/>
      <c r="G298" s="177">
        <f>G164</f>
        <v>0</v>
      </c>
      <c r="K298" s="57"/>
    </row>
    <row r="299" spans="1:11" x14ac:dyDescent="0.25">
      <c r="A299" s="178"/>
      <c r="B299" s="185"/>
      <c r="C299" s="186"/>
      <c r="D299" s="186"/>
      <c r="E299" s="187"/>
      <c r="F299" s="188"/>
      <c r="G299" s="73"/>
    </row>
    <row r="300" spans="1:11" hidden="1" x14ac:dyDescent="0.25">
      <c r="A300" s="178"/>
      <c r="B300" s="701" t="s">
        <v>177</v>
      </c>
      <c r="C300" s="702"/>
      <c r="D300" s="702"/>
      <c r="E300" s="702"/>
      <c r="F300" s="702"/>
      <c r="G300" s="177">
        <f>SUM(F301:F307)</f>
        <v>6220.92</v>
      </c>
    </row>
    <row r="301" spans="1:11" hidden="1" x14ac:dyDescent="0.25">
      <c r="A301" s="178">
        <v>3.1</v>
      </c>
      <c r="B301" s="182" t="s">
        <v>178</v>
      </c>
      <c r="C301" s="189">
        <v>6</v>
      </c>
      <c r="D301" s="190" t="s">
        <v>179</v>
      </c>
      <c r="E301" s="191">
        <v>105</v>
      </c>
      <c r="F301" s="192">
        <f>C301*E301</f>
        <v>630</v>
      </c>
      <c r="G301" s="192"/>
    </row>
    <row r="302" spans="1:11" hidden="1" x14ac:dyDescent="0.25">
      <c r="A302" s="178">
        <v>3.2</v>
      </c>
      <c r="B302" s="182" t="s">
        <v>180</v>
      </c>
      <c r="C302" s="189">
        <v>6</v>
      </c>
      <c r="D302" s="190" t="s">
        <v>179</v>
      </c>
      <c r="E302" s="191">
        <v>121.25</v>
      </c>
      <c r="F302" s="192">
        <f t="shared" ref="F302:F307" si="7">C302*E302</f>
        <v>727.5</v>
      </c>
      <c r="G302" s="192"/>
    </row>
    <row r="303" spans="1:11" hidden="1" x14ac:dyDescent="0.25">
      <c r="A303" s="178">
        <v>3.3</v>
      </c>
      <c r="B303" s="182" t="s">
        <v>181</v>
      </c>
      <c r="C303" s="189">
        <v>6</v>
      </c>
      <c r="D303" s="190" t="s">
        <v>179</v>
      </c>
      <c r="E303" s="191">
        <v>121.25</v>
      </c>
      <c r="F303" s="192">
        <f t="shared" si="7"/>
        <v>727.5</v>
      </c>
      <c r="G303" s="192"/>
    </row>
    <row r="304" spans="1:11" hidden="1" x14ac:dyDescent="0.25">
      <c r="A304" s="178">
        <v>3.4</v>
      </c>
      <c r="B304" s="182" t="s">
        <v>182</v>
      </c>
      <c r="C304" s="189">
        <v>6</v>
      </c>
      <c r="D304" s="190" t="s">
        <v>179</v>
      </c>
      <c r="E304" s="191">
        <v>142.5</v>
      </c>
      <c r="F304" s="192">
        <f t="shared" si="7"/>
        <v>855</v>
      </c>
      <c r="G304" s="192"/>
    </row>
    <row r="305" spans="1:7" hidden="1" x14ac:dyDescent="0.25">
      <c r="A305" s="178">
        <v>3.5</v>
      </c>
      <c r="B305" s="182" t="s">
        <v>183</v>
      </c>
      <c r="C305" s="189">
        <v>6</v>
      </c>
      <c r="D305" s="190" t="s">
        <v>179</v>
      </c>
      <c r="E305" s="191">
        <v>383.07</v>
      </c>
      <c r="F305" s="184">
        <f t="shared" si="7"/>
        <v>2298.42</v>
      </c>
      <c r="G305" s="192"/>
    </row>
    <row r="306" spans="1:7" hidden="1" x14ac:dyDescent="0.25">
      <c r="A306" s="178">
        <v>3.6</v>
      </c>
      <c r="B306" s="182" t="s">
        <v>184</v>
      </c>
      <c r="C306" s="189">
        <v>6</v>
      </c>
      <c r="D306" s="190" t="s">
        <v>185</v>
      </c>
      <c r="E306" s="191">
        <v>83.75</v>
      </c>
      <c r="F306" s="192">
        <f t="shared" si="7"/>
        <v>502.5</v>
      </c>
      <c r="G306" s="192"/>
    </row>
    <row r="307" spans="1:7" hidden="1" x14ac:dyDescent="0.25">
      <c r="A307" s="178">
        <v>3.7</v>
      </c>
      <c r="B307" s="182" t="s">
        <v>186</v>
      </c>
      <c r="C307" s="189">
        <v>10</v>
      </c>
      <c r="D307" s="190" t="s">
        <v>151</v>
      </c>
      <c r="E307" s="191">
        <v>48</v>
      </c>
      <c r="F307" s="192">
        <f t="shared" si="7"/>
        <v>480</v>
      </c>
      <c r="G307" s="192"/>
    </row>
    <row r="308" spans="1:7" hidden="1" x14ac:dyDescent="0.25">
      <c r="A308" s="178"/>
      <c r="B308" s="185"/>
      <c r="C308" s="193"/>
      <c r="D308" s="194"/>
      <c r="E308" s="195"/>
      <c r="F308" s="196"/>
      <c r="G308" s="192"/>
    </row>
    <row r="309" spans="1:7" hidden="1" x14ac:dyDescent="0.25">
      <c r="A309" s="197"/>
      <c r="B309" s="701" t="s">
        <v>187</v>
      </c>
      <c r="C309" s="702"/>
      <c r="D309" s="702"/>
      <c r="E309" s="702"/>
      <c r="F309" s="702"/>
      <c r="G309" s="177">
        <f>SUM(F310:F311)</f>
        <v>742.5</v>
      </c>
    </row>
    <row r="310" spans="1:7" hidden="1" x14ac:dyDescent="0.25">
      <c r="A310" s="178">
        <v>3.8</v>
      </c>
      <c r="B310" s="182" t="s">
        <v>178</v>
      </c>
      <c r="C310" s="189">
        <v>3</v>
      </c>
      <c r="D310" s="190" t="s">
        <v>179</v>
      </c>
      <c r="E310" s="191">
        <v>105</v>
      </c>
      <c r="F310" s="192">
        <f>C310*E310</f>
        <v>315</v>
      </c>
      <c r="G310" s="192"/>
    </row>
    <row r="311" spans="1:7" hidden="1" x14ac:dyDescent="0.25">
      <c r="A311" s="178">
        <v>3.9</v>
      </c>
      <c r="B311" s="182" t="s">
        <v>182</v>
      </c>
      <c r="C311" s="189">
        <v>3</v>
      </c>
      <c r="D311" s="190" t="s">
        <v>179</v>
      </c>
      <c r="E311" s="191">
        <v>142.5</v>
      </c>
      <c r="F311" s="192">
        <f t="shared" ref="F311" si="8">C311*E311</f>
        <v>427.5</v>
      </c>
      <c r="G311" s="192"/>
    </row>
    <row r="312" spans="1:7" hidden="1" x14ac:dyDescent="0.25">
      <c r="A312" s="178"/>
      <c r="B312" s="185"/>
      <c r="C312" s="193"/>
      <c r="D312" s="194"/>
      <c r="E312" s="195"/>
      <c r="F312" s="196"/>
      <c r="G312" s="192"/>
    </row>
    <row r="313" spans="1:7" hidden="1" x14ac:dyDescent="0.25">
      <c r="A313" s="178"/>
      <c r="B313" s="701" t="s">
        <v>188</v>
      </c>
      <c r="C313" s="702"/>
      <c r="D313" s="702"/>
      <c r="E313" s="702"/>
      <c r="F313" s="702"/>
      <c r="G313" s="177">
        <f>SUM(F314:F320)</f>
        <v>1900</v>
      </c>
    </row>
    <row r="314" spans="1:7" hidden="1" x14ac:dyDescent="0.25">
      <c r="A314" s="198">
        <v>3.1</v>
      </c>
      <c r="B314" s="182" t="s">
        <v>178</v>
      </c>
      <c r="C314" s="189">
        <v>9</v>
      </c>
      <c r="D314" s="190" t="s">
        <v>179</v>
      </c>
      <c r="E314" s="191">
        <v>20</v>
      </c>
      <c r="F314" s="192">
        <f t="shared" ref="F314:F319" si="9">C314*E314</f>
        <v>180</v>
      </c>
      <c r="G314" s="192"/>
    </row>
    <row r="315" spans="1:7" hidden="1" x14ac:dyDescent="0.25">
      <c r="A315" s="178">
        <v>3.11</v>
      </c>
      <c r="B315" s="182" t="s">
        <v>180</v>
      </c>
      <c r="C315" s="189">
        <v>6</v>
      </c>
      <c r="D315" s="190" t="s">
        <v>179</v>
      </c>
      <c r="E315" s="191">
        <v>20</v>
      </c>
      <c r="F315" s="192">
        <f t="shared" si="9"/>
        <v>120</v>
      </c>
      <c r="G315" s="192"/>
    </row>
    <row r="316" spans="1:7" hidden="1" x14ac:dyDescent="0.25">
      <c r="A316" s="198">
        <v>3.12</v>
      </c>
      <c r="B316" s="182" t="s">
        <v>181</v>
      </c>
      <c r="C316" s="189">
        <v>9</v>
      </c>
      <c r="D316" s="190" t="s">
        <v>179</v>
      </c>
      <c r="E316" s="191">
        <v>20</v>
      </c>
      <c r="F316" s="192">
        <f t="shared" si="9"/>
        <v>180</v>
      </c>
      <c r="G316" s="192"/>
    </row>
    <row r="317" spans="1:7" hidden="1" x14ac:dyDescent="0.25">
      <c r="A317" s="178">
        <v>3.13</v>
      </c>
      <c r="B317" s="182" t="s">
        <v>182</v>
      </c>
      <c r="C317" s="189">
        <v>9</v>
      </c>
      <c r="D317" s="190" t="s">
        <v>179</v>
      </c>
      <c r="E317" s="191">
        <v>20</v>
      </c>
      <c r="F317" s="192">
        <f t="shared" si="9"/>
        <v>180</v>
      </c>
      <c r="G317" s="192"/>
    </row>
    <row r="318" spans="1:7" hidden="1" x14ac:dyDescent="0.25">
      <c r="A318" s="198">
        <v>3.14</v>
      </c>
      <c r="B318" s="182" t="s">
        <v>184</v>
      </c>
      <c r="C318" s="189">
        <v>6</v>
      </c>
      <c r="D318" s="190" t="s">
        <v>179</v>
      </c>
      <c r="E318" s="191">
        <v>20</v>
      </c>
      <c r="F318" s="192">
        <f t="shared" si="9"/>
        <v>120</v>
      </c>
      <c r="G318" s="192"/>
    </row>
    <row r="319" spans="1:7" hidden="1" x14ac:dyDescent="0.25">
      <c r="A319" s="178">
        <v>3.15</v>
      </c>
      <c r="B319" s="182" t="s">
        <v>189</v>
      </c>
      <c r="C319" s="189">
        <v>2</v>
      </c>
      <c r="D319" s="190" t="s">
        <v>179</v>
      </c>
      <c r="E319" s="191">
        <v>20</v>
      </c>
      <c r="F319" s="192">
        <f t="shared" si="9"/>
        <v>40</v>
      </c>
      <c r="G319" s="192"/>
    </row>
    <row r="320" spans="1:7" hidden="1" x14ac:dyDescent="0.25">
      <c r="A320" s="198">
        <v>3.16</v>
      </c>
      <c r="B320" s="182" t="s">
        <v>190</v>
      </c>
      <c r="C320" s="189">
        <v>9</v>
      </c>
      <c r="D320" s="190" t="s">
        <v>179</v>
      </c>
      <c r="E320" s="191">
        <v>15</v>
      </c>
      <c r="F320" s="184">
        <f>C320*E320*8</f>
        <v>1080</v>
      </c>
      <c r="G320" s="192"/>
    </row>
    <row r="321" spans="1:11" hidden="1" x14ac:dyDescent="0.25">
      <c r="A321" s="198"/>
      <c r="B321" s="185"/>
      <c r="C321" s="193"/>
      <c r="D321" s="194"/>
      <c r="E321" s="195"/>
      <c r="F321" s="199"/>
      <c r="G321" s="192"/>
    </row>
    <row r="322" spans="1:11" x14ac:dyDescent="0.25">
      <c r="A322" s="200">
        <v>4</v>
      </c>
      <c r="B322" s="701" t="s">
        <v>191</v>
      </c>
      <c r="C322" s="702"/>
      <c r="D322" s="702"/>
      <c r="E322" s="702"/>
      <c r="F322" s="703"/>
      <c r="G322" s="177">
        <f>F323</f>
        <v>124000</v>
      </c>
    </row>
    <row r="323" spans="1:11" ht="74.25" hidden="1" customHeight="1" x14ac:dyDescent="0.25">
      <c r="A323" s="201">
        <v>4.0999999999999996</v>
      </c>
      <c r="B323" s="182" t="s">
        <v>192</v>
      </c>
      <c r="C323" s="201">
        <v>1</v>
      </c>
      <c r="D323" s="201" t="s">
        <v>172</v>
      </c>
      <c r="E323" s="202">
        <v>124000</v>
      </c>
      <c r="F323" s="202">
        <f>C323*E323</f>
        <v>124000</v>
      </c>
      <c r="G323" s="73"/>
    </row>
    <row r="324" spans="1:11" ht="15.75" customHeight="1" x14ac:dyDescent="0.25">
      <c r="A324" s="201"/>
      <c r="B324" s="185"/>
      <c r="C324" s="203"/>
      <c r="D324" s="203"/>
      <c r="E324" s="204"/>
      <c r="F324" s="205"/>
      <c r="G324" s="73"/>
    </row>
    <row r="325" spans="1:11" x14ac:dyDescent="0.25">
      <c r="A325" s="200">
        <v>5</v>
      </c>
      <c r="B325" s="701" t="s">
        <v>193</v>
      </c>
      <c r="C325" s="702"/>
      <c r="D325" s="702"/>
      <c r="E325" s="702">
        <v>18509.98</v>
      </c>
      <c r="F325" s="703"/>
      <c r="G325" s="206" t="e">
        <f>#REF!</f>
        <v>#REF!</v>
      </c>
    </row>
    <row r="326" spans="1:11" ht="54.75" hidden="1" customHeight="1" x14ac:dyDescent="0.25">
      <c r="A326" s="201">
        <v>5.0999999999999996</v>
      </c>
      <c r="B326" s="182" t="s">
        <v>194</v>
      </c>
      <c r="C326" s="201">
        <v>1</v>
      </c>
      <c r="D326" s="201" t="s">
        <v>172</v>
      </c>
      <c r="E326" s="202">
        <v>25000</v>
      </c>
      <c r="F326" s="202">
        <f>C326*E326</f>
        <v>25000</v>
      </c>
      <c r="G326" s="73"/>
    </row>
    <row r="327" spans="1:11" ht="15.75" customHeight="1" x14ac:dyDescent="0.25">
      <c r="A327" s="201"/>
      <c r="B327" s="185"/>
      <c r="C327" s="203"/>
      <c r="D327" s="203"/>
      <c r="E327" s="204"/>
      <c r="F327" s="205"/>
      <c r="G327" s="73"/>
    </row>
    <row r="328" spans="1:11" x14ac:dyDescent="0.25">
      <c r="A328" s="200">
        <v>6</v>
      </c>
      <c r="B328" s="701" t="s">
        <v>195</v>
      </c>
      <c r="C328" s="702"/>
      <c r="D328" s="702"/>
      <c r="E328" s="702">
        <v>5000</v>
      </c>
      <c r="F328" s="703"/>
      <c r="G328" s="177" t="e">
        <f>#REF!</f>
        <v>#REF!</v>
      </c>
    </row>
    <row r="329" spans="1:11" hidden="1" x14ac:dyDescent="0.25">
      <c r="A329" s="178">
        <v>6.1</v>
      </c>
      <c r="B329" s="182" t="s">
        <v>196</v>
      </c>
      <c r="C329" s="178">
        <v>1</v>
      </c>
      <c r="D329" s="178" t="s">
        <v>172</v>
      </c>
      <c r="E329" s="202">
        <v>5000</v>
      </c>
      <c r="F329" s="202">
        <f>C329*E329</f>
        <v>5000</v>
      </c>
      <c r="G329" s="73"/>
    </row>
    <row r="330" spans="1:11" x14ac:dyDescent="0.25">
      <c r="A330" s="178"/>
      <c r="B330" s="185"/>
      <c r="C330" s="186"/>
      <c r="D330" s="186"/>
      <c r="E330" s="204"/>
      <c r="F330" s="205"/>
      <c r="G330" s="73"/>
    </row>
    <row r="331" spans="1:11" ht="19.5" customHeight="1" x14ac:dyDescent="0.25">
      <c r="A331" s="200">
        <v>7</v>
      </c>
      <c r="B331" s="701" t="s">
        <v>197</v>
      </c>
      <c r="C331" s="702"/>
      <c r="D331" s="702"/>
      <c r="E331" s="702"/>
      <c r="F331" s="703"/>
      <c r="G331" s="177" t="e">
        <f>#REF!</f>
        <v>#REF!</v>
      </c>
    </row>
    <row r="332" spans="1:11" x14ac:dyDescent="0.25">
      <c r="A332" s="201"/>
      <c r="B332" s="185"/>
      <c r="C332" s="203"/>
      <c r="D332" s="203"/>
      <c r="E332" s="204"/>
      <c r="F332" s="205"/>
      <c r="G332" s="73"/>
    </row>
    <row r="333" spans="1:11" x14ac:dyDescent="0.25">
      <c r="A333" s="176"/>
      <c r="B333" s="207" t="s">
        <v>198</v>
      </c>
      <c r="C333" s="208"/>
      <c r="D333" s="209"/>
      <c r="E333" s="208"/>
      <c r="F333" s="210"/>
      <c r="G333" s="177" t="e">
        <f>#REF!</f>
        <v>#REF!</v>
      </c>
      <c r="K333" s="57" t="e">
        <f>G365+G358+G351+G340+G333</f>
        <v>#REF!</v>
      </c>
    </row>
    <row r="334" spans="1:11" hidden="1" x14ac:dyDescent="0.25">
      <c r="A334" s="178">
        <v>7.1</v>
      </c>
      <c r="B334" s="211" t="s">
        <v>199</v>
      </c>
      <c r="C334" s="131">
        <v>72</v>
      </c>
      <c r="D334" s="212" t="s">
        <v>129</v>
      </c>
      <c r="E334" s="191">
        <v>10</v>
      </c>
      <c r="F334" s="202">
        <f>C334*E334</f>
        <v>720</v>
      </c>
      <c r="G334" s="73"/>
    </row>
    <row r="335" spans="1:11" hidden="1" x14ac:dyDescent="0.25">
      <c r="A335" s="178">
        <v>7.2</v>
      </c>
      <c r="B335" s="211" t="s">
        <v>200</v>
      </c>
      <c r="C335" s="131">
        <v>54</v>
      </c>
      <c r="D335" s="212" t="s">
        <v>129</v>
      </c>
      <c r="E335" s="191">
        <v>20</v>
      </c>
      <c r="F335" s="202">
        <f t="shared" ref="F335:F338" si="10">C335*E335</f>
        <v>1080</v>
      </c>
      <c r="G335" s="73"/>
    </row>
    <row r="336" spans="1:11" hidden="1" x14ac:dyDescent="0.25">
      <c r="A336" s="178">
        <v>7.3</v>
      </c>
      <c r="B336" s="211" t="s">
        <v>201</v>
      </c>
      <c r="C336" s="131">
        <v>792</v>
      </c>
      <c r="D336" s="212" t="s">
        <v>202</v>
      </c>
      <c r="E336" s="191">
        <v>8</v>
      </c>
      <c r="F336" s="202">
        <f t="shared" si="10"/>
        <v>6336</v>
      </c>
      <c r="G336" s="73"/>
    </row>
    <row r="337" spans="1:7" hidden="1" x14ac:dyDescent="0.25">
      <c r="A337" s="178">
        <v>7.4</v>
      </c>
      <c r="B337" s="211" t="s">
        <v>203</v>
      </c>
      <c r="C337" s="131">
        <v>48</v>
      </c>
      <c r="D337" s="212" t="s">
        <v>129</v>
      </c>
      <c r="E337" s="191">
        <v>12</v>
      </c>
      <c r="F337" s="202">
        <f t="shared" si="10"/>
        <v>576</v>
      </c>
      <c r="G337" s="73"/>
    </row>
    <row r="338" spans="1:7" hidden="1" x14ac:dyDescent="0.25">
      <c r="A338" s="178">
        <v>7.5</v>
      </c>
      <c r="B338" s="211" t="s">
        <v>204</v>
      </c>
      <c r="C338" s="131">
        <v>92</v>
      </c>
      <c r="D338" s="212" t="s">
        <v>129</v>
      </c>
      <c r="E338" s="191">
        <v>22.5</v>
      </c>
      <c r="F338" s="202">
        <f t="shared" si="10"/>
        <v>2070</v>
      </c>
      <c r="G338" s="73"/>
    </row>
    <row r="339" spans="1:7" x14ac:dyDescent="0.25">
      <c r="A339" s="178"/>
      <c r="B339" s="211"/>
      <c r="C339" s="131"/>
      <c r="D339" s="212"/>
      <c r="E339" s="191"/>
      <c r="F339" s="202"/>
      <c r="G339" s="73"/>
    </row>
    <row r="340" spans="1:7" x14ac:dyDescent="0.25">
      <c r="A340" s="176"/>
      <c r="B340" s="213" t="s">
        <v>205</v>
      </c>
      <c r="C340" s="208"/>
      <c r="D340" s="209"/>
      <c r="E340" s="208"/>
      <c r="F340" s="210"/>
      <c r="G340" s="177">
        <f>G188</f>
        <v>0</v>
      </c>
    </row>
    <row r="341" spans="1:7" hidden="1" x14ac:dyDescent="0.25">
      <c r="A341" s="178">
        <v>7.6</v>
      </c>
      <c r="B341" s="211" t="s">
        <v>206</v>
      </c>
      <c r="C341" s="131">
        <v>30</v>
      </c>
      <c r="D341" s="212" t="s">
        <v>207</v>
      </c>
      <c r="E341" s="191">
        <v>42</v>
      </c>
      <c r="F341" s="202">
        <f>C341*E341</f>
        <v>1260</v>
      </c>
      <c r="G341" s="73"/>
    </row>
    <row r="342" spans="1:7" hidden="1" x14ac:dyDescent="0.25">
      <c r="A342" s="178">
        <v>7.7</v>
      </c>
      <c r="B342" s="211" t="s">
        <v>208</v>
      </c>
      <c r="C342" s="131">
        <v>66</v>
      </c>
      <c r="D342" s="212" t="s">
        <v>207</v>
      </c>
      <c r="E342" s="191">
        <v>51</v>
      </c>
      <c r="F342" s="202">
        <f>C342*E342</f>
        <v>3366</v>
      </c>
      <c r="G342" s="73"/>
    </row>
    <row r="343" spans="1:7" hidden="1" x14ac:dyDescent="0.25">
      <c r="A343" s="178">
        <v>7.8</v>
      </c>
      <c r="B343" s="211" t="s">
        <v>209</v>
      </c>
      <c r="C343" s="131">
        <v>36</v>
      </c>
      <c r="D343" s="212" t="s">
        <v>207</v>
      </c>
      <c r="E343" s="191">
        <v>48</v>
      </c>
      <c r="F343" s="202">
        <f>C343*E343</f>
        <v>1728</v>
      </c>
      <c r="G343" s="73"/>
    </row>
    <row r="344" spans="1:7" hidden="1" x14ac:dyDescent="0.25">
      <c r="A344" s="178">
        <v>7.9</v>
      </c>
      <c r="B344" s="211" t="s">
        <v>210</v>
      </c>
      <c r="C344" s="131">
        <v>13</v>
      </c>
      <c r="D344" s="212" t="s">
        <v>207</v>
      </c>
      <c r="E344" s="191">
        <v>52</v>
      </c>
      <c r="F344" s="202">
        <f t="shared" ref="F344:F349" si="11">C344*E344</f>
        <v>676</v>
      </c>
      <c r="G344" s="73"/>
    </row>
    <row r="345" spans="1:7" hidden="1" x14ac:dyDescent="0.25">
      <c r="A345" s="198">
        <v>7.1</v>
      </c>
      <c r="B345" s="211" t="s">
        <v>211</v>
      </c>
      <c r="C345" s="131">
        <v>6</v>
      </c>
      <c r="D345" s="212" t="s">
        <v>207</v>
      </c>
      <c r="E345" s="191">
        <v>75</v>
      </c>
      <c r="F345" s="202">
        <f t="shared" si="11"/>
        <v>450</v>
      </c>
      <c r="G345" s="73"/>
    </row>
    <row r="346" spans="1:7" hidden="1" x14ac:dyDescent="0.25">
      <c r="A346" s="178">
        <v>7.11</v>
      </c>
      <c r="B346" s="211" t="s">
        <v>212</v>
      </c>
      <c r="C346" s="131">
        <f>50+10</f>
        <v>60</v>
      </c>
      <c r="D346" s="212" t="s">
        <v>213</v>
      </c>
      <c r="E346" s="191">
        <v>0.75</v>
      </c>
      <c r="F346" s="202">
        <f t="shared" si="11"/>
        <v>45</v>
      </c>
      <c r="G346" s="73"/>
    </row>
    <row r="347" spans="1:7" hidden="1" x14ac:dyDescent="0.25">
      <c r="A347" s="178">
        <v>7.12</v>
      </c>
      <c r="B347" s="211" t="s">
        <v>214</v>
      </c>
      <c r="C347" s="131">
        <f>50+10</f>
        <v>60</v>
      </c>
      <c r="D347" s="212" t="s">
        <v>213</v>
      </c>
      <c r="E347" s="191">
        <v>0.8</v>
      </c>
      <c r="F347" s="202">
        <f t="shared" si="11"/>
        <v>48</v>
      </c>
      <c r="G347" s="73"/>
    </row>
    <row r="348" spans="1:7" hidden="1" x14ac:dyDescent="0.25">
      <c r="A348" s="178">
        <v>7.13</v>
      </c>
      <c r="B348" s="211" t="s">
        <v>215</v>
      </c>
      <c r="C348" s="131">
        <v>10</v>
      </c>
      <c r="D348" s="212" t="s">
        <v>213</v>
      </c>
      <c r="E348" s="191">
        <v>0.8</v>
      </c>
      <c r="F348" s="202">
        <f t="shared" si="11"/>
        <v>8</v>
      </c>
      <c r="G348" s="73"/>
    </row>
    <row r="349" spans="1:7" hidden="1" x14ac:dyDescent="0.25">
      <c r="A349" s="178">
        <v>7.14</v>
      </c>
      <c r="B349" s="211" t="s">
        <v>216</v>
      </c>
      <c r="C349" s="131">
        <v>18</v>
      </c>
      <c r="D349" s="212" t="s">
        <v>217</v>
      </c>
      <c r="E349" s="191">
        <v>12</v>
      </c>
      <c r="F349" s="202">
        <f t="shared" si="11"/>
        <v>216</v>
      </c>
      <c r="G349" s="73"/>
    </row>
    <row r="350" spans="1:7" x14ac:dyDescent="0.25">
      <c r="A350" s="178"/>
      <c r="B350" s="211"/>
      <c r="C350" s="131"/>
      <c r="D350" s="212"/>
      <c r="E350" s="191"/>
      <c r="F350" s="202"/>
      <c r="G350" s="73"/>
    </row>
    <row r="351" spans="1:7" x14ac:dyDescent="0.25">
      <c r="A351" s="210"/>
      <c r="B351" s="213" t="s">
        <v>218</v>
      </c>
      <c r="C351" s="208"/>
      <c r="D351" s="209"/>
      <c r="E351" s="208"/>
      <c r="F351" s="214"/>
      <c r="G351" s="177" t="e">
        <f>#REF!</f>
        <v>#REF!</v>
      </c>
    </row>
    <row r="352" spans="1:7" hidden="1" x14ac:dyDescent="0.25">
      <c r="A352" s="178">
        <v>7.15</v>
      </c>
      <c r="B352" s="211" t="s">
        <v>219</v>
      </c>
      <c r="C352" s="215">
        <v>4160</v>
      </c>
      <c r="D352" s="212" t="s">
        <v>137</v>
      </c>
      <c r="E352" s="191">
        <v>0.55000000000000004</v>
      </c>
      <c r="F352" s="202">
        <f>C352*E352</f>
        <v>2288</v>
      </c>
      <c r="G352" s="73"/>
    </row>
    <row r="353" spans="1:7" hidden="1" x14ac:dyDescent="0.25">
      <c r="A353" s="178">
        <v>7.16</v>
      </c>
      <c r="B353" s="211" t="s">
        <v>220</v>
      </c>
      <c r="C353" s="215">
        <v>1767</v>
      </c>
      <c r="D353" s="212" t="s">
        <v>137</v>
      </c>
      <c r="E353" s="191">
        <v>0.35</v>
      </c>
      <c r="F353" s="202">
        <f t="shared" ref="F353:F356" si="12">C353*E353</f>
        <v>618.44999999999993</v>
      </c>
      <c r="G353" s="73"/>
    </row>
    <row r="354" spans="1:7" hidden="1" x14ac:dyDescent="0.25">
      <c r="A354" s="178">
        <v>7.17</v>
      </c>
      <c r="B354" s="211" t="s">
        <v>221</v>
      </c>
      <c r="C354" s="131">
        <v>626</v>
      </c>
      <c r="D354" s="212" t="s">
        <v>137</v>
      </c>
      <c r="E354" s="191">
        <v>0.6</v>
      </c>
      <c r="F354" s="202">
        <f t="shared" si="12"/>
        <v>375.59999999999997</v>
      </c>
      <c r="G354" s="73"/>
    </row>
    <row r="355" spans="1:7" hidden="1" x14ac:dyDescent="0.25">
      <c r="A355" s="178">
        <v>7.18</v>
      </c>
      <c r="B355" s="211" t="s">
        <v>222</v>
      </c>
      <c r="C355" s="131">
        <v>650</v>
      </c>
      <c r="D355" s="212" t="s">
        <v>137</v>
      </c>
      <c r="E355" s="191">
        <v>0.6</v>
      </c>
      <c r="F355" s="202">
        <f t="shared" si="12"/>
        <v>390</v>
      </c>
      <c r="G355" s="73"/>
    </row>
    <row r="356" spans="1:7" hidden="1" x14ac:dyDescent="0.25">
      <c r="A356" s="178">
        <v>7.19</v>
      </c>
      <c r="B356" s="211" t="s">
        <v>223</v>
      </c>
      <c r="C356" s="131">
        <v>623</v>
      </c>
      <c r="D356" s="212" t="s">
        <v>137</v>
      </c>
      <c r="E356" s="191">
        <v>0.5</v>
      </c>
      <c r="F356" s="202">
        <f t="shared" si="12"/>
        <v>311.5</v>
      </c>
      <c r="G356" s="73"/>
    </row>
    <row r="357" spans="1:7" x14ac:dyDescent="0.25">
      <c r="A357" s="178"/>
      <c r="B357" s="211"/>
      <c r="C357" s="131"/>
      <c r="D357" s="212"/>
      <c r="E357" s="191"/>
      <c r="F357" s="202"/>
      <c r="G357" s="73"/>
    </row>
    <row r="358" spans="1:7" x14ac:dyDescent="0.25">
      <c r="A358" s="208"/>
      <c r="B358" s="213" t="s">
        <v>224</v>
      </c>
      <c r="C358" s="208"/>
      <c r="D358" s="209"/>
      <c r="E358" s="208"/>
      <c r="F358" s="214"/>
      <c r="G358" s="177" t="e">
        <f>#REF!</f>
        <v>#REF!</v>
      </c>
    </row>
    <row r="359" spans="1:7" ht="30" hidden="1" x14ac:dyDescent="0.25">
      <c r="A359" s="198">
        <v>7.2</v>
      </c>
      <c r="B359" s="216" t="s">
        <v>225</v>
      </c>
      <c r="C359" s="131">
        <v>56</v>
      </c>
      <c r="D359" s="212" t="s">
        <v>129</v>
      </c>
      <c r="E359" s="191">
        <v>159.5</v>
      </c>
      <c r="F359" s="202">
        <f>C359*E359</f>
        <v>8932</v>
      </c>
      <c r="G359" s="73"/>
    </row>
    <row r="360" spans="1:7" hidden="1" x14ac:dyDescent="0.25">
      <c r="A360" s="178">
        <v>7.21</v>
      </c>
      <c r="B360" s="216" t="s">
        <v>226</v>
      </c>
      <c r="C360" s="131">
        <v>82</v>
      </c>
      <c r="D360" s="212" t="s">
        <v>227</v>
      </c>
      <c r="E360" s="191">
        <v>22</v>
      </c>
      <c r="F360" s="202">
        <f t="shared" ref="F360:F363" si="13">C360*E360</f>
        <v>1804</v>
      </c>
      <c r="G360" s="73"/>
    </row>
    <row r="361" spans="1:7" hidden="1" x14ac:dyDescent="0.25">
      <c r="A361" s="198">
        <v>7.22</v>
      </c>
      <c r="B361" s="216" t="s">
        <v>228</v>
      </c>
      <c r="C361" s="131">
        <v>12</v>
      </c>
      <c r="D361" s="212" t="s">
        <v>229</v>
      </c>
      <c r="E361" s="191">
        <v>12</v>
      </c>
      <c r="F361" s="202">
        <f t="shared" si="13"/>
        <v>144</v>
      </c>
      <c r="G361" s="73"/>
    </row>
    <row r="362" spans="1:7" hidden="1" x14ac:dyDescent="0.25">
      <c r="A362" s="178">
        <v>7.23</v>
      </c>
      <c r="B362" s="211" t="s">
        <v>230</v>
      </c>
      <c r="C362" s="131">
        <v>200</v>
      </c>
      <c r="D362" s="212" t="s">
        <v>129</v>
      </c>
      <c r="E362" s="191">
        <v>10</v>
      </c>
      <c r="F362" s="202">
        <f t="shared" si="13"/>
        <v>2000</v>
      </c>
      <c r="G362" s="73"/>
    </row>
    <row r="363" spans="1:7" hidden="1" x14ac:dyDescent="0.25">
      <c r="A363" s="198">
        <v>7.24</v>
      </c>
      <c r="B363" s="211" t="s">
        <v>231</v>
      </c>
      <c r="C363" s="131">
        <v>235</v>
      </c>
      <c r="D363" s="212" t="s">
        <v>202</v>
      </c>
      <c r="E363" s="191">
        <v>8</v>
      </c>
      <c r="F363" s="202">
        <f t="shared" si="13"/>
        <v>1880</v>
      </c>
      <c r="G363" s="73"/>
    </row>
    <row r="364" spans="1:7" x14ac:dyDescent="0.25">
      <c r="A364" s="198"/>
      <c r="B364" s="211"/>
      <c r="C364" s="131"/>
      <c r="D364" s="212"/>
      <c r="E364" s="191"/>
      <c r="F364" s="202"/>
      <c r="G364" s="73"/>
    </row>
    <row r="365" spans="1:7" x14ac:dyDescent="0.25">
      <c r="A365" s="208"/>
      <c r="B365" s="213" t="s">
        <v>232</v>
      </c>
      <c r="C365" s="208"/>
      <c r="D365" s="209"/>
      <c r="E365" s="208"/>
      <c r="F365" s="210"/>
      <c r="G365" s="177" t="e">
        <f>#REF!</f>
        <v>#REF!</v>
      </c>
    </row>
    <row r="366" spans="1:7" hidden="1" x14ac:dyDescent="0.25">
      <c r="A366" s="198">
        <v>7.25</v>
      </c>
      <c r="B366" s="211" t="s">
        <v>233</v>
      </c>
      <c r="C366" s="131">
        <v>62</v>
      </c>
      <c r="D366" s="212" t="s">
        <v>137</v>
      </c>
      <c r="E366" s="191">
        <v>6</v>
      </c>
      <c r="F366" s="202">
        <f t="shared" ref="F366:F419" si="14">C366*E366</f>
        <v>372</v>
      </c>
      <c r="G366" s="73"/>
    </row>
    <row r="367" spans="1:7" hidden="1" x14ac:dyDescent="0.25">
      <c r="A367" s="198">
        <v>7.26</v>
      </c>
      <c r="B367" s="211" t="s">
        <v>234</v>
      </c>
      <c r="C367" s="131">
        <v>14</v>
      </c>
      <c r="D367" s="212" t="s">
        <v>137</v>
      </c>
      <c r="E367" s="191">
        <v>7.5</v>
      </c>
      <c r="F367" s="202">
        <f t="shared" si="14"/>
        <v>105</v>
      </c>
      <c r="G367" s="73"/>
    </row>
    <row r="368" spans="1:7" hidden="1" x14ac:dyDescent="0.25">
      <c r="A368" s="198">
        <v>7.27</v>
      </c>
      <c r="B368" s="211" t="s">
        <v>235</v>
      </c>
      <c r="C368" s="131">
        <v>10</v>
      </c>
      <c r="D368" s="212" t="s">
        <v>137</v>
      </c>
      <c r="E368" s="191">
        <v>4.5</v>
      </c>
      <c r="F368" s="202">
        <f t="shared" si="14"/>
        <v>45</v>
      </c>
      <c r="G368" s="73"/>
    </row>
    <row r="369" spans="1:7" hidden="1" x14ac:dyDescent="0.25">
      <c r="A369" s="198">
        <v>7.28</v>
      </c>
      <c r="B369" s="211" t="s">
        <v>236</v>
      </c>
      <c r="C369" s="131">
        <v>25</v>
      </c>
      <c r="D369" s="212" t="s">
        <v>137</v>
      </c>
      <c r="E369" s="191">
        <v>3.4</v>
      </c>
      <c r="F369" s="202">
        <f t="shared" si="14"/>
        <v>85</v>
      </c>
      <c r="G369" s="73"/>
    </row>
    <row r="370" spans="1:7" hidden="1" x14ac:dyDescent="0.25">
      <c r="A370" s="198">
        <v>7.29</v>
      </c>
      <c r="B370" s="211" t="s">
        <v>237</v>
      </c>
      <c r="C370" s="131">
        <v>68</v>
      </c>
      <c r="D370" s="212" t="s">
        <v>137</v>
      </c>
      <c r="E370" s="191">
        <v>5</v>
      </c>
      <c r="F370" s="202">
        <f t="shared" si="14"/>
        <v>340</v>
      </c>
      <c r="G370" s="73"/>
    </row>
    <row r="371" spans="1:7" hidden="1" x14ac:dyDescent="0.25">
      <c r="A371" s="198">
        <v>7.3</v>
      </c>
      <c r="B371" s="211" t="s">
        <v>238</v>
      </c>
      <c r="C371" s="131">
        <v>20</v>
      </c>
      <c r="D371" s="212" t="s">
        <v>137</v>
      </c>
      <c r="E371" s="191">
        <v>3</v>
      </c>
      <c r="F371" s="202">
        <f t="shared" si="14"/>
        <v>60</v>
      </c>
      <c r="G371" s="73"/>
    </row>
    <row r="372" spans="1:7" hidden="1" x14ac:dyDescent="0.25">
      <c r="A372" s="198">
        <v>7.31</v>
      </c>
      <c r="B372" s="211" t="s">
        <v>239</v>
      </c>
      <c r="C372" s="131">
        <f>32+16</f>
        <v>48</v>
      </c>
      <c r="D372" s="212" t="s">
        <v>137</v>
      </c>
      <c r="E372" s="191">
        <v>7</v>
      </c>
      <c r="F372" s="202">
        <f t="shared" si="14"/>
        <v>336</v>
      </c>
      <c r="G372" s="73"/>
    </row>
    <row r="373" spans="1:7" hidden="1" x14ac:dyDescent="0.25">
      <c r="A373" s="198">
        <v>7.32</v>
      </c>
      <c r="B373" s="211" t="s">
        <v>240</v>
      </c>
      <c r="C373" s="217">
        <v>18</v>
      </c>
      <c r="D373" s="218" t="s">
        <v>137</v>
      </c>
      <c r="E373" s="191">
        <v>8</v>
      </c>
      <c r="F373" s="202">
        <f t="shared" si="14"/>
        <v>144</v>
      </c>
      <c r="G373" s="73"/>
    </row>
    <row r="374" spans="1:7" hidden="1" x14ac:dyDescent="0.25">
      <c r="A374" s="198">
        <v>7.33</v>
      </c>
      <c r="B374" s="211" t="s">
        <v>241</v>
      </c>
      <c r="C374" s="217">
        <v>10</v>
      </c>
      <c r="D374" s="218" t="s">
        <v>242</v>
      </c>
      <c r="E374" s="191">
        <v>1.5</v>
      </c>
      <c r="F374" s="202">
        <f t="shared" si="14"/>
        <v>15</v>
      </c>
      <c r="G374" s="73"/>
    </row>
    <row r="375" spans="1:7" hidden="1" x14ac:dyDescent="0.25">
      <c r="A375" s="198">
        <v>7.34</v>
      </c>
      <c r="B375" s="211" t="s">
        <v>243</v>
      </c>
      <c r="C375" s="217">
        <v>48</v>
      </c>
      <c r="D375" s="218" t="s">
        <v>227</v>
      </c>
      <c r="E375" s="191">
        <v>8</v>
      </c>
      <c r="F375" s="202">
        <f t="shared" si="14"/>
        <v>384</v>
      </c>
      <c r="G375" s="73"/>
    </row>
    <row r="376" spans="1:7" hidden="1" x14ac:dyDescent="0.25">
      <c r="A376" s="198">
        <v>7.35</v>
      </c>
      <c r="B376" s="211" t="s">
        <v>244</v>
      </c>
      <c r="C376" s="217">
        <v>45</v>
      </c>
      <c r="D376" s="218" t="s">
        <v>245</v>
      </c>
      <c r="E376" s="191">
        <v>10</v>
      </c>
      <c r="F376" s="202">
        <f t="shared" si="14"/>
        <v>450</v>
      </c>
      <c r="G376" s="73"/>
    </row>
    <row r="377" spans="1:7" hidden="1" x14ac:dyDescent="0.25">
      <c r="A377" s="198">
        <v>7.36</v>
      </c>
      <c r="B377" s="219" t="s">
        <v>246</v>
      </c>
      <c r="C377" s="217">
        <v>20</v>
      </c>
      <c r="D377" s="218" t="s">
        <v>137</v>
      </c>
      <c r="E377" s="191">
        <v>7</v>
      </c>
      <c r="F377" s="202">
        <f t="shared" si="14"/>
        <v>140</v>
      </c>
      <c r="G377" s="73"/>
    </row>
    <row r="378" spans="1:7" hidden="1" x14ac:dyDescent="0.25">
      <c r="A378" s="198">
        <v>7.37</v>
      </c>
      <c r="B378" s="211" t="s">
        <v>247</v>
      </c>
      <c r="C378" s="131">
        <v>5</v>
      </c>
      <c r="D378" s="212" t="s">
        <v>248</v>
      </c>
      <c r="E378" s="191">
        <v>28</v>
      </c>
      <c r="F378" s="202">
        <f t="shared" si="14"/>
        <v>140</v>
      </c>
      <c r="G378" s="73"/>
    </row>
    <row r="379" spans="1:7" hidden="1" x14ac:dyDescent="0.25">
      <c r="A379" s="198">
        <v>7.38</v>
      </c>
      <c r="B379" s="211" t="s">
        <v>249</v>
      </c>
      <c r="C379" s="131">
        <v>2</v>
      </c>
      <c r="D379" s="212" t="s">
        <v>248</v>
      </c>
      <c r="E379" s="191">
        <v>4.5</v>
      </c>
      <c r="F379" s="202">
        <f t="shared" si="14"/>
        <v>9</v>
      </c>
      <c r="G379" s="73"/>
    </row>
    <row r="380" spans="1:7" hidden="1" x14ac:dyDescent="0.25">
      <c r="A380" s="198">
        <v>7.39</v>
      </c>
      <c r="B380" s="211" t="s">
        <v>250</v>
      </c>
      <c r="C380" s="131">
        <v>1</v>
      </c>
      <c r="D380" s="212" t="s">
        <v>248</v>
      </c>
      <c r="E380" s="191">
        <v>5.5</v>
      </c>
      <c r="F380" s="202">
        <f t="shared" si="14"/>
        <v>5.5</v>
      </c>
      <c r="G380" s="73"/>
    </row>
    <row r="381" spans="1:7" hidden="1" x14ac:dyDescent="0.25">
      <c r="A381" s="198">
        <v>7.4</v>
      </c>
      <c r="B381" s="211" t="s">
        <v>251</v>
      </c>
      <c r="C381" s="131">
        <v>2</v>
      </c>
      <c r="D381" s="212" t="s">
        <v>248</v>
      </c>
      <c r="E381" s="191">
        <v>22</v>
      </c>
      <c r="F381" s="202">
        <f t="shared" si="14"/>
        <v>44</v>
      </c>
      <c r="G381" s="73"/>
    </row>
    <row r="382" spans="1:7" hidden="1" x14ac:dyDescent="0.25">
      <c r="A382" s="198">
        <v>7.41</v>
      </c>
      <c r="B382" s="211" t="s">
        <v>252</v>
      </c>
      <c r="C382" s="131">
        <v>1</v>
      </c>
      <c r="D382" s="212" t="s">
        <v>248</v>
      </c>
      <c r="E382" s="191">
        <v>12.5</v>
      </c>
      <c r="F382" s="202">
        <f t="shared" si="14"/>
        <v>12.5</v>
      </c>
      <c r="G382" s="73"/>
    </row>
    <row r="383" spans="1:7" hidden="1" x14ac:dyDescent="0.25">
      <c r="A383" s="198">
        <v>7.42</v>
      </c>
      <c r="B383" s="211" t="s">
        <v>253</v>
      </c>
      <c r="C383" s="131">
        <v>1</v>
      </c>
      <c r="D383" s="212" t="s">
        <v>248</v>
      </c>
      <c r="E383" s="191">
        <v>9.5</v>
      </c>
      <c r="F383" s="202">
        <f t="shared" si="14"/>
        <v>9.5</v>
      </c>
      <c r="G383" s="73"/>
    </row>
    <row r="384" spans="1:7" hidden="1" x14ac:dyDescent="0.25">
      <c r="A384" s="198">
        <v>7.43</v>
      </c>
      <c r="B384" s="211" t="s">
        <v>254</v>
      </c>
      <c r="C384" s="131">
        <v>1</v>
      </c>
      <c r="D384" s="212" t="s">
        <v>137</v>
      </c>
      <c r="E384" s="191">
        <v>7.5</v>
      </c>
      <c r="F384" s="202">
        <f t="shared" si="14"/>
        <v>7.5</v>
      </c>
      <c r="G384" s="73"/>
    </row>
    <row r="385" spans="1:7" hidden="1" x14ac:dyDescent="0.25">
      <c r="A385" s="198">
        <v>7.44</v>
      </c>
      <c r="B385" s="211" t="s">
        <v>255</v>
      </c>
      <c r="C385" s="131">
        <v>2</v>
      </c>
      <c r="D385" s="212" t="s">
        <v>248</v>
      </c>
      <c r="E385" s="191">
        <v>2.5</v>
      </c>
      <c r="F385" s="202">
        <f t="shared" si="14"/>
        <v>5</v>
      </c>
      <c r="G385" s="73"/>
    </row>
    <row r="386" spans="1:7" hidden="1" x14ac:dyDescent="0.25">
      <c r="A386" s="198">
        <v>7.45</v>
      </c>
      <c r="B386" s="211" t="s">
        <v>256</v>
      </c>
      <c r="C386" s="131">
        <v>1</v>
      </c>
      <c r="D386" s="212" t="s">
        <v>257</v>
      </c>
      <c r="E386" s="191">
        <v>25</v>
      </c>
      <c r="F386" s="202">
        <f t="shared" si="14"/>
        <v>25</v>
      </c>
      <c r="G386" s="73"/>
    </row>
    <row r="387" spans="1:7" hidden="1" x14ac:dyDescent="0.25">
      <c r="A387" s="198">
        <v>7.46</v>
      </c>
      <c r="B387" s="211" t="s">
        <v>258</v>
      </c>
      <c r="C387" s="131">
        <v>4</v>
      </c>
      <c r="D387" s="212" t="s">
        <v>137</v>
      </c>
      <c r="E387" s="191">
        <v>55</v>
      </c>
      <c r="F387" s="202">
        <f t="shared" si="14"/>
        <v>220</v>
      </c>
      <c r="G387" s="73"/>
    </row>
    <row r="388" spans="1:7" hidden="1" x14ac:dyDescent="0.25">
      <c r="A388" s="198">
        <v>7.47</v>
      </c>
      <c r="B388" s="211" t="s">
        <v>259</v>
      </c>
      <c r="C388" s="131">
        <v>20</v>
      </c>
      <c r="D388" s="212" t="s">
        <v>137</v>
      </c>
      <c r="E388" s="191">
        <v>4</v>
      </c>
      <c r="F388" s="202">
        <f t="shared" si="14"/>
        <v>80</v>
      </c>
      <c r="G388" s="73"/>
    </row>
    <row r="389" spans="1:7" hidden="1" x14ac:dyDescent="0.25">
      <c r="A389" s="220">
        <v>7.48</v>
      </c>
      <c r="B389" s="221" t="s">
        <v>260</v>
      </c>
      <c r="C389" s="222">
        <v>12</v>
      </c>
      <c r="D389" s="223" t="s">
        <v>137</v>
      </c>
      <c r="E389" s="224">
        <v>7.5</v>
      </c>
      <c r="F389" s="225">
        <f t="shared" si="14"/>
        <v>90</v>
      </c>
      <c r="G389" s="226"/>
    </row>
    <row r="390" spans="1:7" hidden="1" x14ac:dyDescent="0.25">
      <c r="A390" s="198">
        <v>7.49</v>
      </c>
      <c r="B390" s="211" t="s">
        <v>261</v>
      </c>
      <c r="C390" s="131">
        <v>20</v>
      </c>
      <c r="D390" s="212" t="s">
        <v>137</v>
      </c>
      <c r="E390" s="191">
        <v>1.5</v>
      </c>
      <c r="F390" s="202">
        <f t="shared" si="14"/>
        <v>30</v>
      </c>
      <c r="G390" s="73"/>
    </row>
    <row r="391" spans="1:7" hidden="1" x14ac:dyDescent="0.25">
      <c r="A391" s="198">
        <v>7.5</v>
      </c>
      <c r="B391" s="211" t="s">
        <v>262</v>
      </c>
      <c r="C391" s="131">
        <v>3</v>
      </c>
      <c r="D391" s="212" t="s">
        <v>137</v>
      </c>
      <c r="E391" s="191">
        <v>25</v>
      </c>
      <c r="F391" s="202">
        <f t="shared" si="14"/>
        <v>75</v>
      </c>
      <c r="G391" s="73"/>
    </row>
    <row r="392" spans="1:7" hidden="1" x14ac:dyDescent="0.25">
      <c r="A392" s="198">
        <v>7.51</v>
      </c>
      <c r="B392" s="211" t="s">
        <v>263</v>
      </c>
      <c r="C392" s="131">
        <v>3</v>
      </c>
      <c r="D392" s="212" t="s">
        <v>137</v>
      </c>
      <c r="E392" s="191">
        <v>20</v>
      </c>
      <c r="F392" s="202">
        <f t="shared" si="14"/>
        <v>60</v>
      </c>
      <c r="G392" s="73"/>
    </row>
    <row r="393" spans="1:7" hidden="1" x14ac:dyDescent="0.25">
      <c r="A393" s="198">
        <v>7.52</v>
      </c>
      <c r="B393" s="211" t="s">
        <v>264</v>
      </c>
      <c r="C393" s="131">
        <v>2</v>
      </c>
      <c r="D393" s="212" t="s">
        <v>137</v>
      </c>
      <c r="E393" s="191">
        <v>10</v>
      </c>
      <c r="F393" s="202">
        <f t="shared" si="14"/>
        <v>20</v>
      </c>
      <c r="G393" s="73"/>
    </row>
    <row r="394" spans="1:7" hidden="1" x14ac:dyDescent="0.25">
      <c r="A394" s="198">
        <v>7.53</v>
      </c>
      <c r="B394" s="211" t="s">
        <v>265</v>
      </c>
      <c r="C394" s="131">
        <v>10</v>
      </c>
      <c r="D394" s="212" t="s">
        <v>131</v>
      </c>
      <c r="E394" s="191">
        <v>2.25</v>
      </c>
      <c r="F394" s="202">
        <f t="shared" si="14"/>
        <v>22.5</v>
      </c>
      <c r="G394" s="73"/>
    </row>
    <row r="395" spans="1:7" hidden="1" x14ac:dyDescent="0.25">
      <c r="A395" s="198">
        <v>7.54</v>
      </c>
      <c r="B395" s="211" t="s">
        <v>266</v>
      </c>
      <c r="C395" s="131">
        <v>1</v>
      </c>
      <c r="D395" s="212" t="s">
        <v>137</v>
      </c>
      <c r="E395" s="191">
        <v>0.75</v>
      </c>
      <c r="F395" s="202">
        <f t="shared" si="14"/>
        <v>0.75</v>
      </c>
      <c r="G395" s="73"/>
    </row>
    <row r="396" spans="1:7" hidden="1" x14ac:dyDescent="0.25">
      <c r="A396" s="198">
        <v>7.55</v>
      </c>
      <c r="B396" s="211" t="s">
        <v>267</v>
      </c>
      <c r="C396" s="131">
        <v>15</v>
      </c>
      <c r="D396" s="212" t="s">
        <v>131</v>
      </c>
      <c r="E396" s="191">
        <v>0.5</v>
      </c>
      <c r="F396" s="202">
        <f t="shared" si="14"/>
        <v>7.5</v>
      </c>
      <c r="G396" s="73"/>
    </row>
    <row r="397" spans="1:7" hidden="1" x14ac:dyDescent="0.25">
      <c r="A397" s="198">
        <v>7.56</v>
      </c>
      <c r="B397" s="211" t="s">
        <v>268</v>
      </c>
      <c r="C397" s="131">
        <v>1</v>
      </c>
      <c r="D397" s="212">
        <v>1</v>
      </c>
      <c r="E397" s="191">
        <v>0.6</v>
      </c>
      <c r="F397" s="202">
        <f t="shared" si="14"/>
        <v>0.6</v>
      </c>
      <c r="G397" s="73"/>
    </row>
    <row r="398" spans="1:7" hidden="1" x14ac:dyDescent="0.25">
      <c r="A398" s="198">
        <v>7.57</v>
      </c>
      <c r="B398" s="211" t="s">
        <v>269</v>
      </c>
      <c r="C398" s="131">
        <v>1</v>
      </c>
      <c r="D398" s="212">
        <v>1</v>
      </c>
      <c r="E398" s="191">
        <v>0.6</v>
      </c>
      <c r="F398" s="202">
        <f t="shared" si="14"/>
        <v>0.6</v>
      </c>
      <c r="G398" s="73"/>
    </row>
    <row r="399" spans="1:7" hidden="1" x14ac:dyDescent="0.25">
      <c r="A399" s="198">
        <v>7.58</v>
      </c>
      <c r="B399" s="211" t="s">
        <v>270</v>
      </c>
      <c r="C399" s="131">
        <v>10</v>
      </c>
      <c r="D399" s="212" t="s">
        <v>271</v>
      </c>
      <c r="E399" s="191">
        <v>0.25</v>
      </c>
      <c r="F399" s="202">
        <f t="shared" si="14"/>
        <v>2.5</v>
      </c>
      <c r="G399" s="73"/>
    </row>
    <row r="400" spans="1:7" hidden="1" x14ac:dyDescent="0.25">
      <c r="A400" s="198">
        <v>7.59</v>
      </c>
      <c r="B400" s="211" t="s">
        <v>272</v>
      </c>
      <c r="C400" s="131">
        <v>1</v>
      </c>
      <c r="D400" s="212" t="s">
        <v>242</v>
      </c>
      <c r="E400" s="191">
        <v>4</v>
      </c>
      <c r="F400" s="202">
        <f t="shared" si="14"/>
        <v>4</v>
      </c>
      <c r="G400" s="73"/>
    </row>
    <row r="401" spans="1:7" hidden="1" x14ac:dyDescent="0.25">
      <c r="A401" s="198">
        <v>7.6</v>
      </c>
      <c r="B401" s="211" t="s">
        <v>273</v>
      </c>
      <c r="C401" s="131">
        <v>1</v>
      </c>
      <c r="D401" s="212" t="s">
        <v>137</v>
      </c>
      <c r="E401" s="191">
        <v>6</v>
      </c>
      <c r="F401" s="202">
        <f t="shared" si="14"/>
        <v>6</v>
      </c>
      <c r="G401" s="73"/>
    </row>
    <row r="402" spans="1:7" hidden="1" x14ac:dyDescent="0.25">
      <c r="A402" s="198">
        <v>7.61</v>
      </c>
      <c r="B402" s="211" t="s">
        <v>274</v>
      </c>
      <c r="C402" s="131">
        <v>10</v>
      </c>
      <c r="D402" s="212" t="s">
        <v>213</v>
      </c>
      <c r="E402" s="191">
        <v>0.8</v>
      </c>
      <c r="F402" s="202">
        <f t="shared" si="14"/>
        <v>8</v>
      </c>
      <c r="G402" s="73"/>
    </row>
    <row r="403" spans="1:7" hidden="1" x14ac:dyDescent="0.25">
      <c r="A403" s="198">
        <v>7.62</v>
      </c>
      <c r="B403" s="211" t="s">
        <v>275</v>
      </c>
      <c r="C403" s="131">
        <v>10</v>
      </c>
      <c r="D403" s="212" t="s">
        <v>213</v>
      </c>
      <c r="E403" s="191">
        <v>0.8</v>
      </c>
      <c r="F403" s="202">
        <f t="shared" si="14"/>
        <v>8</v>
      </c>
      <c r="G403" s="73"/>
    </row>
    <row r="404" spans="1:7" hidden="1" x14ac:dyDescent="0.25">
      <c r="A404" s="198">
        <v>7.63</v>
      </c>
      <c r="B404" s="211" t="s">
        <v>276</v>
      </c>
      <c r="C404" s="131">
        <v>1</v>
      </c>
      <c r="D404" s="212" t="s">
        <v>277</v>
      </c>
      <c r="E404" s="191">
        <v>2.5</v>
      </c>
      <c r="F404" s="202">
        <f t="shared" si="14"/>
        <v>2.5</v>
      </c>
      <c r="G404" s="73"/>
    </row>
    <row r="405" spans="1:7" hidden="1" x14ac:dyDescent="0.25">
      <c r="A405" s="198">
        <v>7.64</v>
      </c>
      <c r="B405" s="211" t="s">
        <v>278</v>
      </c>
      <c r="C405" s="131">
        <v>50</v>
      </c>
      <c r="D405" s="212" t="s">
        <v>131</v>
      </c>
      <c r="E405" s="191">
        <v>2.5</v>
      </c>
      <c r="F405" s="202">
        <f t="shared" si="14"/>
        <v>125</v>
      </c>
      <c r="G405" s="73"/>
    </row>
    <row r="406" spans="1:7" hidden="1" x14ac:dyDescent="0.25">
      <c r="A406" s="198">
        <v>7.65</v>
      </c>
      <c r="B406" s="211" t="s">
        <v>279</v>
      </c>
      <c r="C406" s="131">
        <v>2</v>
      </c>
      <c r="D406" s="212" t="s">
        <v>137</v>
      </c>
      <c r="E406" s="191">
        <v>1.5</v>
      </c>
      <c r="F406" s="202">
        <f t="shared" si="14"/>
        <v>3</v>
      </c>
      <c r="G406" s="73"/>
    </row>
    <row r="407" spans="1:7" hidden="1" x14ac:dyDescent="0.25">
      <c r="A407" s="198">
        <v>7.66</v>
      </c>
      <c r="B407" s="211" t="s">
        <v>280</v>
      </c>
      <c r="C407" s="131">
        <v>2</v>
      </c>
      <c r="D407" s="212" t="s">
        <v>137</v>
      </c>
      <c r="E407" s="191">
        <v>1.5</v>
      </c>
      <c r="F407" s="202">
        <f t="shared" si="14"/>
        <v>3</v>
      </c>
      <c r="G407" s="73"/>
    </row>
    <row r="408" spans="1:7" hidden="1" x14ac:dyDescent="0.25">
      <c r="A408" s="198">
        <v>7.67</v>
      </c>
      <c r="B408" s="219" t="s">
        <v>281</v>
      </c>
      <c r="C408" s="131">
        <v>6</v>
      </c>
      <c r="D408" s="212" t="s">
        <v>137</v>
      </c>
      <c r="E408" s="191">
        <v>1.5</v>
      </c>
      <c r="F408" s="202">
        <f t="shared" si="14"/>
        <v>9</v>
      </c>
      <c r="G408" s="73"/>
    </row>
    <row r="409" spans="1:7" hidden="1" x14ac:dyDescent="0.25">
      <c r="A409" s="198">
        <v>7.68</v>
      </c>
      <c r="B409" s="211" t="s">
        <v>282</v>
      </c>
      <c r="C409" s="131">
        <v>2</v>
      </c>
      <c r="D409" s="212" t="s">
        <v>137</v>
      </c>
      <c r="E409" s="191">
        <v>15</v>
      </c>
      <c r="F409" s="202">
        <f t="shared" si="14"/>
        <v>30</v>
      </c>
      <c r="G409" s="73"/>
    </row>
    <row r="410" spans="1:7" hidden="1" x14ac:dyDescent="0.25">
      <c r="A410" s="198">
        <v>7.69</v>
      </c>
      <c r="B410" s="211" t="s">
        <v>283</v>
      </c>
      <c r="C410" s="131">
        <v>5</v>
      </c>
      <c r="D410" s="212" t="s">
        <v>137</v>
      </c>
      <c r="E410" s="191">
        <v>1</v>
      </c>
      <c r="F410" s="202">
        <f t="shared" si="14"/>
        <v>5</v>
      </c>
      <c r="G410" s="73"/>
    </row>
    <row r="411" spans="1:7" hidden="1" x14ac:dyDescent="0.25">
      <c r="A411" s="198">
        <v>7.7</v>
      </c>
      <c r="B411" s="211" t="s">
        <v>284</v>
      </c>
      <c r="C411" s="131">
        <v>5</v>
      </c>
      <c r="D411" s="212" t="s">
        <v>137</v>
      </c>
      <c r="E411" s="191">
        <v>1</v>
      </c>
      <c r="F411" s="202">
        <f t="shared" si="14"/>
        <v>5</v>
      </c>
      <c r="G411" s="73"/>
    </row>
    <row r="412" spans="1:7" hidden="1" x14ac:dyDescent="0.25">
      <c r="A412" s="198">
        <v>7.71</v>
      </c>
      <c r="B412" s="211" t="s">
        <v>285</v>
      </c>
      <c r="C412" s="131">
        <v>2</v>
      </c>
      <c r="D412" s="212" t="s">
        <v>137</v>
      </c>
      <c r="E412" s="191">
        <v>5</v>
      </c>
      <c r="F412" s="202">
        <f t="shared" si="14"/>
        <v>10</v>
      </c>
      <c r="G412" s="73"/>
    </row>
    <row r="413" spans="1:7" hidden="1" x14ac:dyDescent="0.25">
      <c r="A413" s="198">
        <v>7.72</v>
      </c>
      <c r="B413" s="211" t="s">
        <v>285</v>
      </c>
      <c r="C413" s="131">
        <v>2</v>
      </c>
      <c r="D413" s="212" t="s">
        <v>137</v>
      </c>
      <c r="E413" s="191">
        <v>5</v>
      </c>
      <c r="F413" s="202">
        <f t="shared" si="14"/>
        <v>10</v>
      </c>
      <c r="G413" s="73"/>
    </row>
    <row r="414" spans="1:7" hidden="1" x14ac:dyDescent="0.25">
      <c r="A414" s="198">
        <v>7.73</v>
      </c>
      <c r="B414" s="211" t="s">
        <v>286</v>
      </c>
      <c r="C414" s="131">
        <v>1</v>
      </c>
      <c r="D414" s="212" t="s">
        <v>245</v>
      </c>
      <c r="E414" s="191">
        <v>10</v>
      </c>
      <c r="F414" s="202">
        <f t="shared" si="14"/>
        <v>10</v>
      </c>
      <c r="G414" s="73"/>
    </row>
    <row r="415" spans="1:7" hidden="1" x14ac:dyDescent="0.25">
      <c r="A415" s="198">
        <v>7.7399999999999904</v>
      </c>
      <c r="B415" s="211" t="s">
        <v>287</v>
      </c>
      <c r="C415" s="131">
        <v>20</v>
      </c>
      <c r="D415" s="212" t="s">
        <v>137</v>
      </c>
      <c r="E415" s="191">
        <v>9.1</v>
      </c>
      <c r="F415" s="202">
        <f t="shared" si="14"/>
        <v>182</v>
      </c>
      <c r="G415" s="73"/>
    </row>
    <row r="416" spans="1:7" hidden="1" x14ac:dyDescent="0.25">
      <c r="A416" s="198">
        <v>7.7499999999999902</v>
      </c>
      <c r="B416" s="211" t="s">
        <v>288</v>
      </c>
      <c r="C416" s="131">
        <v>10</v>
      </c>
      <c r="D416" s="212" t="s">
        <v>137</v>
      </c>
      <c r="E416" s="191">
        <v>9.1</v>
      </c>
      <c r="F416" s="202">
        <f t="shared" si="14"/>
        <v>91</v>
      </c>
      <c r="G416" s="73"/>
    </row>
    <row r="417" spans="1:7" hidden="1" x14ac:dyDescent="0.25">
      <c r="A417" s="198">
        <v>7.75999999999999</v>
      </c>
      <c r="B417" s="227" t="s">
        <v>289</v>
      </c>
      <c r="C417" s="217">
        <v>24</v>
      </c>
      <c r="D417" s="218" t="s">
        <v>137</v>
      </c>
      <c r="E417" s="191">
        <v>5</v>
      </c>
      <c r="F417" s="202">
        <f t="shared" si="14"/>
        <v>120</v>
      </c>
      <c r="G417" s="73"/>
    </row>
    <row r="418" spans="1:7" hidden="1" x14ac:dyDescent="0.25">
      <c r="A418" s="198">
        <v>7.7699999999999898</v>
      </c>
      <c r="B418" s="227" t="s">
        <v>290</v>
      </c>
      <c r="C418" s="217">
        <v>12</v>
      </c>
      <c r="D418" s="218" t="s">
        <v>137</v>
      </c>
      <c r="E418" s="191">
        <v>2</v>
      </c>
      <c r="F418" s="202">
        <f t="shared" si="14"/>
        <v>24</v>
      </c>
      <c r="G418" s="73"/>
    </row>
    <row r="419" spans="1:7" hidden="1" x14ac:dyDescent="0.25">
      <c r="A419" s="198">
        <v>7.7799999999999896</v>
      </c>
      <c r="B419" s="227" t="s">
        <v>291</v>
      </c>
      <c r="C419" s="217">
        <v>2</v>
      </c>
      <c r="D419" s="218" t="s">
        <v>292</v>
      </c>
      <c r="E419" s="191">
        <v>10</v>
      </c>
      <c r="F419" s="202">
        <f t="shared" si="14"/>
        <v>20</v>
      </c>
      <c r="G419" s="73"/>
    </row>
    <row r="420" spans="1:7" x14ac:dyDescent="0.25">
      <c r="A420" s="198"/>
      <c r="B420" s="228"/>
      <c r="C420" s="228"/>
      <c r="D420" s="229"/>
      <c r="E420" s="195"/>
      <c r="F420" s="204"/>
      <c r="G420" s="73"/>
    </row>
    <row r="421" spans="1:7" x14ac:dyDescent="0.25">
      <c r="A421" s="176">
        <v>8</v>
      </c>
      <c r="B421" s="701" t="s">
        <v>293</v>
      </c>
      <c r="C421" s="702"/>
      <c r="D421" s="702"/>
      <c r="E421" s="702"/>
      <c r="F421" s="702"/>
      <c r="G421" s="177">
        <f>G243</f>
        <v>0</v>
      </c>
    </row>
    <row r="422" spans="1:7" ht="25.5" hidden="1" x14ac:dyDescent="0.25">
      <c r="A422" s="178">
        <v>8.1</v>
      </c>
      <c r="B422" s="182" t="s">
        <v>294</v>
      </c>
      <c r="C422" s="131">
        <v>1</v>
      </c>
      <c r="D422" s="212" t="s">
        <v>121</v>
      </c>
      <c r="E422" s="230">
        <f>6*210*2</f>
        <v>2520</v>
      </c>
      <c r="F422" s="231">
        <f t="shared" ref="F422:F423" si="15">C422*E422</f>
        <v>2520</v>
      </c>
      <c r="G422" s="73"/>
    </row>
    <row r="423" spans="1:7" hidden="1" x14ac:dyDescent="0.25">
      <c r="A423" s="178">
        <v>8.1999999999999993</v>
      </c>
      <c r="B423" s="182" t="s">
        <v>295</v>
      </c>
      <c r="C423" s="131">
        <v>3</v>
      </c>
      <c r="D423" s="212" t="s">
        <v>296</v>
      </c>
      <c r="E423" s="230">
        <v>2034</v>
      </c>
      <c r="F423" s="231">
        <f t="shared" si="15"/>
        <v>6102</v>
      </c>
      <c r="G423" s="73"/>
    </row>
    <row r="424" spans="1:7" hidden="1" x14ac:dyDescent="0.25">
      <c r="A424" s="178">
        <v>8.3000000000000007</v>
      </c>
      <c r="B424" s="211" t="s">
        <v>297</v>
      </c>
      <c r="C424" s="131">
        <v>15</v>
      </c>
      <c r="D424" s="212" t="s">
        <v>137</v>
      </c>
      <c r="E424" s="230">
        <v>8</v>
      </c>
      <c r="F424" s="231">
        <f>C424*E424</f>
        <v>120</v>
      </c>
      <c r="G424" s="73"/>
    </row>
    <row r="425" spans="1:7" hidden="1" x14ac:dyDescent="0.25">
      <c r="A425" s="178">
        <v>8.4</v>
      </c>
      <c r="B425" s="232" t="s">
        <v>298</v>
      </c>
      <c r="C425" s="131">
        <v>1</v>
      </c>
      <c r="D425" s="212" t="s">
        <v>299</v>
      </c>
      <c r="E425" s="230">
        <v>1020</v>
      </c>
      <c r="F425" s="231">
        <f t="shared" ref="F425:F433" si="16">C425*E425</f>
        <v>1020</v>
      </c>
      <c r="G425" s="73"/>
    </row>
    <row r="426" spans="1:7" hidden="1" x14ac:dyDescent="0.25">
      <c r="A426" s="178">
        <v>8.5</v>
      </c>
      <c r="B426" s="211" t="s">
        <v>186</v>
      </c>
      <c r="C426" s="131">
        <v>8</v>
      </c>
      <c r="D426" s="212" t="s">
        <v>137</v>
      </c>
      <c r="E426" s="230">
        <v>40</v>
      </c>
      <c r="F426" s="231">
        <f t="shared" si="16"/>
        <v>320</v>
      </c>
      <c r="G426" s="73"/>
    </row>
    <row r="427" spans="1:7" hidden="1" x14ac:dyDescent="0.25">
      <c r="A427" s="178">
        <v>8.6</v>
      </c>
      <c r="B427" s="211" t="s">
        <v>300</v>
      </c>
      <c r="C427" s="131">
        <v>8</v>
      </c>
      <c r="D427" s="212" t="s">
        <v>137</v>
      </c>
      <c r="E427" s="230">
        <v>5.5</v>
      </c>
      <c r="F427" s="231">
        <f t="shared" si="16"/>
        <v>44</v>
      </c>
      <c r="G427" s="73"/>
    </row>
    <row r="428" spans="1:7" hidden="1" x14ac:dyDescent="0.25">
      <c r="A428" s="178">
        <v>8.6999999999999993</v>
      </c>
      <c r="B428" s="211" t="s">
        <v>301</v>
      </c>
      <c r="C428" s="131">
        <v>6</v>
      </c>
      <c r="D428" s="212" t="s">
        <v>137</v>
      </c>
      <c r="E428" s="230">
        <v>15</v>
      </c>
      <c r="F428" s="231">
        <f t="shared" si="16"/>
        <v>90</v>
      </c>
      <c r="G428" s="73"/>
    </row>
    <row r="429" spans="1:7" hidden="1" x14ac:dyDescent="0.25">
      <c r="A429" s="178">
        <v>8.8000000000000007</v>
      </c>
      <c r="B429" s="211" t="s">
        <v>302</v>
      </c>
      <c r="C429" s="131">
        <v>4</v>
      </c>
      <c r="D429" s="212" t="s">
        <v>137</v>
      </c>
      <c r="E429" s="230">
        <v>25</v>
      </c>
      <c r="F429" s="231">
        <f t="shared" si="16"/>
        <v>100</v>
      </c>
      <c r="G429" s="73"/>
    </row>
    <row r="430" spans="1:7" hidden="1" x14ac:dyDescent="0.25">
      <c r="A430" s="178">
        <v>8.9</v>
      </c>
      <c r="B430" s="211" t="s">
        <v>303</v>
      </c>
      <c r="C430" s="131">
        <v>3</v>
      </c>
      <c r="D430" s="212" t="s">
        <v>137</v>
      </c>
      <c r="E430" s="230">
        <v>4.5999999999999996</v>
      </c>
      <c r="F430" s="231">
        <f t="shared" si="16"/>
        <v>13.799999999999999</v>
      </c>
      <c r="G430" s="73"/>
    </row>
    <row r="431" spans="1:7" hidden="1" x14ac:dyDescent="0.25">
      <c r="A431" s="198">
        <v>8.1</v>
      </c>
      <c r="B431" s="211" t="s">
        <v>304</v>
      </c>
      <c r="C431" s="131">
        <v>1</v>
      </c>
      <c r="D431" s="212" t="s">
        <v>299</v>
      </c>
      <c r="E431" s="230">
        <v>1200</v>
      </c>
      <c r="F431" s="231">
        <f t="shared" si="16"/>
        <v>1200</v>
      </c>
      <c r="G431" s="73"/>
    </row>
    <row r="432" spans="1:7" hidden="1" x14ac:dyDescent="0.25">
      <c r="A432" s="198">
        <v>8.11</v>
      </c>
      <c r="B432" s="232" t="s">
        <v>305</v>
      </c>
      <c r="C432" s="131">
        <v>2</v>
      </c>
      <c r="D432" s="212" t="s">
        <v>296</v>
      </c>
      <c r="E432" s="230">
        <v>646.5</v>
      </c>
      <c r="F432" s="231">
        <f t="shared" si="16"/>
        <v>1293</v>
      </c>
      <c r="G432" s="73"/>
    </row>
    <row r="433" spans="1:7" ht="24" hidden="1" x14ac:dyDescent="0.25">
      <c r="A433" s="220">
        <v>8.1199999999999992</v>
      </c>
      <c r="B433" s="233" t="s">
        <v>306</v>
      </c>
      <c r="C433" s="234">
        <v>50</v>
      </c>
      <c r="D433" s="235" t="s">
        <v>137</v>
      </c>
      <c r="E433" s="236">
        <f>16.95*1</f>
        <v>16.95</v>
      </c>
      <c r="F433" s="237">
        <f t="shared" si="16"/>
        <v>847.5</v>
      </c>
      <c r="G433" s="73"/>
    </row>
    <row r="434" spans="1:7" x14ac:dyDescent="0.25">
      <c r="A434" s="220"/>
      <c r="B434" s="238"/>
      <c r="C434" s="239"/>
      <c r="D434" s="240"/>
      <c r="E434" s="241"/>
      <c r="F434" s="242"/>
      <c r="G434" s="73"/>
    </row>
    <row r="435" spans="1:7" x14ac:dyDescent="0.25">
      <c r="A435" s="176">
        <v>9</v>
      </c>
      <c r="B435" s="701" t="s">
        <v>307</v>
      </c>
      <c r="C435" s="702"/>
      <c r="D435" s="702"/>
      <c r="E435" s="702"/>
      <c r="F435" s="702"/>
      <c r="G435" s="177">
        <f>G260</f>
        <v>0</v>
      </c>
    </row>
    <row r="436" spans="1:7" ht="52.5" hidden="1" customHeight="1" x14ac:dyDescent="0.25">
      <c r="A436" s="172">
        <v>9.1</v>
      </c>
      <c r="B436" s="232" t="s">
        <v>308</v>
      </c>
      <c r="C436" s="201">
        <v>1</v>
      </c>
      <c r="D436" s="201" t="s">
        <v>121</v>
      </c>
      <c r="E436" s="183">
        <v>22004.720000000001</v>
      </c>
      <c r="F436" s="243">
        <f>E436</f>
        <v>22004.720000000001</v>
      </c>
      <c r="G436" s="73"/>
    </row>
    <row r="437" spans="1:7" ht="19.5" customHeight="1" x14ac:dyDescent="0.25">
      <c r="A437" s="172"/>
      <c r="B437" s="244"/>
      <c r="C437" s="203"/>
      <c r="D437" s="203"/>
      <c r="E437" s="187"/>
      <c r="F437" s="245"/>
      <c r="G437" s="73"/>
    </row>
    <row r="438" spans="1:7" x14ac:dyDescent="0.25">
      <c r="A438" s="176">
        <v>10</v>
      </c>
      <c r="B438" s="701" t="s">
        <v>309</v>
      </c>
      <c r="C438" s="702"/>
      <c r="D438" s="702"/>
      <c r="E438" s="702"/>
      <c r="F438" s="702"/>
      <c r="G438" s="177">
        <f>F439</f>
        <v>5500</v>
      </c>
    </row>
    <row r="439" spans="1:7" ht="48" hidden="1" x14ac:dyDescent="0.25">
      <c r="A439" s="246">
        <v>10.1</v>
      </c>
      <c r="B439" s="232" t="s">
        <v>310</v>
      </c>
      <c r="C439" s="201">
        <v>1</v>
      </c>
      <c r="D439" s="201" t="s">
        <v>172</v>
      </c>
      <c r="E439" s="230">
        <v>5500</v>
      </c>
      <c r="F439" s="247">
        <f>C439*E439</f>
        <v>5500</v>
      </c>
      <c r="G439" s="73"/>
    </row>
    <row r="440" spans="1:7" x14ac:dyDescent="0.25">
      <c r="A440" s="246"/>
      <c r="B440" s="244"/>
      <c r="C440" s="203"/>
      <c r="D440" s="203"/>
      <c r="E440" s="248"/>
      <c r="F440" s="249"/>
      <c r="G440" s="73"/>
    </row>
    <row r="441" spans="1:7" x14ac:dyDescent="0.25">
      <c r="A441" s="176">
        <v>11</v>
      </c>
      <c r="B441" s="701">
        <f>B264</f>
        <v>0</v>
      </c>
      <c r="C441" s="702"/>
      <c r="D441" s="702"/>
      <c r="E441" s="702"/>
      <c r="F441" s="702"/>
      <c r="G441" s="177">
        <f>G264</f>
        <v>0</v>
      </c>
    </row>
    <row r="442" spans="1:7" x14ac:dyDescent="0.25">
      <c r="A442" s="246"/>
      <c r="B442" s="244"/>
      <c r="C442" s="203"/>
      <c r="D442" s="203"/>
      <c r="E442" s="248"/>
      <c r="F442" s="249"/>
      <c r="G442" s="73"/>
    </row>
    <row r="443" spans="1:7" x14ac:dyDescent="0.25">
      <c r="A443" s="176">
        <v>11</v>
      </c>
      <c r="B443" s="701" t="s">
        <v>311</v>
      </c>
      <c r="C443" s="702"/>
      <c r="D443" s="702"/>
      <c r="E443" s="702"/>
      <c r="F443" s="702"/>
      <c r="G443" s="177">
        <f>G266</f>
        <v>0</v>
      </c>
    </row>
    <row r="444" spans="1:7" ht="114" hidden="1" customHeight="1" x14ac:dyDescent="0.25">
      <c r="A444" s="201">
        <v>11.1</v>
      </c>
      <c r="B444" s="232" t="s">
        <v>312</v>
      </c>
      <c r="C444" s="201">
        <v>2</v>
      </c>
      <c r="D444" s="201" t="s">
        <v>313</v>
      </c>
      <c r="E444" s="230">
        <v>1425</v>
      </c>
      <c r="F444" s="247">
        <f>C444*E444</f>
        <v>2850</v>
      </c>
      <c r="G444" s="73"/>
    </row>
    <row r="445" spans="1:7" ht="18" customHeight="1" x14ac:dyDescent="0.25">
      <c r="A445" s="201"/>
      <c r="B445" s="244"/>
      <c r="C445" s="203"/>
      <c r="D445" s="203"/>
      <c r="E445" s="248"/>
      <c r="F445" s="249"/>
      <c r="G445" s="73"/>
    </row>
    <row r="446" spans="1:7" x14ac:dyDescent="0.25">
      <c r="A446" s="176">
        <v>12</v>
      </c>
      <c r="B446" s="701" t="s">
        <v>314</v>
      </c>
      <c r="C446" s="702"/>
      <c r="D446" s="702"/>
      <c r="E446" s="702">
        <v>1500</v>
      </c>
      <c r="F446" s="702"/>
      <c r="G446" s="177">
        <f>G268</f>
        <v>0</v>
      </c>
    </row>
    <row r="447" spans="1:7" hidden="1" x14ac:dyDescent="0.25">
      <c r="A447" s="178">
        <v>12.1</v>
      </c>
      <c r="B447" s="232" t="s">
        <v>315</v>
      </c>
      <c r="C447" s="201">
        <v>1</v>
      </c>
      <c r="D447" s="201" t="s">
        <v>172</v>
      </c>
      <c r="E447" s="230">
        <v>3600</v>
      </c>
      <c r="F447" s="250">
        <f>C447*E447</f>
        <v>3600</v>
      </c>
      <c r="G447" s="73"/>
    </row>
    <row r="448" spans="1:7" ht="24" hidden="1" x14ac:dyDescent="0.25">
      <c r="A448" s="178">
        <v>12.2</v>
      </c>
      <c r="B448" s="232" t="s">
        <v>316</v>
      </c>
      <c r="C448" s="201">
        <v>1</v>
      </c>
      <c r="D448" s="201" t="s">
        <v>121</v>
      </c>
      <c r="E448" s="230">
        <v>500</v>
      </c>
      <c r="F448" s="250">
        <f>C448*E448</f>
        <v>500</v>
      </c>
      <c r="G448" s="73"/>
    </row>
    <row r="449" spans="1:14" x14ac:dyDescent="0.25">
      <c r="A449" s="178"/>
      <c r="B449" s="244"/>
      <c r="C449" s="203"/>
      <c r="D449" s="203"/>
      <c r="E449" s="248"/>
      <c r="F449" s="251"/>
      <c r="G449" s="73"/>
    </row>
    <row r="450" spans="1:14" x14ac:dyDescent="0.25">
      <c r="A450" s="176">
        <v>13</v>
      </c>
      <c r="B450" s="701" t="s">
        <v>317</v>
      </c>
      <c r="C450" s="702"/>
      <c r="D450" s="702"/>
      <c r="E450" s="702">
        <v>1500</v>
      </c>
      <c r="F450" s="702"/>
      <c r="G450" s="177">
        <f>G271</f>
        <v>0</v>
      </c>
    </row>
    <row r="451" spans="1:14" ht="24" hidden="1" x14ac:dyDescent="0.25">
      <c r="A451" s="201">
        <v>13.1</v>
      </c>
      <c r="B451" s="232" t="s">
        <v>318</v>
      </c>
      <c r="C451" s="201">
        <v>1</v>
      </c>
      <c r="D451" s="201" t="s">
        <v>172</v>
      </c>
      <c r="E451" s="230">
        <v>2100</v>
      </c>
      <c r="F451" s="250">
        <f>C451*E451</f>
        <v>2100</v>
      </c>
      <c r="G451" s="73"/>
      <c r="H451">
        <v>904</v>
      </c>
      <c r="K451">
        <v>450</v>
      </c>
      <c r="L451">
        <f>H451+K451</f>
        <v>1354</v>
      </c>
      <c r="M451" s="57">
        <f>G450-L451</f>
        <v>-1354</v>
      </c>
      <c r="N451" s="57"/>
    </row>
    <row r="452" spans="1:14" x14ac:dyDescent="0.25">
      <c r="A452" s="178"/>
      <c r="B452" s="244"/>
      <c r="C452" s="203"/>
      <c r="D452" s="203"/>
      <c r="E452" s="248"/>
      <c r="F452" s="251"/>
      <c r="G452" s="252" t="e">
        <f>G450+G446+G443+G441+G438+G435+G421+G331+G328+G325+G322+G298+G295+G290</f>
        <v>#REF!</v>
      </c>
    </row>
    <row r="453" spans="1:14" x14ac:dyDescent="0.25">
      <c r="A453" s="176">
        <v>14</v>
      </c>
      <c r="B453" s="701" t="s">
        <v>105</v>
      </c>
      <c r="C453" s="702"/>
      <c r="D453" s="702"/>
      <c r="E453" s="702">
        <v>1500</v>
      </c>
      <c r="F453" s="702"/>
      <c r="G453" s="177">
        <f>G274</f>
        <v>0</v>
      </c>
      <c r="K453" s="57" t="e">
        <f>G450+G446+G443+G438+G435+G421+G331+G328+G325+G322+G298+G295+G290</f>
        <v>#REF!</v>
      </c>
    </row>
    <row r="454" spans="1:14" hidden="1" x14ac:dyDescent="0.25">
      <c r="A454" s="178">
        <v>14.1</v>
      </c>
      <c r="B454" s="73" t="s">
        <v>319</v>
      </c>
      <c r="C454" s="201">
        <v>1</v>
      </c>
      <c r="D454" s="201" t="s">
        <v>121</v>
      </c>
      <c r="E454" s="253" t="e">
        <f>G452*0.03</f>
        <v>#REF!</v>
      </c>
      <c r="F454" s="254" t="e">
        <f>C454*E454</f>
        <v>#REF!</v>
      </c>
      <c r="G454" s="73"/>
    </row>
    <row r="455" spans="1:14" x14ac:dyDescent="0.25">
      <c r="A455" s="176"/>
      <c r="B455" s="712" t="s">
        <v>19</v>
      </c>
      <c r="C455" s="713"/>
      <c r="D455" s="713"/>
      <c r="E455" s="713"/>
      <c r="F455" s="713"/>
      <c r="G455" s="255" t="e">
        <f>G452+G453</f>
        <v>#REF!</v>
      </c>
      <c r="K455" s="57"/>
    </row>
  </sheetData>
  <mergeCells count="116">
    <mergeCell ref="B443:F443"/>
    <mergeCell ref="B446:F446"/>
    <mergeCell ref="B450:F450"/>
    <mergeCell ref="B453:F453"/>
    <mergeCell ref="B455:F455"/>
    <mergeCell ref="B328:F328"/>
    <mergeCell ref="B331:F331"/>
    <mergeCell ref="B421:F421"/>
    <mergeCell ref="B435:F435"/>
    <mergeCell ref="B438:F438"/>
    <mergeCell ref="B441:F441"/>
    <mergeCell ref="B298:F298"/>
    <mergeCell ref="B300:F300"/>
    <mergeCell ref="B309:F309"/>
    <mergeCell ref="B313:F313"/>
    <mergeCell ref="B322:F322"/>
    <mergeCell ref="B325:F325"/>
    <mergeCell ref="B273:F273"/>
    <mergeCell ref="B274:F274"/>
    <mergeCell ref="B276:F276"/>
    <mergeCell ref="A287:G288"/>
    <mergeCell ref="B290:F290"/>
    <mergeCell ref="B295:F295"/>
    <mergeCell ref="B260:F260"/>
    <mergeCell ref="B262:F262"/>
    <mergeCell ref="B264:F264"/>
    <mergeCell ref="B266:F266"/>
    <mergeCell ref="B268:F268"/>
    <mergeCell ref="B271:F271"/>
    <mergeCell ref="A156:G156"/>
    <mergeCell ref="B157:G157"/>
    <mergeCell ref="A189:C189"/>
    <mergeCell ref="B190:G190"/>
    <mergeCell ref="B243:F243"/>
    <mergeCell ref="A255:G256"/>
    <mergeCell ref="B144:C144"/>
    <mergeCell ref="E144:F144"/>
    <mergeCell ref="B146:C146"/>
    <mergeCell ref="E146:F146"/>
    <mergeCell ref="B152:C152"/>
    <mergeCell ref="E152:F152"/>
    <mergeCell ref="A139:B139"/>
    <mergeCell ref="A140:B140"/>
    <mergeCell ref="A141:B141"/>
    <mergeCell ref="A142:B142"/>
    <mergeCell ref="E142:F142"/>
    <mergeCell ref="B143:C143"/>
    <mergeCell ref="E143:F143"/>
    <mergeCell ref="C129:E129"/>
    <mergeCell ref="A130:G130"/>
    <mergeCell ref="A133:G135"/>
    <mergeCell ref="A137:D137"/>
    <mergeCell ref="E137:G137"/>
    <mergeCell ref="A138:B138"/>
    <mergeCell ref="A122:C122"/>
    <mergeCell ref="E122:G122"/>
    <mergeCell ref="A123:C123"/>
    <mergeCell ref="E123:G123"/>
    <mergeCell ref="A124:C124"/>
    <mergeCell ref="E124:G124"/>
    <mergeCell ref="A115:B115"/>
    <mergeCell ref="C115:D115"/>
    <mergeCell ref="E115:F115"/>
    <mergeCell ref="A116:B116"/>
    <mergeCell ref="A117:B117"/>
    <mergeCell ref="C117:D117"/>
    <mergeCell ref="E117:F117"/>
    <mergeCell ref="A113:B113"/>
    <mergeCell ref="C113:D113"/>
    <mergeCell ref="E113:F113"/>
    <mergeCell ref="A114:B114"/>
    <mergeCell ref="C114:D114"/>
    <mergeCell ref="E114:F114"/>
    <mergeCell ref="A111:B111"/>
    <mergeCell ref="C111:D111"/>
    <mergeCell ref="E111:F111"/>
    <mergeCell ref="A112:B112"/>
    <mergeCell ref="C112:D112"/>
    <mergeCell ref="E112:F112"/>
    <mergeCell ref="C107:G107"/>
    <mergeCell ref="A108:B108"/>
    <mergeCell ref="D108:E108"/>
    <mergeCell ref="B109:C109"/>
    <mergeCell ref="D109:E109"/>
    <mergeCell ref="A110:E110"/>
    <mergeCell ref="A94:G96"/>
    <mergeCell ref="A97:B97"/>
    <mergeCell ref="A99:C99"/>
    <mergeCell ref="A101:C101"/>
    <mergeCell ref="A102:G103"/>
    <mergeCell ref="C105:G106"/>
    <mergeCell ref="A106:B106"/>
    <mergeCell ref="A83:C83"/>
    <mergeCell ref="E83:G83"/>
    <mergeCell ref="A84:C84"/>
    <mergeCell ref="E84:G84"/>
    <mergeCell ref="C90:E90"/>
    <mergeCell ref="C91:E91"/>
    <mergeCell ref="E70:F70"/>
    <mergeCell ref="A82:C82"/>
    <mergeCell ref="E82:G82"/>
    <mergeCell ref="A32:G34"/>
    <mergeCell ref="A43:G43"/>
    <mergeCell ref="A44:G44"/>
    <mergeCell ref="A45:G45"/>
    <mergeCell ref="A48:G54"/>
    <mergeCell ref="A56:B56"/>
    <mergeCell ref="A1:G7"/>
    <mergeCell ref="A10:B10"/>
    <mergeCell ref="A16:G22"/>
    <mergeCell ref="D25:F26"/>
    <mergeCell ref="C30:G30"/>
    <mergeCell ref="C31:G31"/>
    <mergeCell ref="A59:G65"/>
    <mergeCell ref="E67:F67"/>
    <mergeCell ref="A69:G69"/>
  </mergeCells>
  <pageMargins left="0.70866141732283472" right="0.31496062992125984" top="0.74803149606299213" bottom="0.55118110236220474" header="0.31496062992125984" footer="0.31496062992125984"/>
  <pageSetup scale="69" orientation="portrait" horizontalDpi="4294967293" verticalDpi="0" r:id="rId1"/>
  <rowBreaks count="4" manualBreakCount="4">
    <brk id="47" max="6" man="1"/>
    <brk id="93" max="6" man="1"/>
    <brk id="131" max="6" man="1"/>
    <brk id="156" max="6"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0"/>
  <sheetViews>
    <sheetView topLeftCell="A25" workbookViewId="0">
      <selection activeCell="E37" sqref="E37"/>
    </sheetView>
  </sheetViews>
  <sheetFormatPr baseColWidth="10" defaultColWidth="11.28515625" defaultRowHeight="15" x14ac:dyDescent="0.25"/>
  <cols>
    <col min="1" max="1" width="11.7109375" customWidth="1"/>
    <col min="2" max="2" width="37.5703125" customWidth="1"/>
    <col min="3" max="3" width="12.5703125" customWidth="1"/>
    <col min="4" max="4" width="11" customWidth="1"/>
    <col min="5" max="5" width="16.5703125" customWidth="1"/>
    <col min="6" max="6" width="12.5703125" customWidth="1"/>
    <col min="7" max="7" width="15.7109375" customWidth="1"/>
    <col min="9" max="9" width="11.7109375" bestFit="1" customWidth="1"/>
    <col min="11" max="11" width="22.28515625" customWidth="1"/>
    <col min="14" max="14" width="15.28515625" customWidth="1"/>
    <col min="15" max="15" width="11.7109375" bestFit="1" customWidth="1"/>
  </cols>
  <sheetData>
    <row r="1" spans="1:16" ht="30" customHeight="1" x14ac:dyDescent="0.25">
      <c r="A1" s="62" t="s">
        <v>64</v>
      </c>
      <c r="B1" s="697" t="s">
        <v>148</v>
      </c>
      <c r="C1" s="697"/>
      <c r="D1" s="697"/>
      <c r="E1" s="697"/>
      <c r="F1" s="697"/>
      <c r="G1" s="697"/>
      <c r="I1" s="33"/>
      <c r="J1" s="33"/>
      <c r="K1" s="33"/>
      <c r="L1" s="33"/>
      <c r="M1" s="33"/>
      <c r="N1" s="33"/>
      <c r="O1" s="33"/>
      <c r="P1" s="33"/>
    </row>
    <row r="2" spans="1:16" ht="26.25" customHeight="1" x14ac:dyDescent="0.25">
      <c r="A2" s="63" t="s">
        <v>75</v>
      </c>
      <c r="B2" s="64" t="s">
        <v>111</v>
      </c>
      <c r="I2" s="33"/>
      <c r="J2" s="33"/>
      <c r="K2" s="33"/>
      <c r="L2" s="33"/>
      <c r="M2" s="33"/>
      <c r="N2" s="33"/>
      <c r="O2" s="33"/>
      <c r="P2" s="33"/>
    </row>
    <row r="3" spans="1:16" ht="25.5" customHeight="1" thickBot="1" x14ac:dyDescent="0.3">
      <c r="A3" s="65" t="s">
        <v>112</v>
      </c>
      <c r="B3" s="64" t="s">
        <v>113</v>
      </c>
      <c r="I3" s="33"/>
      <c r="J3" s="33"/>
      <c r="K3" s="33"/>
      <c r="L3" s="33"/>
      <c r="M3" s="33"/>
      <c r="N3" s="66"/>
      <c r="O3" s="33"/>
      <c r="P3" s="66"/>
    </row>
    <row r="4" spans="1:16" ht="28.5" customHeight="1" x14ac:dyDescent="0.25">
      <c r="A4" s="67" t="s">
        <v>114</v>
      </c>
      <c r="B4" s="68" t="s">
        <v>115</v>
      </c>
      <c r="C4" s="69" t="s">
        <v>116</v>
      </c>
      <c r="D4" s="69" t="s">
        <v>117</v>
      </c>
      <c r="E4" s="69" t="s">
        <v>118</v>
      </c>
      <c r="F4" s="69" t="s">
        <v>19</v>
      </c>
      <c r="G4" s="70" t="s">
        <v>106</v>
      </c>
      <c r="I4" s="33"/>
      <c r="J4" s="33"/>
      <c r="K4" s="33"/>
      <c r="L4" s="33"/>
      <c r="M4" s="33"/>
      <c r="N4" s="33"/>
      <c r="O4" s="33"/>
      <c r="P4" s="33"/>
    </row>
    <row r="5" spans="1:16" ht="30" x14ac:dyDescent="0.25">
      <c r="A5" s="71">
        <v>1</v>
      </c>
      <c r="B5" s="72" t="s">
        <v>119</v>
      </c>
      <c r="C5" s="73"/>
      <c r="D5" s="73"/>
      <c r="E5" s="74"/>
      <c r="F5" s="74"/>
      <c r="G5" s="75">
        <f>SUM(F6:F11)</f>
        <v>15950</v>
      </c>
      <c r="I5" s="76"/>
      <c r="J5" s="77"/>
      <c r="K5" s="33"/>
      <c r="L5" s="33"/>
      <c r="M5" s="33"/>
      <c r="N5" s="33"/>
      <c r="O5" s="33"/>
      <c r="P5" s="33"/>
    </row>
    <row r="6" spans="1:16" x14ac:dyDescent="0.25">
      <c r="A6" s="78">
        <f>A5+0.1</f>
        <v>1.1000000000000001</v>
      </c>
      <c r="B6" s="79" t="s">
        <v>120</v>
      </c>
      <c r="C6" s="80">
        <v>1</v>
      </c>
      <c r="D6" s="81" t="s">
        <v>121</v>
      </c>
      <c r="E6" s="74">
        <v>1800</v>
      </c>
      <c r="F6" s="74">
        <f>ROUND(C6*E6,2)</f>
        <v>1800</v>
      </c>
      <c r="G6" s="82"/>
      <c r="I6" s="83"/>
      <c r="J6" s="84"/>
      <c r="K6" s="33"/>
      <c r="L6" s="33"/>
      <c r="M6" s="33"/>
      <c r="N6" s="33"/>
      <c r="O6" s="33"/>
      <c r="P6" s="33"/>
    </row>
    <row r="7" spans="1:16" x14ac:dyDescent="0.25">
      <c r="A7" s="78">
        <f t="shared" ref="A7:A11" si="0">A6+0.1</f>
        <v>1.2000000000000002</v>
      </c>
      <c r="B7" s="79" t="s">
        <v>122</v>
      </c>
      <c r="C7" s="80">
        <v>1</v>
      </c>
      <c r="D7" s="81" t="s">
        <v>121</v>
      </c>
      <c r="E7" s="74">
        <f>ROUND(250*10*1.1,2)</f>
        <v>2750</v>
      </c>
      <c r="F7" s="74">
        <f t="shared" ref="F7:F28" si="1">ROUND(C7*E7,2)</f>
        <v>2750</v>
      </c>
      <c r="G7" s="82"/>
      <c r="I7" s="83"/>
      <c r="J7" s="84"/>
      <c r="K7" s="33"/>
      <c r="L7" s="33"/>
      <c r="M7" s="33"/>
      <c r="N7" s="33"/>
      <c r="O7" s="33"/>
      <c r="P7" s="33"/>
    </row>
    <row r="8" spans="1:16" x14ac:dyDescent="0.25">
      <c r="A8" s="78">
        <f t="shared" si="0"/>
        <v>1.3000000000000003</v>
      </c>
      <c r="B8" s="79" t="s">
        <v>123</v>
      </c>
      <c r="C8" s="80">
        <v>1</v>
      </c>
      <c r="D8" s="81" t="s">
        <v>121</v>
      </c>
      <c r="E8" s="74">
        <v>600</v>
      </c>
      <c r="F8" s="74">
        <f t="shared" si="1"/>
        <v>600</v>
      </c>
      <c r="G8" s="82"/>
      <c r="I8" s="83"/>
      <c r="J8" s="84"/>
      <c r="K8" s="33"/>
      <c r="L8" s="33"/>
      <c r="M8" s="33"/>
      <c r="N8" s="33"/>
      <c r="O8" s="33"/>
      <c r="P8" s="33"/>
    </row>
    <row r="9" spans="1:16" x14ac:dyDescent="0.25">
      <c r="A9" s="78">
        <f t="shared" si="0"/>
        <v>1.4000000000000004</v>
      </c>
      <c r="B9" s="79" t="s">
        <v>124</v>
      </c>
      <c r="C9" s="80">
        <v>1</v>
      </c>
      <c r="D9" s="81" t="s">
        <v>121</v>
      </c>
      <c r="E9" s="74">
        <v>600</v>
      </c>
      <c r="F9" s="74">
        <f t="shared" si="1"/>
        <v>600</v>
      </c>
      <c r="G9" s="82"/>
      <c r="I9" s="83"/>
      <c r="J9" s="84"/>
      <c r="K9" s="33"/>
      <c r="L9" s="33"/>
      <c r="M9" s="33"/>
      <c r="N9" s="33"/>
      <c r="O9" s="33"/>
      <c r="P9" s="33"/>
    </row>
    <row r="10" spans="1:16" ht="30" x14ac:dyDescent="0.25">
      <c r="A10" s="78">
        <f t="shared" si="0"/>
        <v>1.5000000000000004</v>
      </c>
      <c r="B10" s="79" t="s">
        <v>125</v>
      </c>
      <c r="C10" s="80">
        <v>1</v>
      </c>
      <c r="D10" s="81" t="s">
        <v>121</v>
      </c>
      <c r="E10" s="74">
        <v>6000</v>
      </c>
      <c r="F10" s="74">
        <f t="shared" si="1"/>
        <v>6000</v>
      </c>
      <c r="G10" s="82"/>
      <c r="K10" s="33"/>
      <c r="L10" s="33"/>
      <c r="M10" s="33"/>
      <c r="N10" s="33"/>
      <c r="O10" s="33"/>
      <c r="P10" s="33"/>
    </row>
    <row r="11" spans="1:16" ht="30" x14ac:dyDescent="0.25">
      <c r="A11" s="78">
        <f t="shared" si="0"/>
        <v>1.6000000000000005</v>
      </c>
      <c r="B11" s="79" t="s">
        <v>126</v>
      </c>
      <c r="C11" s="80">
        <v>1</v>
      </c>
      <c r="D11" s="81" t="s">
        <v>121</v>
      </c>
      <c r="E11" s="74">
        <f>ROUND(1400*3,2)</f>
        <v>4200</v>
      </c>
      <c r="F11" s="74">
        <f t="shared" si="1"/>
        <v>4200</v>
      </c>
      <c r="G11" s="82"/>
      <c r="I11" s="83"/>
      <c r="J11" s="84"/>
      <c r="K11" s="33"/>
      <c r="L11" s="33"/>
      <c r="M11" s="33"/>
      <c r="N11" s="33"/>
      <c r="O11" s="33"/>
      <c r="P11" s="33"/>
    </row>
    <row r="12" spans="1:16" x14ac:dyDescent="0.25">
      <c r="A12" s="71">
        <v>2</v>
      </c>
      <c r="B12" s="85" t="s">
        <v>127</v>
      </c>
      <c r="C12" s="80"/>
      <c r="D12" s="86"/>
      <c r="E12" s="74"/>
      <c r="F12" s="74"/>
      <c r="G12" s="75">
        <f>SUM(F13:F17)</f>
        <v>67296.149999999994</v>
      </c>
      <c r="I12" s="83"/>
      <c r="J12" s="77"/>
      <c r="K12" s="33"/>
      <c r="L12" s="33"/>
      <c r="M12" s="33"/>
      <c r="N12" s="33"/>
      <c r="O12" s="33"/>
      <c r="P12" s="33"/>
    </row>
    <row r="13" spans="1:16" x14ac:dyDescent="0.25">
      <c r="A13" s="78">
        <f>A12+0.1</f>
        <v>2.1</v>
      </c>
      <c r="B13" s="79" t="s">
        <v>128</v>
      </c>
      <c r="C13" s="80">
        <f>+CANTIDADES!H63</f>
        <v>3454.1200000000003</v>
      </c>
      <c r="D13" s="81" t="s">
        <v>129</v>
      </c>
      <c r="E13" s="74">
        <f>+ROUND(9.50910782516476,2)</f>
        <v>9.51</v>
      </c>
      <c r="F13" s="74">
        <f t="shared" si="1"/>
        <v>32848.68</v>
      </c>
      <c r="G13" s="82"/>
      <c r="I13" s="83"/>
      <c r="J13" s="84"/>
      <c r="K13" s="87"/>
      <c r="L13" s="33"/>
      <c r="M13" s="33"/>
      <c r="N13" s="33"/>
      <c r="O13" s="33"/>
      <c r="P13" s="33"/>
    </row>
    <row r="14" spans="1:16" x14ac:dyDescent="0.25">
      <c r="A14" s="78">
        <f t="shared" ref="A14:A17" si="2">A13+0.1</f>
        <v>2.2000000000000002</v>
      </c>
      <c r="B14" s="79" t="s">
        <v>130</v>
      </c>
      <c r="C14" s="80">
        <v>805</v>
      </c>
      <c r="D14" s="81" t="s">
        <v>131</v>
      </c>
      <c r="E14" s="74">
        <v>1.5</v>
      </c>
      <c r="F14" s="74">
        <f t="shared" si="1"/>
        <v>1207.5</v>
      </c>
      <c r="G14" s="82"/>
      <c r="I14" s="76"/>
      <c r="J14" s="84"/>
      <c r="K14" s="33"/>
      <c r="L14" s="33"/>
      <c r="M14" s="33"/>
      <c r="N14" s="33"/>
      <c r="O14" s="33"/>
      <c r="P14" s="33"/>
    </row>
    <row r="15" spans="1:16" ht="30" x14ac:dyDescent="0.25">
      <c r="A15" s="78">
        <f t="shared" si="2"/>
        <v>2.3000000000000003</v>
      </c>
      <c r="B15" s="79" t="s">
        <v>132</v>
      </c>
      <c r="C15" s="80">
        <f>+ROUND(C13*0.5,2)</f>
        <v>1727.06</v>
      </c>
      <c r="D15" s="81" t="s">
        <v>129</v>
      </c>
      <c r="E15" s="74">
        <v>11.74</v>
      </c>
      <c r="F15" s="74">
        <f t="shared" si="1"/>
        <v>20275.68</v>
      </c>
      <c r="G15" s="82"/>
      <c r="I15" s="33"/>
      <c r="J15" s="84"/>
      <c r="K15" s="33"/>
      <c r="L15" s="33"/>
      <c r="M15" s="33"/>
      <c r="N15" s="33"/>
      <c r="O15" s="33"/>
      <c r="P15" s="33"/>
    </row>
    <row r="16" spans="1:16" ht="30" x14ac:dyDescent="0.25">
      <c r="A16" s="78">
        <f t="shared" si="2"/>
        <v>2.4000000000000004</v>
      </c>
      <c r="B16" s="79" t="s">
        <v>133</v>
      </c>
      <c r="C16" s="80">
        <f>ROUND(+C13*0.5,2)</f>
        <v>1727.06</v>
      </c>
      <c r="D16" s="81" t="s">
        <v>129</v>
      </c>
      <c r="E16" s="74">
        <v>5.48</v>
      </c>
      <c r="F16" s="74">
        <f t="shared" si="1"/>
        <v>9464.2900000000009</v>
      </c>
      <c r="G16" s="82"/>
      <c r="I16" s="89"/>
      <c r="J16" s="84"/>
      <c r="K16" s="33"/>
      <c r="L16" s="33"/>
      <c r="M16" s="33"/>
      <c r="N16" s="33"/>
      <c r="O16" s="33"/>
      <c r="P16" s="33"/>
    </row>
    <row r="17" spans="1:16" x14ac:dyDescent="0.25">
      <c r="A17" s="78">
        <f t="shared" si="2"/>
        <v>2.5000000000000004</v>
      </c>
      <c r="B17" s="79" t="s">
        <v>134</v>
      </c>
      <c r="C17" s="80">
        <v>700</v>
      </c>
      <c r="D17" s="81" t="s">
        <v>131</v>
      </c>
      <c r="E17" s="74">
        <v>5</v>
      </c>
      <c r="F17" s="74">
        <f t="shared" si="1"/>
        <v>3500</v>
      </c>
      <c r="G17" s="82"/>
      <c r="I17" s="83"/>
      <c r="J17" s="84"/>
      <c r="K17" s="33"/>
      <c r="L17" s="33"/>
      <c r="M17" s="33"/>
      <c r="N17" s="66"/>
      <c r="O17" s="33"/>
      <c r="P17" s="87"/>
    </row>
    <row r="18" spans="1:16" ht="33" customHeight="1" x14ac:dyDescent="0.25">
      <c r="A18" s="71">
        <v>3</v>
      </c>
      <c r="B18" s="85" t="s">
        <v>135</v>
      </c>
      <c r="C18" s="80"/>
      <c r="D18" s="86"/>
      <c r="E18" s="74"/>
      <c r="F18" s="74"/>
      <c r="G18" s="75">
        <f>SUM(F19:F22)</f>
        <v>35364.97</v>
      </c>
      <c r="I18" s="83"/>
      <c r="J18" s="77"/>
      <c r="K18" s="33"/>
      <c r="L18" s="33"/>
      <c r="M18" s="33"/>
      <c r="N18" s="87"/>
      <c r="O18" s="33"/>
      <c r="P18" s="33"/>
    </row>
    <row r="19" spans="1:16" ht="15" customHeight="1" x14ac:dyDescent="0.25">
      <c r="A19" s="78">
        <f>A18+0.1</f>
        <v>3.1</v>
      </c>
      <c r="B19" s="79" t="s">
        <v>136</v>
      </c>
      <c r="C19" s="80">
        <v>16</v>
      </c>
      <c r="D19" s="81" t="s">
        <v>137</v>
      </c>
      <c r="E19" s="74">
        <v>1700</v>
      </c>
      <c r="F19" s="74">
        <f t="shared" si="1"/>
        <v>27200</v>
      </c>
      <c r="G19" s="82"/>
      <c r="I19" s="76"/>
      <c r="J19" s="84"/>
      <c r="K19" s="33"/>
      <c r="L19" s="33"/>
      <c r="M19" s="33"/>
      <c r="N19" s="33"/>
      <c r="O19" s="33"/>
      <c r="P19" s="33"/>
    </row>
    <row r="20" spans="1:16" ht="15" customHeight="1" x14ac:dyDescent="0.25">
      <c r="A20" s="78">
        <f t="shared" ref="A20:A22" si="3">A19+0.1</f>
        <v>3.2</v>
      </c>
      <c r="B20" s="79" t="s">
        <v>138</v>
      </c>
      <c r="C20" s="80">
        <v>5</v>
      </c>
      <c r="D20" s="81" t="s">
        <v>137</v>
      </c>
      <c r="E20" s="74">
        <v>450</v>
      </c>
      <c r="F20" s="74">
        <f t="shared" si="1"/>
        <v>2250</v>
      </c>
      <c r="G20" s="82"/>
      <c r="I20" s="83"/>
      <c r="J20" s="84"/>
      <c r="K20" s="33"/>
      <c r="L20" s="33"/>
      <c r="M20" s="33"/>
      <c r="N20" s="33"/>
      <c r="O20" s="33"/>
      <c r="P20" s="33"/>
    </row>
    <row r="21" spans="1:16" ht="30.75" customHeight="1" x14ac:dyDescent="0.25">
      <c r="A21" s="78">
        <f t="shared" si="3"/>
        <v>3.3000000000000003</v>
      </c>
      <c r="B21" s="90" t="s">
        <v>139</v>
      </c>
      <c r="C21" s="91">
        <v>1</v>
      </c>
      <c r="D21" s="92" t="s">
        <v>121</v>
      </c>
      <c r="E21" s="93">
        <v>2500</v>
      </c>
      <c r="F21" s="93">
        <f t="shared" si="1"/>
        <v>2500</v>
      </c>
      <c r="G21" s="94"/>
      <c r="I21" s="83"/>
      <c r="J21" s="95"/>
      <c r="K21" s="33"/>
      <c r="L21" s="33"/>
      <c r="M21" s="33"/>
      <c r="N21" s="33"/>
      <c r="O21" s="33"/>
      <c r="P21" s="33"/>
    </row>
    <row r="22" spans="1:16" ht="78.75" customHeight="1" x14ac:dyDescent="0.25">
      <c r="A22" s="78">
        <f t="shared" si="3"/>
        <v>3.4000000000000004</v>
      </c>
      <c r="B22" s="90" t="s">
        <v>322</v>
      </c>
      <c r="C22" s="91">
        <v>1</v>
      </c>
      <c r="D22" s="92" t="s">
        <v>144</v>
      </c>
      <c r="E22" s="93">
        <f>1417+1997.97</f>
        <v>3414.9700000000003</v>
      </c>
      <c r="F22" s="93">
        <f t="shared" si="1"/>
        <v>3414.97</v>
      </c>
      <c r="G22" s="94"/>
      <c r="I22" s="83"/>
      <c r="J22" s="95"/>
      <c r="K22" s="33"/>
      <c r="L22" s="33"/>
      <c r="M22" s="33"/>
      <c r="N22" s="33"/>
      <c r="O22" s="33"/>
      <c r="P22" s="33"/>
    </row>
    <row r="23" spans="1:16" ht="34.5" customHeight="1" x14ac:dyDescent="0.25">
      <c r="A23" s="71">
        <v>4</v>
      </c>
      <c r="B23" s="96" t="s">
        <v>140</v>
      </c>
      <c r="C23" s="80"/>
      <c r="D23" s="81"/>
      <c r="E23" s="74"/>
      <c r="F23" s="74"/>
      <c r="G23" s="75">
        <f>SUM(F24:F25)</f>
        <v>22050</v>
      </c>
      <c r="I23" s="83"/>
      <c r="J23" s="77"/>
      <c r="K23" s="33"/>
      <c r="L23" s="33"/>
      <c r="M23" s="33"/>
      <c r="N23" s="33"/>
      <c r="O23" s="33"/>
      <c r="P23" s="33"/>
    </row>
    <row r="24" spans="1:16" ht="34.5" customHeight="1" x14ac:dyDescent="0.25">
      <c r="A24" s="97">
        <v>4.0999999999999996</v>
      </c>
      <c r="B24" s="98" t="s">
        <v>141</v>
      </c>
      <c r="C24" s="91">
        <v>1</v>
      </c>
      <c r="D24" s="92" t="s">
        <v>137</v>
      </c>
      <c r="E24" s="93">
        <v>16000</v>
      </c>
      <c r="F24" s="74">
        <f t="shared" si="1"/>
        <v>16000</v>
      </c>
      <c r="G24" s="75"/>
      <c r="I24" s="83"/>
      <c r="J24" s="77"/>
      <c r="K24" s="33"/>
      <c r="L24" s="33"/>
      <c r="M24" s="33"/>
      <c r="N24" s="33"/>
      <c r="O24" s="33"/>
      <c r="P24" s="33"/>
    </row>
    <row r="25" spans="1:16" ht="15" customHeight="1" x14ac:dyDescent="0.25">
      <c r="A25" s="78">
        <f>+A23+0.1</f>
        <v>4.0999999999999996</v>
      </c>
      <c r="B25" s="79" t="s">
        <v>142</v>
      </c>
      <c r="C25" s="80">
        <v>1</v>
      </c>
      <c r="D25" s="81" t="s">
        <v>121</v>
      </c>
      <c r="E25" s="74">
        <v>6050</v>
      </c>
      <c r="F25" s="74">
        <f t="shared" si="1"/>
        <v>6050</v>
      </c>
      <c r="G25" s="75"/>
      <c r="I25" s="83"/>
      <c r="J25" s="77"/>
      <c r="K25" s="33"/>
      <c r="L25" s="33"/>
      <c r="M25" s="33"/>
      <c r="N25" s="33"/>
      <c r="O25" s="33"/>
      <c r="P25" s="33"/>
    </row>
    <row r="26" spans="1:16" ht="15" customHeight="1" x14ac:dyDescent="0.25">
      <c r="A26" s="99"/>
      <c r="B26" s="79"/>
      <c r="C26" s="80"/>
      <c r="D26" s="81"/>
      <c r="E26" s="74"/>
      <c r="F26" s="74"/>
      <c r="G26" s="75"/>
      <c r="I26" s="83"/>
      <c r="J26" s="77"/>
      <c r="K26" s="33"/>
      <c r="L26" s="33"/>
      <c r="M26" s="33"/>
      <c r="N26" s="33"/>
      <c r="O26" s="33"/>
      <c r="P26" s="33"/>
    </row>
    <row r="27" spans="1:16" ht="33" customHeight="1" x14ac:dyDescent="0.25">
      <c r="A27" s="100">
        <v>5</v>
      </c>
      <c r="B27" s="96" t="s">
        <v>143</v>
      </c>
      <c r="C27" s="101">
        <v>1</v>
      </c>
      <c r="D27" s="100" t="s">
        <v>121</v>
      </c>
      <c r="E27" s="102">
        <v>6030</v>
      </c>
      <c r="F27" s="102">
        <f t="shared" si="1"/>
        <v>6030</v>
      </c>
      <c r="G27" s="103">
        <f>SUM(F27)</f>
        <v>6030</v>
      </c>
      <c r="I27" s="83"/>
      <c r="J27" s="77"/>
      <c r="K27" s="33"/>
      <c r="L27" s="33"/>
      <c r="M27" s="33"/>
      <c r="N27" s="33"/>
      <c r="O27" s="33"/>
      <c r="P27" s="33"/>
    </row>
    <row r="28" spans="1:16" ht="21" customHeight="1" x14ac:dyDescent="0.25">
      <c r="A28" s="71">
        <v>6</v>
      </c>
      <c r="B28" s="104" t="s">
        <v>105</v>
      </c>
      <c r="C28" s="105">
        <v>1</v>
      </c>
      <c r="D28" s="106" t="s">
        <v>144</v>
      </c>
      <c r="E28" s="84">
        <f>+ROUND((G5+G12+G18+G23+G27)*0.0734405,2)</f>
        <v>10773.07</v>
      </c>
      <c r="F28" s="74">
        <f t="shared" si="1"/>
        <v>10773.07</v>
      </c>
      <c r="G28" s="75">
        <f>SUM(F28)</f>
        <v>10773.07</v>
      </c>
      <c r="I28" s="89"/>
      <c r="J28" s="84"/>
      <c r="K28" s="33"/>
      <c r="L28" s="33"/>
      <c r="M28" s="33"/>
      <c r="N28" s="33"/>
      <c r="O28" s="33"/>
      <c r="P28" s="33"/>
    </row>
    <row r="29" spans="1:16" ht="43.5" customHeight="1" x14ac:dyDescent="0.3">
      <c r="A29" s="107"/>
      <c r="B29" s="108" t="s">
        <v>145</v>
      </c>
      <c r="C29" s="109"/>
      <c r="D29" s="110"/>
      <c r="E29" s="111"/>
      <c r="F29" s="111"/>
      <c r="G29" s="112">
        <f>SUM(G5:G28)</f>
        <v>157464.19</v>
      </c>
      <c r="I29" s="83"/>
      <c r="J29" s="33"/>
      <c r="K29" s="33"/>
      <c r="L29" s="33"/>
      <c r="M29" s="33"/>
      <c r="N29" s="33"/>
      <c r="O29" s="33"/>
      <c r="P29" s="33"/>
    </row>
    <row r="30" spans="1:16" ht="15.75" x14ac:dyDescent="0.25">
      <c r="A30" s="150"/>
      <c r="B30" s="151"/>
      <c r="C30" s="152"/>
      <c r="D30" s="152"/>
      <c r="E30" s="153"/>
      <c r="F30" s="151"/>
      <c r="G30" s="151"/>
    </row>
  </sheetData>
  <mergeCells count="1">
    <mergeCell ref="B1:G1"/>
  </mergeCells>
  <pageMargins left="0.7" right="0.7" top="0.75" bottom="0.75" header="0.3" footer="0.3"/>
  <pageSetup paperSize="9" scale="64" orientation="portrait" r:id="rId1"/>
  <colBreaks count="1" manualBreakCount="1">
    <brk id="7"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4:R64"/>
  <sheetViews>
    <sheetView topLeftCell="C52" workbookViewId="0">
      <selection activeCell="J56" sqref="J56"/>
    </sheetView>
  </sheetViews>
  <sheetFormatPr baseColWidth="10" defaultRowHeight="15" x14ac:dyDescent="0.25"/>
  <cols>
    <col min="2" max="2" width="18.42578125" customWidth="1"/>
    <col min="5" max="5" width="9.28515625" customWidth="1"/>
    <col min="6" max="6" width="9.5703125" customWidth="1"/>
    <col min="7" max="7" width="11.28515625" customWidth="1"/>
    <col min="8" max="8" width="11.5703125" customWidth="1"/>
    <col min="9" max="9" width="10.85546875" customWidth="1"/>
  </cols>
  <sheetData>
    <row r="4" spans="2:10" ht="15.75" thickBot="1" x14ac:dyDescent="0.3"/>
    <row r="5" spans="2:10" ht="30" customHeight="1" x14ac:dyDescent="0.25">
      <c r="B5" s="278" t="s">
        <v>375</v>
      </c>
      <c r="C5" s="279"/>
      <c r="D5" s="279"/>
      <c r="E5" s="280"/>
      <c r="F5" s="281" t="s">
        <v>376</v>
      </c>
      <c r="G5" s="717" t="s">
        <v>478</v>
      </c>
      <c r="H5" s="718"/>
      <c r="I5" s="718"/>
      <c r="J5" s="719"/>
    </row>
    <row r="6" spans="2:10" x14ac:dyDescent="0.25">
      <c r="B6" s="282" t="s">
        <v>377</v>
      </c>
      <c r="C6" s="283"/>
      <c r="D6" s="283"/>
      <c r="E6" s="284"/>
      <c r="F6" s="285" t="s">
        <v>376</v>
      </c>
      <c r="G6" s="286"/>
      <c r="H6" s="286"/>
      <c r="I6" s="286"/>
      <c r="J6" s="285"/>
    </row>
    <row r="7" spans="2:10" x14ac:dyDescent="0.25">
      <c r="B7" s="287" t="s">
        <v>378</v>
      </c>
      <c r="C7" s="288">
        <f ca="1">NOW()</f>
        <v>42844.719014120368</v>
      </c>
      <c r="D7" s="284"/>
      <c r="E7" s="284"/>
      <c r="F7" s="285" t="s">
        <v>376</v>
      </c>
      <c r="G7" s="286" t="s">
        <v>379</v>
      </c>
      <c r="H7" s="363"/>
      <c r="I7" s="364"/>
      <c r="J7" s="285"/>
    </row>
    <row r="8" spans="2:10" x14ac:dyDescent="0.25">
      <c r="B8" s="287"/>
      <c r="C8" s="284"/>
      <c r="D8" s="284"/>
      <c r="E8" s="284"/>
      <c r="F8" s="285" t="s">
        <v>376</v>
      </c>
      <c r="G8" s="286" t="s">
        <v>380</v>
      </c>
      <c r="H8" s="289"/>
      <c r="I8" s="286"/>
      <c r="J8" s="471">
        <f>+J38</f>
        <v>462.78</v>
      </c>
    </row>
    <row r="9" spans="2:10" ht="35.25" customHeight="1" x14ac:dyDescent="0.25">
      <c r="B9" s="714" t="s">
        <v>413</v>
      </c>
      <c r="C9" s="715"/>
      <c r="D9" s="715"/>
      <c r="E9" s="715"/>
      <c r="F9" s="716"/>
      <c r="G9" s="286" t="s">
        <v>381</v>
      </c>
      <c r="H9" s="290"/>
      <c r="I9" s="286"/>
      <c r="J9" s="472">
        <f>+J46</f>
        <v>20</v>
      </c>
    </row>
    <row r="10" spans="2:10" x14ac:dyDescent="0.25">
      <c r="B10" s="287" t="s">
        <v>382</v>
      </c>
      <c r="C10" s="284"/>
      <c r="D10" s="284"/>
      <c r="E10" s="284"/>
      <c r="F10" s="285"/>
      <c r="G10" s="286" t="s">
        <v>383</v>
      </c>
      <c r="H10" s="291"/>
      <c r="I10" s="286"/>
      <c r="J10" s="471">
        <f>+J54</f>
        <v>80.039999999999992</v>
      </c>
    </row>
    <row r="11" spans="2:10" x14ac:dyDescent="0.25">
      <c r="B11" s="287" t="s">
        <v>384</v>
      </c>
      <c r="C11" s="292"/>
      <c r="D11" s="284" t="s">
        <v>376</v>
      </c>
      <c r="E11" s="293">
        <v>33.71</v>
      </c>
      <c r="F11" s="285" t="s">
        <v>131</v>
      </c>
      <c r="G11" s="286" t="s">
        <v>385</v>
      </c>
      <c r="H11" s="290"/>
      <c r="I11" s="286"/>
      <c r="J11" s="471">
        <f>SUM(J8:J10)</f>
        <v>562.81999999999994</v>
      </c>
    </row>
    <row r="12" spans="2:10" x14ac:dyDescent="0.25">
      <c r="B12" s="287" t="s">
        <v>386</v>
      </c>
      <c r="C12" s="284"/>
      <c r="D12" s="284"/>
      <c r="E12" s="284" t="s">
        <v>376</v>
      </c>
      <c r="F12" s="285" t="s">
        <v>131</v>
      </c>
      <c r="G12" s="286" t="s">
        <v>387</v>
      </c>
      <c r="H12" s="294"/>
      <c r="I12" s="286"/>
      <c r="J12" s="285"/>
    </row>
    <row r="13" spans="2:10" x14ac:dyDescent="0.25">
      <c r="B13" s="295" t="s">
        <v>388</v>
      </c>
      <c r="C13" s="296"/>
      <c r="D13" s="284" t="s">
        <v>131</v>
      </c>
      <c r="E13" s="297">
        <f>ROUND(+J62/E11,2)</f>
        <v>16.7</v>
      </c>
      <c r="F13" s="285" t="s">
        <v>131</v>
      </c>
      <c r="G13" s="286"/>
      <c r="H13" s="298"/>
      <c r="I13" s="286"/>
      <c r="J13" s="285"/>
    </row>
    <row r="14" spans="2:10" x14ac:dyDescent="0.25">
      <c r="B14" s="287" t="s">
        <v>376</v>
      </c>
      <c r="C14" s="284"/>
      <c r="D14" s="284"/>
      <c r="E14" s="284"/>
      <c r="F14" s="285"/>
      <c r="G14" s="286"/>
      <c r="H14" s="286"/>
      <c r="I14" s="286"/>
      <c r="J14" s="285"/>
    </row>
    <row r="15" spans="2:10" ht="15.75" thickBot="1" x14ac:dyDescent="0.3">
      <c r="B15" s="299"/>
      <c r="C15" s="300"/>
      <c r="D15" s="300"/>
      <c r="E15" s="300"/>
      <c r="F15" s="301"/>
      <c r="G15" s="286"/>
      <c r="H15" s="286"/>
      <c r="I15" s="286"/>
      <c r="J15" s="285"/>
    </row>
    <row r="16" spans="2:10" ht="15.75" thickBot="1" x14ac:dyDescent="0.3">
      <c r="B16" s="302" t="s">
        <v>389</v>
      </c>
      <c r="C16" s="303"/>
      <c r="D16" s="303"/>
      <c r="E16" s="303"/>
      <c r="F16" s="300"/>
      <c r="G16" s="304"/>
      <c r="H16" s="304"/>
      <c r="I16" s="304"/>
      <c r="J16" s="305"/>
    </row>
    <row r="17" spans="2:10" ht="23.25" x14ac:dyDescent="0.25">
      <c r="B17" s="306" t="s">
        <v>390</v>
      </c>
      <c r="C17" s="307"/>
      <c r="D17" s="308"/>
      <c r="E17" s="309" t="s">
        <v>391</v>
      </c>
      <c r="F17" s="309" t="s">
        <v>392</v>
      </c>
      <c r="G17" s="362" t="s">
        <v>393</v>
      </c>
      <c r="H17" s="310" t="s">
        <v>394</v>
      </c>
      <c r="I17" s="310" t="s">
        <v>395</v>
      </c>
      <c r="J17" s="311"/>
    </row>
    <row r="18" spans="2:10" x14ac:dyDescent="0.25">
      <c r="B18" s="312"/>
      <c r="C18" s="313" t="s">
        <v>376</v>
      </c>
      <c r="D18" s="314"/>
      <c r="E18" s="315"/>
      <c r="F18" s="315"/>
      <c r="G18" s="316"/>
      <c r="H18" s="317"/>
      <c r="I18" s="316"/>
      <c r="J18" s="311"/>
    </row>
    <row r="19" spans="2:10" x14ac:dyDescent="0.25">
      <c r="B19" s="312"/>
      <c r="C19" s="313"/>
      <c r="D19" s="318"/>
      <c r="E19" s="315" t="s">
        <v>376</v>
      </c>
      <c r="F19" s="315" t="s">
        <v>376</v>
      </c>
      <c r="G19" s="316"/>
      <c r="H19" s="316"/>
      <c r="I19" s="316"/>
      <c r="J19" s="311"/>
    </row>
    <row r="20" spans="2:10" x14ac:dyDescent="0.25">
      <c r="B20" s="312"/>
      <c r="C20" s="313"/>
      <c r="D20" s="318"/>
      <c r="E20" s="315" t="s">
        <v>376</v>
      </c>
      <c r="F20" s="315" t="s">
        <v>376</v>
      </c>
      <c r="G20" s="316"/>
      <c r="H20" s="316"/>
      <c r="I20" s="316"/>
      <c r="J20" s="311"/>
    </row>
    <row r="21" spans="2:10" x14ac:dyDescent="0.25">
      <c r="B21" s="312" t="s">
        <v>376</v>
      </c>
      <c r="C21" s="313"/>
      <c r="D21" s="318"/>
      <c r="E21" s="315" t="s">
        <v>376</v>
      </c>
      <c r="F21" s="315" t="s">
        <v>376</v>
      </c>
      <c r="G21" s="316" t="s">
        <v>376</v>
      </c>
      <c r="H21" s="316" t="s">
        <v>376</v>
      </c>
      <c r="I21" s="316"/>
      <c r="J21" s="311"/>
    </row>
    <row r="22" spans="2:10" x14ac:dyDescent="0.25">
      <c r="B22" s="312"/>
      <c r="C22" s="313"/>
      <c r="D22" s="318"/>
      <c r="E22" s="315"/>
      <c r="F22" s="315"/>
      <c r="G22" s="316"/>
      <c r="H22" s="316"/>
      <c r="I22" s="316"/>
      <c r="J22" s="311"/>
    </row>
    <row r="23" spans="2:10" x14ac:dyDescent="0.25">
      <c r="B23" s="306"/>
      <c r="C23" s="307"/>
      <c r="D23" s="308"/>
      <c r="E23" s="315"/>
      <c r="F23" s="315"/>
      <c r="G23" s="316"/>
      <c r="H23" s="316"/>
      <c r="I23" s="316"/>
      <c r="J23" s="319"/>
    </row>
    <row r="24" spans="2:10" ht="15.75" thickBot="1" x14ac:dyDescent="0.3">
      <c r="B24" s="320"/>
      <c r="C24" s="321"/>
      <c r="D24" s="321"/>
      <c r="E24" s="321"/>
      <c r="F24" s="321"/>
      <c r="G24" s="322"/>
      <c r="H24" s="322"/>
      <c r="I24" s="323" t="s">
        <v>395</v>
      </c>
      <c r="J24" s="324"/>
    </row>
    <row r="25" spans="2:10" ht="15.75" thickBot="1" x14ac:dyDescent="0.3">
      <c r="B25" s="325" t="s">
        <v>396</v>
      </c>
      <c r="C25" s="326"/>
      <c r="D25" s="327"/>
      <c r="E25" s="327"/>
      <c r="F25" s="328"/>
      <c r="G25" s="329"/>
      <c r="H25" s="329"/>
      <c r="I25" s="329"/>
      <c r="J25" s="305"/>
    </row>
    <row r="26" spans="2:10" x14ac:dyDescent="0.25">
      <c r="B26" s="330" t="s">
        <v>397</v>
      </c>
      <c r="C26" s="331"/>
      <c r="D26" s="331"/>
      <c r="E26" s="332"/>
      <c r="F26" s="309" t="s">
        <v>117</v>
      </c>
      <c r="G26" s="310" t="s">
        <v>398</v>
      </c>
      <c r="H26" s="310" t="s">
        <v>116</v>
      </c>
      <c r="I26" s="310" t="s">
        <v>395</v>
      </c>
      <c r="J26" s="311"/>
    </row>
    <row r="27" spans="2:10" x14ac:dyDescent="0.25">
      <c r="B27" s="312" t="s">
        <v>431</v>
      </c>
      <c r="C27" s="313"/>
      <c r="D27" s="313"/>
      <c r="E27" s="318"/>
      <c r="F27" s="315" t="s">
        <v>248</v>
      </c>
      <c r="G27" s="333">
        <v>37.97</v>
      </c>
      <c r="H27" s="316">
        <v>5.62</v>
      </c>
      <c r="I27" s="316">
        <f>+ROUND(G27*H27,2)</f>
        <v>213.39</v>
      </c>
      <c r="J27" s="311"/>
    </row>
    <row r="28" spans="2:10" x14ac:dyDescent="0.25">
      <c r="B28" s="312" t="s">
        <v>414</v>
      </c>
      <c r="C28" s="313"/>
      <c r="D28" s="313"/>
      <c r="E28" s="318"/>
      <c r="F28" s="315" t="s">
        <v>131</v>
      </c>
      <c r="G28" s="333">
        <v>1.47</v>
      </c>
      <c r="H28" s="316">
        <v>2</v>
      </c>
      <c r="I28" s="316">
        <f t="shared" ref="I28:I37" si="0">+ROUND(G28*H28,2)</f>
        <v>2.94</v>
      </c>
      <c r="J28" s="311"/>
    </row>
    <row r="29" spans="2:10" x14ac:dyDescent="0.25">
      <c r="B29" s="312" t="s">
        <v>419</v>
      </c>
      <c r="C29" s="313"/>
      <c r="D29" s="313"/>
      <c r="E29" s="318"/>
      <c r="F29" s="315" t="s">
        <v>137</v>
      </c>
      <c r="G29" s="333">
        <v>12</v>
      </c>
      <c r="H29" s="316">
        <v>8</v>
      </c>
      <c r="I29" s="316">
        <f t="shared" si="0"/>
        <v>96</v>
      </c>
      <c r="J29" s="311"/>
    </row>
    <row r="30" spans="2:10" x14ac:dyDescent="0.25">
      <c r="B30" s="312" t="s">
        <v>415</v>
      </c>
      <c r="C30" s="313"/>
      <c r="D30" s="313"/>
      <c r="E30" s="318"/>
      <c r="F30" s="315" t="s">
        <v>137</v>
      </c>
      <c r="G30" s="333">
        <v>0.08</v>
      </c>
      <c r="H30" s="316">
        <v>6</v>
      </c>
      <c r="I30" s="316">
        <f t="shared" si="0"/>
        <v>0.48</v>
      </c>
      <c r="J30" s="311"/>
    </row>
    <row r="31" spans="2:10" x14ac:dyDescent="0.25">
      <c r="B31" s="312" t="s">
        <v>420</v>
      </c>
      <c r="C31" s="313"/>
      <c r="D31" s="313"/>
      <c r="E31" s="318"/>
      <c r="F31" s="315" t="s">
        <v>137</v>
      </c>
      <c r="G31" s="333">
        <v>12</v>
      </c>
      <c r="H31" s="316">
        <v>2</v>
      </c>
      <c r="I31" s="316">
        <f t="shared" si="0"/>
        <v>24</v>
      </c>
      <c r="J31" s="311"/>
    </row>
    <row r="32" spans="2:10" x14ac:dyDescent="0.25">
      <c r="B32" s="312" t="s">
        <v>416</v>
      </c>
      <c r="C32" s="313"/>
      <c r="D32" s="313"/>
      <c r="E32" s="318"/>
      <c r="F32" s="315" t="s">
        <v>137</v>
      </c>
      <c r="G32" s="334">
        <v>3</v>
      </c>
      <c r="H32" s="316">
        <v>3</v>
      </c>
      <c r="I32" s="316">
        <f t="shared" si="0"/>
        <v>9</v>
      </c>
      <c r="J32" s="311"/>
    </row>
    <row r="33" spans="2:10" x14ac:dyDescent="0.25">
      <c r="B33" s="312" t="s">
        <v>417</v>
      </c>
      <c r="C33" s="313"/>
      <c r="D33" s="313"/>
      <c r="E33" s="318"/>
      <c r="F33" s="315" t="s">
        <v>137</v>
      </c>
      <c r="G33" s="334">
        <v>4</v>
      </c>
      <c r="H33" s="316">
        <v>0.08</v>
      </c>
      <c r="I33" s="316">
        <f t="shared" si="0"/>
        <v>0.32</v>
      </c>
      <c r="J33" s="311"/>
    </row>
    <row r="34" spans="2:10" x14ac:dyDescent="0.25">
      <c r="B34" s="312" t="s">
        <v>418</v>
      </c>
      <c r="C34" s="313"/>
      <c r="D34" s="313"/>
      <c r="E34" s="318"/>
      <c r="F34" s="315" t="s">
        <v>137</v>
      </c>
      <c r="G34" s="334">
        <v>2.25</v>
      </c>
      <c r="H34" s="316">
        <v>1</v>
      </c>
      <c r="I34" s="316">
        <f t="shared" si="0"/>
        <v>2.25</v>
      </c>
      <c r="J34" s="311"/>
    </row>
    <row r="35" spans="2:10" x14ac:dyDescent="0.25">
      <c r="B35" s="312" t="s">
        <v>421</v>
      </c>
      <c r="C35" s="313"/>
      <c r="D35" s="313"/>
      <c r="E35" s="318"/>
      <c r="F35" s="315" t="s">
        <v>137</v>
      </c>
      <c r="G35" s="334">
        <v>12</v>
      </c>
      <c r="H35" s="316">
        <v>8</v>
      </c>
      <c r="I35" s="316">
        <f t="shared" si="0"/>
        <v>96</v>
      </c>
      <c r="J35" s="311"/>
    </row>
    <row r="36" spans="2:10" x14ac:dyDescent="0.25">
      <c r="B36" s="306" t="s">
        <v>422</v>
      </c>
      <c r="C36" s="307"/>
      <c r="D36" s="307"/>
      <c r="E36" s="308"/>
      <c r="F36" s="315" t="s">
        <v>137</v>
      </c>
      <c r="G36" s="316">
        <v>12</v>
      </c>
      <c r="H36" s="316">
        <v>1</v>
      </c>
      <c r="I36" s="316">
        <f t="shared" si="0"/>
        <v>12</v>
      </c>
      <c r="J36" s="311"/>
    </row>
    <row r="37" spans="2:10" x14ac:dyDescent="0.25">
      <c r="B37" s="306" t="s">
        <v>430</v>
      </c>
      <c r="C37" s="307"/>
      <c r="D37" s="307"/>
      <c r="E37" s="308"/>
      <c r="F37" s="315">
        <v>1</v>
      </c>
      <c r="G37" s="316">
        <f>+ROUND(0.016*200,2)</f>
        <v>3.2</v>
      </c>
      <c r="H37" s="316">
        <v>2</v>
      </c>
      <c r="I37" s="316">
        <f t="shared" si="0"/>
        <v>6.4</v>
      </c>
      <c r="J37" s="319"/>
    </row>
    <row r="38" spans="2:10" ht="15.75" thickBot="1" x14ac:dyDescent="0.3">
      <c r="B38" s="320"/>
      <c r="C38" s="321"/>
      <c r="D38" s="321" t="s">
        <v>399</v>
      </c>
      <c r="E38" s="321"/>
      <c r="F38" s="321"/>
      <c r="G38" s="322"/>
      <c r="H38" s="322"/>
      <c r="I38" s="323" t="s">
        <v>395</v>
      </c>
      <c r="J38" s="324">
        <f>SUM(I27:I37)</f>
        <v>462.78</v>
      </c>
    </row>
    <row r="39" spans="2:10" ht="15.75" thickBot="1" x14ac:dyDescent="0.3">
      <c r="B39" s="325" t="s">
        <v>400</v>
      </c>
      <c r="C39" s="326"/>
      <c r="D39" s="327"/>
      <c r="E39" s="327"/>
      <c r="F39" s="328"/>
      <c r="G39" s="329"/>
      <c r="H39" s="329"/>
      <c r="I39" s="329"/>
      <c r="J39" s="305"/>
    </row>
    <row r="40" spans="2:10" x14ac:dyDescent="0.25">
      <c r="B40" s="330" t="s">
        <v>397</v>
      </c>
      <c r="C40" s="331"/>
      <c r="D40" s="332"/>
      <c r="E40" s="309" t="s">
        <v>350</v>
      </c>
      <c r="F40" s="309" t="s">
        <v>401</v>
      </c>
      <c r="G40" s="310" t="s">
        <v>402</v>
      </c>
      <c r="H40" s="310" t="s">
        <v>117</v>
      </c>
      <c r="I40" s="310" t="s">
        <v>395</v>
      </c>
      <c r="J40" s="311"/>
    </row>
    <row r="41" spans="2:10" x14ac:dyDescent="0.25">
      <c r="B41" s="330" t="s">
        <v>423</v>
      </c>
      <c r="C41" s="331"/>
      <c r="D41" s="332"/>
      <c r="E41" s="336"/>
      <c r="F41" s="337"/>
      <c r="G41" s="338">
        <v>20</v>
      </c>
      <c r="H41" s="338" t="s">
        <v>121</v>
      </c>
      <c r="I41" s="338">
        <f>+G41</f>
        <v>20</v>
      </c>
      <c r="J41" s="311"/>
    </row>
    <row r="42" spans="2:10" x14ac:dyDescent="0.25">
      <c r="B42" s="330"/>
      <c r="C42" s="331"/>
      <c r="D42" s="332"/>
      <c r="E42" s="337"/>
      <c r="F42" s="337"/>
      <c r="G42" s="338"/>
      <c r="H42" s="338"/>
      <c r="I42" s="338"/>
      <c r="J42" s="311"/>
    </row>
    <row r="43" spans="2:10" x14ac:dyDescent="0.25">
      <c r="B43" s="312"/>
      <c r="C43" s="313"/>
      <c r="D43" s="318"/>
      <c r="E43" s="335"/>
      <c r="F43" s="335"/>
      <c r="G43" s="316"/>
      <c r="H43" s="316"/>
      <c r="I43" s="316"/>
      <c r="J43" s="311"/>
    </row>
    <row r="44" spans="2:10" x14ac:dyDescent="0.25">
      <c r="B44" s="312"/>
      <c r="C44" s="313"/>
      <c r="D44" s="318"/>
      <c r="E44" s="335"/>
      <c r="F44" s="335"/>
      <c r="G44" s="316"/>
      <c r="H44" s="316"/>
      <c r="I44" s="316"/>
      <c r="J44" s="311"/>
    </row>
    <row r="45" spans="2:10" x14ac:dyDescent="0.25">
      <c r="B45" s="306"/>
      <c r="C45" s="307"/>
      <c r="D45" s="308"/>
      <c r="E45" s="335"/>
      <c r="F45" s="335"/>
      <c r="G45" s="316"/>
      <c r="H45" s="316"/>
      <c r="I45" s="316"/>
      <c r="J45" s="319"/>
    </row>
    <row r="46" spans="2:10" ht="15.75" thickBot="1" x14ac:dyDescent="0.3">
      <c r="B46" s="320"/>
      <c r="C46" s="321"/>
      <c r="D46" s="321"/>
      <c r="E46" s="321"/>
      <c r="F46" s="321"/>
      <c r="G46" s="322"/>
      <c r="H46" s="322"/>
      <c r="I46" s="323" t="s">
        <v>395</v>
      </c>
      <c r="J46" s="339">
        <f>SUM(I41:I45)</f>
        <v>20</v>
      </c>
    </row>
    <row r="47" spans="2:10" ht="15.75" thickBot="1" x14ac:dyDescent="0.3">
      <c r="B47" s="340" t="s">
        <v>403</v>
      </c>
      <c r="C47" s="341"/>
      <c r="D47" s="342"/>
      <c r="E47" s="342"/>
      <c r="F47" s="328"/>
      <c r="G47" s="329"/>
      <c r="H47" s="329"/>
      <c r="I47" s="329"/>
      <c r="J47" s="305"/>
    </row>
    <row r="48" spans="2:10" x14ac:dyDescent="0.25">
      <c r="B48" s="306" t="s">
        <v>404</v>
      </c>
      <c r="C48" s="307"/>
      <c r="D48" s="308"/>
      <c r="E48" s="343" t="s">
        <v>405</v>
      </c>
      <c r="F48" s="343" t="s">
        <v>406</v>
      </c>
      <c r="G48" s="344" t="s">
        <v>407</v>
      </c>
      <c r="H48" s="344" t="s">
        <v>394</v>
      </c>
      <c r="I48" s="344" t="s">
        <v>395</v>
      </c>
      <c r="J48" s="311"/>
    </row>
    <row r="49" spans="2:18" x14ac:dyDescent="0.25">
      <c r="B49" s="312" t="s">
        <v>424</v>
      </c>
      <c r="C49" s="313"/>
      <c r="D49" s="318"/>
      <c r="E49" s="345">
        <v>15</v>
      </c>
      <c r="F49" s="346"/>
      <c r="G49" s="347">
        <v>3</v>
      </c>
      <c r="H49" s="316"/>
      <c r="I49" s="316">
        <f>ROUND(+E49*G49,2)</f>
        <v>45</v>
      </c>
      <c r="J49" s="311"/>
    </row>
    <row r="50" spans="2:18" x14ac:dyDescent="0.25">
      <c r="B50" s="312" t="s">
        <v>425</v>
      </c>
      <c r="C50" s="313"/>
      <c r="D50" s="318"/>
      <c r="E50" s="345">
        <v>11.68</v>
      </c>
      <c r="F50" s="346"/>
      <c r="G50" s="348">
        <v>3</v>
      </c>
      <c r="H50" s="316"/>
      <c r="I50" s="316">
        <f>ROUND(+E50*G50,2)</f>
        <v>35.04</v>
      </c>
      <c r="J50" s="311"/>
    </row>
    <row r="51" spans="2:18" x14ac:dyDescent="0.25">
      <c r="B51" s="312" t="s">
        <v>376</v>
      </c>
      <c r="C51" s="313"/>
      <c r="D51" s="318"/>
      <c r="E51" s="345"/>
      <c r="F51" s="345"/>
      <c r="G51" s="316"/>
      <c r="H51" s="316"/>
      <c r="I51" s="316"/>
      <c r="J51" s="311"/>
    </row>
    <row r="52" spans="2:18" x14ac:dyDescent="0.25">
      <c r="B52" s="312" t="s">
        <v>376</v>
      </c>
      <c r="C52" s="313"/>
      <c r="D52" s="318"/>
      <c r="E52" s="345" t="s">
        <v>376</v>
      </c>
      <c r="F52" s="345" t="s">
        <v>376</v>
      </c>
      <c r="G52" s="316" t="s">
        <v>376</v>
      </c>
      <c r="H52" s="316"/>
      <c r="I52" s="316" t="s">
        <v>376</v>
      </c>
      <c r="J52" s="311"/>
    </row>
    <row r="53" spans="2:18" x14ac:dyDescent="0.25">
      <c r="B53" s="312"/>
      <c r="C53" s="313"/>
      <c r="D53" s="318"/>
      <c r="E53" s="345"/>
      <c r="F53" s="345"/>
      <c r="G53" s="316"/>
      <c r="H53" s="316"/>
      <c r="I53" s="316"/>
      <c r="J53" s="311"/>
    </row>
    <row r="54" spans="2:18" x14ac:dyDescent="0.25">
      <c r="B54" s="312"/>
      <c r="C54" s="313"/>
      <c r="D54" s="318"/>
      <c r="E54" s="335"/>
      <c r="F54" s="335"/>
      <c r="G54" s="316"/>
      <c r="H54" s="316"/>
      <c r="I54" s="349" t="s">
        <v>395</v>
      </c>
      <c r="J54" s="350">
        <f>SUM(I49:I53)</f>
        <v>80.039999999999992</v>
      </c>
    </row>
    <row r="55" spans="2:18" x14ac:dyDescent="0.25">
      <c r="B55" s="312" t="s">
        <v>408</v>
      </c>
      <c r="C55" s="313"/>
      <c r="D55" s="318"/>
      <c r="E55" s="315" t="s">
        <v>117</v>
      </c>
      <c r="F55" s="315" t="s">
        <v>116</v>
      </c>
      <c r="G55" s="348" t="s">
        <v>409</v>
      </c>
      <c r="H55" s="348" t="s">
        <v>410</v>
      </c>
      <c r="I55" s="348" t="s">
        <v>395</v>
      </c>
      <c r="J55" s="311"/>
    </row>
    <row r="56" spans="2:18" x14ac:dyDescent="0.25">
      <c r="B56" s="351"/>
      <c r="C56" s="352"/>
      <c r="D56" s="353"/>
      <c r="E56" s="315"/>
      <c r="F56" s="354"/>
      <c r="G56" s="316"/>
      <c r="H56" s="355"/>
      <c r="I56" s="316"/>
      <c r="J56" s="311"/>
      <c r="P56">
        <f>90*2</f>
        <v>180</v>
      </c>
      <c r="Q56">
        <f>+P56/10</f>
        <v>18</v>
      </c>
      <c r="R56">
        <f>+Q56*4.26</f>
        <v>76.679999999999993</v>
      </c>
    </row>
    <row r="57" spans="2:18" x14ac:dyDescent="0.25">
      <c r="B57" s="351"/>
      <c r="C57" s="352"/>
      <c r="D57" s="353"/>
      <c r="E57" s="315"/>
      <c r="F57" s="354"/>
      <c r="G57" s="316"/>
      <c r="H57" s="355"/>
      <c r="I57" s="316"/>
      <c r="J57" s="311"/>
    </row>
    <row r="58" spans="2:18" x14ac:dyDescent="0.25">
      <c r="B58" s="351"/>
      <c r="C58" s="352"/>
      <c r="D58" s="353"/>
      <c r="E58" s="315"/>
      <c r="F58" s="354"/>
      <c r="G58" s="316"/>
      <c r="H58" s="355"/>
      <c r="I58" s="316"/>
      <c r="J58" s="311"/>
    </row>
    <row r="59" spans="2:18" x14ac:dyDescent="0.25">
      <c r="B59" s="351" t="s">
        <v>376</v>
      </c>
      <c r="C59" s="352"/>
      <c r="D59" s="353"/>
      <c r="E59" s="315" t="s">
        <v>376</v>
      </c>
      <c r="F59" s="354" t="s">
        <v>411</v>
      </c>
      <c r="G59" s="316" t="s">
        <v>376</v>
      </c>
      <c r="H59" s="316" t="s">
        <v>376</v>
      </c>
      <c r="I59" s="316" t="s">
        <v>376</v>
      </c>
      <c r="J59" s="311"/>
    </row>
    <row r="60" spans="2:18" x14ac:dyDescent="0.25">
      <c r="B60" s="351" t="s">
        <v>376</v>
      </c>
      <c r="C60" s="352"/>
      <c r="D60" s="353"/>
      <c r="E60" s="315"/>
      <c r="F60" s="354"/>
      <c r="G60" s="316"/>
      <c r="H60" s="316"/>
      <c r="I60" s="316"/>
      <c r="J60" s="311"/>
    </row>
    <row r="61" spans="2:18" x14ac:dyDescent="0.25">
      <c r="B61" s="312"/>
      <c r="C61" s="313"/>
      <c r="D61" s="318"/>
      <c r="E61" s="335"/>
      <c r="F61" s="354"/>
      <c r="G61" s="316"/>
      <c r="H61" s="316"/>
      <c r="I61" s="316"/>
      <c r="J61" s="319"/>
    </row>
    <row r="62" spans="2:18" x14ac:dyDescent="0.25">
      <c r="B62" s="320"/>
      <c r="C62" s="321"/>
      <c r="D62" s="321"/>
      <c r="E62" s="321"/>
      <c r="F62" s="321"/>
      <c r="G62" s="322"/>
      <c r="H62" s="322"/>
      <c r="I62" s="323" t="s">
        <v>395</v>
      </c>
      <c r="J62" s="356">
        <f>+J38+J46+J54</f>
        <v>562.81999999999994</v>
      </c>
    </row>
    <row r="63" spans="2:18" ht="15.75" thickBot="1" x14ac:dyDescent="0.3">
      <c r="B63" s="320"/>
      <c r="C63" s="321"/>
      <c r="D63" s="321"/>
      <c r="E63" s="321"/>
      <c r="F63" s="321"/>
      <c r="G63" s="322"/>
      <c r="H63" s="322"/>
      <c r="I63" s="323" t="s">
        <v>395</v>
      </c>
      <c r="J63" s="324"/>
    </row>
    <row r="64" spans="2:18" ht="15.75" thickBot="1" x14ac:dyDescent="0.3">
      <c r="B64" s="357"/>
      <c r="C64" s="358"/>
      <c r="D64" s="358"/>
      <c r="E64" s="358"/>
      <c r="F64" s="358"/>
      <c r="G64" s="359"/>
      <c r="H64" s="359"/>
      <c r="I64" s="360" t="s">
        <v>412</v>
      </c>
      <c r="J64" s="361"/>
    </row>
  </sheetData>
  <mergeCells count="2">
    <mergeCell ref="B9:F9"/>
    <mergeCell ref="G5:J5"/>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4:R59"/>
  <sheetViews>
    <sheetView topLeftCell="A7" workbookViewId="0">
      <selection activeCell="E13" sqref="E13"/>
    </sheetView>
  </sheetViews>
  <sheetFormatPr baseColWidth="10" defaultRowHeight="15" x14ac:dyDescent="0.25"/>
  <cols>
    <col min="2" max="2" width="18.42578125" customWidth="1"/>
    <col min="5" max="5" width="9.28515625" customWidth="1"/>
    <col min="6" max="6" width="9.5703125" customWidth="1"/>
    <col min="7" max="7" width="11.28515625" customWidth="1"/>
    <col min="8" max="8" width="11.5703125" customWidth="1"/>
    <col min="9" max="9" width="10.85546875" customWidth="1"/>
  </cols>
  <sheetData>
    <row r="4" spans="2:10" ht="15.75" thickBot="1" x14ac:dyDescent="0.3"/>
    <row r="5" spans="2:10" ht="30" customHeight="1" x14ac:dyDescent="0.25">
      <c r="B5" s="278" t="s">
        <v>375</v>
      </c>
      <c r="C5" s="279"/>
      <c r="D5" s="279"/>
      <c r="E5" s="280"/>
      <c r="F5" s="281" t="s">
        <v>376</v>
      </c>
      <c r="G5" s="717" t="s">
        <v>478</v>
      </c>
      <c r="H5" s="718"/>
      <c r="I5" s="718"/>
      <c r="J5" s="719"/>
    </row>
    <row r="6" spans="2:10" x14ac:dyDescent="0.25">
      <c r="B6" s="282" t="s">
        <v>377</v>
      </c>
      <c r="C6" s="283"/>
      <c r="D6" s="283"/>
      <c r="E6" s="284"/>
      <c r="F6" s="285" t="s">
        <v>376</v>
      </c>
      <c r="G6" s="286"/>
      <c r="H6" s="286"/>
      <c r="I6" s="286"/>
      <c r="J6" s="285"/>
    </row>
    <row r="7" spans="2:10" x14ac:dyDescent="0.25">
      <c r="B7" s="287" t="s">
        <v>378</v>
      </c>
      <c r="C7" s="288">
        <f ca="1">NOW()</f>
        <v>42844.719014120368</v>
      </c>
      <c r="D7" s="284"/>
      <c r="E7" s="284"/>
      <c r="F7" s="285" t="s">
        <v>376</v>
      </c>
      <c r="G7" s="286" t="s">
        <v>379</v>
      </c>
      <c r="H7" s="363"/>
      <c r="I7" s="364"/>
      <c r="J7" s="285"/>
    </row>
    <row r="8" spans="2:10" x14ac:dyDescent="0.25">
      <c r="B8" s="287"/>
      <c r="C8" s="284"/>
      <c r="D8" s="284"/>
      <c r="E8" s="284"/>
      <c r="F8" s="285" t="s">
        <v>376</v>
      </c>
      <c r="G8" s="286" t="s">
        <v>380</v>
      </c>
      <c r="H8" s="289"/>
      <c r="I8" s="286"/>
      <c r="J8" s="285"/>
    </row>
    <row r="9" spans="2:10" ht="35.25" customHeight="1" x14ac:dyDescent="0.25">
      <c r="B9" s="714" t="s">
        <v>429</v>
      </c>
      <c r="C9" s="715"/>
      <c r="D9" s="715"/>
      <c r="E9" s="715"/>
      <c r="F9" s="716"/>
      <c r="G9" s="286" t="s">
        <v>381</v>
      </c>
      <c r="H9" s="290"/>
      <c r="I9" s="286"/>
      <c r="J9" s="285"/>
    </row>
    <row r="10" spans="2:10" x14ac:dyDescent="0.25">
      <c r="B10" s="287" t="s">
        <v>382</v>
      </c>
      <c r="C10" s="284"/>
      <c r="D10" s="284"/>
      <c r="E10" s="284"/>
      <c r="F10" s="285"/>
      <c r="G10" s="286" t="s">
        <v>383</v>
      </c>
      <c r="H10" s="291"/>
      <c r="I10" s="286"/>
      <c r="J10" s="285"/>
    </row>
    <row r="11" spans="2:10" x14ac:dyDescent="0.25">
      <c r="B11" s="287" t="s">
        <v>384</v>
      </c>
      <c r="C11" s="292"/>
      <c r="D11" s="284" t="s">
        <v>376</v>
      </c>
      <c r="E11" s="293">
        <v>33.71</v>
      </c>
      <c r="F11" s="285" t="s">
        <v>131</v>
      </c>
      <c r="G11" s="286" t="s">
        <v>385</v>
      </c>
      <c r="H11" s="290"/>
      <c r="I11" s="286"/>
      <c r="J11" s="285"/>
    </row>
    <row r="12" spans="2:10" x14ac:dyDescent="0.25">
      <c r="B12" s="287" t="s">
        <v>386</v>
      </c>
      <c r="C12" s="284"/>
      <c r="D12" s="284"/>
      <c r="E12" s="284" t="s">
        <v>376</v>
      </c>
      <c r="F12" s="285" t="s">
        <v>131</v>
      </c>
      <c r="G12" s="286" t="s">
        <v>387</v>
      </c>
      <c r="H12" s="294"/>
      <c r="I12" s="286"/>
      <c r="J12" s="285"/>
    </row>
    <row r="13" spans="2:10" x14ac:dyDescent="0.25">
      <c r="B13" s="295" t="s">
        <v>388</v>
      </c>
      <c r="C13" s="296"/>
      <c r="D13" s="284" t="s">
        <v>131</v>
      </c>
      <c r="E13" s="297">
        <f>ROUND(+J59/E11,2)</f>
        <v>17.68</v>
      </c>
      <c r="F13" s="285" t="s">
        <v>131</v>
      </c>
      <c r="G13" s="286"/>
      <c r="H13" s="298"/>
      <c r="I13" s="286"/>
      <c r="J13" s="285"/>
    </row>
    <row r="14" spans="2:10" x14ac:dyDescent="0.25">
      <c r="B14" s="287" t="s">
        <v>376</v>
      </c>
      <c r="C14" s="284"/>
      <c r="D14" s="284"/>
      <c r="E14" s="284"/>
      <c r="F14" s="285"/>
      <c r="G14" s="286"/>
      <c r="H14" s="286"/>
      <c r="I14" s="286"/>
      <c r="J14" s="285"/>
    </row>
    <row r="15" spans="2:10" ht="15.75" thickBot="1" x14ac:dyDescent="0.3">
      <c r="B15" s="299"/>
      <c r="C15" s="300"/>
      <c r="D15" s="300"/>
      <c r="E15" s="300"/>
      <c r="F15" s="301"/>
      <c r="G15" s="286"/>
      <c r="H15" s="286"/>
      <c r="I15" s="286"/>
      <c r="J15" s="285"/>
    </row>
    <row r="16" spans="2:10" ht="15.75" thickBot="1" x14ac:dyDescent="0.3">
      <c r="B16" s="302" t="s">
        <v>389</v>
      </c>
      <c r="C16" s="303"/>
      <c r="D16" s="303"/>
      <c r="E16" s="303"/>
      <c r="F16" s="300"/>
      <c r="G16" s="304"/>
      <c r="H16" s="304"/>
      <c r="I16" s="304"/>
      <c r="J16" s="305"/>
    </row>
    <row r="17" spans="2:10" ht="23.25" x14ac:dyDescent="0.25">
      <c r="B17" s="306" t="s">
        <v>390</v>
      </c>
      <c r="C17" s="307"/>
      <c r="D17" s="308"/>
      <c r="E17" s="309" t="s">
        <v>391</v>
      </c>
      <c r="F17" s="309" t="s">
        <v>392</v>
      </c>
      <c r="G17" s="362" t="s">
        <v>393</v>
      </c>
      <c r="H17" s="310" t="s">
        <v>394</v>
      </c>
      <c r="I17" s="310" t="s">
        <v>395</v>
      </c>
      <c r="J17" s="311"/>
    </row>
    <row r="18" spans="2:10" x14ac:dyDescent="0.25">
      <c r="B18" s="312"/>
      <c r="C18" s="313" t="s">
        <v>376</v>
      </c>
      <c r="D18" s="314"/>
      <c r="E18" s="315"/>
      <c r="F18" s="315"/>
      <c r="G18" s="316"/>
      <c r="H18" s="317"/>
      <c r="I18" s="316"/>
      <c r="J18" s="311"/>
    </row>
    <row r="19" spans="2:10" x14ac:dyDescent="0.25">
      <c r="B19" s="312"/>
      <c r="C19" s="313"/>
      <c r="D19" s="318"/>
      <c r="E19" s="315" t="s">
        <v>376</v>
      </c>
      <c r="F19" s="315" t="s">
        <v>376</v>
      </c>
      <c r="G19" s="316"/>
      <c r="H19" s="316"/>
      <c r="I19" s="316"/>
      <c r="J19" s="311"/>
    </row>
    <row r="20" spans="2:10" x14ac:dyDescent="0.25">
      <c r="B20" s="312"/>
      <c r="C20" s="313"/>
      <c r="D20" s="318"/>
      <c r="E20" s="315" t="s">
        <v>376</v>
      </c>
      <c r="F20" s="315" t="s">
        <v>376</v>
      </c>
      <c r="G20" s="316"/>
      <c r="H20" s="316"/>
      <c r="I20" s="316"/>
      <c r="J20" s="311"/>
    </row>
    <row r="21" spans="2:10" x14ac:dyDescent="0.25">
      <c r="B21" s="312" t="s">
        <v>376</v>
      </c>
      <c r="C21" s="313"/>
      <c r="D21" s="318"/>
      <c r="E21" s="315" t="s">
        <v>376</v>
      </c>
      <c r="F21" s="315" t="s">
        <v>376</v>
      </c>
      <c r="G21" s="316" t="s">
        <v>376</v>
      </c>
      <c r="H21" s="316" t="s">
        <v>376</v>
      </c>
      <c r="I21" s="316"/>
      <c r="J21" s="311"/>
    </row>
    <row r="22" spans="2:10" x14ac:dyDescent="0.25">
      <c r="B22" s="312"/>
      <c r="C22" s="313"/>
      <c r="D22" s="318"/>
      <c r="E22" s="315"/>
      <c r="F22" s="315"/>
      <c r="G22" s="316"/>
      <c r="H22" s="316"/>
      <c r="I22" s="316"/>
      <c r="J22" s="311"/>
    </row>
    <row r="23" spans="2:10" x14ac:dyDescent="0.25">
      <c r="B23" s="306"/>
      <c r="C23" s="307"/>
      <c r="D23" s="308"/>
      <c r="E23" s="315"/>
      <c r="F23" s="315"/>
      <c r="G23" s="316"/>
      <c r="H23" s="316"/>
      <c r="I23" s="316"/>
      <c r="J23" s="319"/>
    </row>
    <row r="24" spans="2:10" ht="15.75" thickBot="1" x14ac:dyDescent="0.3">
      <c r="B24" s="320"/>
      <c r="C24" s="321"/>
      <c r="D24" s="321"/>
      <c r="E24" s="321"/>
      <c r="F24" s="321"/>
      <c r="G24" s="322"/>
      <c r="H24" s="322"/>
      <c r="I24" s="323" t="s">
        <v>395</v>
      </c>
      <c r="J24" s="324"/>
    </row>
    <row r="25" spans="2:10" ht="15.75" thickBot="1" x14ac:dyDescent="0.3">
      <c r="B25" s="325" t="s">
        <v>396</v>
      </c>
      <c r="C25" s="326"/>
      <c r="D25" s="327"/>
      <c r="E25" s="327"/>
      <c r="F25" s="328"/>
      <c r="G25" s="329"/>
      <c r="H25" s="329"/>
      <c r="I25" s="329"/>
      <c r="J25" s="305"/>
    </row>
    <row r="26" spans="2:10" x14ac:dyDescent="0.25">
      <c r="B26" s="330" t="s">
        <v>397</v>
      </c>
      <c r="C26" s="331"/>
      <c r="D26" s="331"/>
      <c r="E26" s="332"/>
      <c r="F26" s="309" t="s">
        <v>117</v>
      </c>
      <c r="G26" s="310" t="s">
        <v>398</v>
      </c>
      <c r="H26" s="310" t="s">
        <v>116</v>
      </c>
      <c r="I26" s="310" t="s">
        <v>395</v>
      </c>
      <c r="J26" s="311"/>
    </row>
    <row r="27" spans="2:10" x14ac:dyDescent="0.25">
      <c r="B27" s="312" t="s">
        <v>426</v>
      </c>
      <c r="C27" s="313"/>
      <c r="D27" s="313"/>
      <c r="E27" s="318"/>
      <c r="F27" s="315" t="s">
        <v>248</v>
      </c>
      <c r="G27" s="333">
        <v>17.66</v>
      </c>
      <c r="H27" s="316">
        <v>5.62</v>
      </c>
      <c r="I27" s="316">
        <f>+ROUND(G27*H27,2)</f>
        <v>99.25</v>
      </c>
      <c r="J27" s="311"/>
    </row>
    <row r="28" spans="2:10" x14ac:dyDescent="0.25">
      <c r="B28" s="312" t="s">
        <v>427</v>
      </c>
      <c r="C28" s="313"/>
      <c r="D28" s="313"/>
      <c r="E28" s="318"/>
      <c r="F28" s="315" t="s">
        <v>137</v>
      </c>
      <c r="G28" s="333">
        <v>36.71</v>
      </c>
      <c r="H28" s="316">
        <v>8</v>
      </c>
      <c r="I28" s="316">
        <f t="shared" ref="I28:I30" si="0">+ROUND(G28*H28,2)</f>
        <v>293.68</v>
      </c>
      <c r="J28" s="311"/>
    </row>
    <row r="29" spans="2:10" x14ac:dyDescent="0.25">
      <c r="B29" s="312" t="s">
        <v>428</v>
      </c>
      <c r="C29" s="313"/>
      <c r="D29" s="313"/>
      <c r="E29" s="318"/>
      <c r="F29" s="315" t="s">
        <v>137</v>
      </c>
      <c r="G29" s="333">
        <v>41.67</v>
      </c>
      <c r="H29" s="316">
        <v>2</v>
      </c>
      <c r="I29" s="316">
        <f t="shared" si="0"/>
        <v>83.34</v>
      </c>
      <c r="J29" s="311"/>
    </row>
    <row r="30" spans="2:10" x14ac:dyDescent="0.25">
      <c r="B30" s="312" t="s">
        <v>418</v>
      </c>
      <c r="C30" s="313"/>
      <c r="D30" s="313"/>
      <c r="E30" s="318"/>
      <c r="F30" s="315" t="s">
        <v>137</v>
      </c>
      <c r="G30" s="334">
        <v>5.93</v>
      </c>
      <c r="H30" s="316">
        <v>2</v>
      </c>
      <c r="I30" s="316">
        <f t="shared" si="0"/>
        <v>11.86</v>
      </c>
      <c r="J30" s="311"/>
    </row>
    <row r="31" spans="2:10" x14ac:dyDescent="0.25">
      <c r="B31" s="306" t="s">
        <v>422</v>
      </c>
      <c r="C31" s="307"/>
      <c r="D31" s="307"/>
      <c r="E31" s="308"/>
      <c r="F31" s="315" t="s">
        <v>137</v>
      </c>
      <c r="G31" s="316">
        <v>13</v>
      </c>
      <c r="H31" s="316">
        <v>0.5</v>
      </c>
      <c r="I31" s="316">
        <f>+ROUND(G31*H31,2)</f>
        <v>6.5</v>
      </c>
      <c r="J31" s="311"/>
    </row>
    <row r="32" spans="2:10" x14ac:dyDescent="0.25">
      <c r="B32" s="306" t="s">
        <v>430</v>
      </c>
      <c r="C32" s="307"/>
      <c r="D32" s="307"/>
      <c r="E32" s="308"/>
      <c r="F32" s="315">
        <v>1</v>
      </c>
      <c r="G32" s="316">
        <f>+ROUND(0.016*200,2)</f>
        <v>3.2</v>
      </c>
      <c r="H32" s="316">
        <v>2</v>
      </c>
      <c r="I32" s="316">
        <f>+ROUND(G32*H32+5,2)</f>
        <v>11.4</v>
      </c>
      <c r="J32" s="319"/>
    </row>
    <row r="33" spans="2:10" ht="15.75" thickBot="1" x14ac:dyDescent="0.3">
      <c r="B33" s="357"/>
      <c r="C33" s="321"/>
      <c r="D33" s="321"/>
      <c r="E33" s="321"/>
      <c r="F33" s="321"/>
      <c r="G33" s="322"/>
      <c r="H33" s="322"/>
      <c r="I33" s="323" t="s">
        <v>395</v>
      </c>
      <c r="J33" s="324">
        <f>SUM(I27:I32)</f>
        <v>506.03</v>
      </c>
    </row>
    <row r="34" spans="2:10" ht="15.75" thickBot="1" x14ac:dyDescent="0.3">
      <c r="B34" s="325" t="s">
        <v>400</v>
      </c>
      <c r="C34" s="326"/>
      <c r="D34" s="327"/>
      <c r="E34" s="327"/>
      <c r="F34" s="328"/>
      <c r="G34" s="329"/>
      <c r="H34" s="329"/>
      <c r="I34" s="329"/>
      <c r="J34" s="305"/>
    </row>
    <row r="35" spans="2:10" x14ac:dyDescent="0.25">
      <c r="B35" s="330" t="s">
        <v>397</v>
      </c>
      <c r="C35" s="331"/>
      <c r="D35" s="332"/>
      <c r="E35" s="309" t="s">
        <v>350</v>
      </c>
      <c r="F35" s="309" t="s">
        <v>401</v>
      </c>
      <c r="G35" s="310" t="s">
        <v>402</v>
      </c>
      <c r="H35" s="310" t="s">
        <v>117</v>
      </c>
      <c r="I35" s="310" t="s">
        <v>395</v>
      </c>
      <c r="J35" s="311"/>
    </row>
    <row r="36" spans="2:10" x14ac:dyDescent="0.25">
      <c r="B36" s="330" t="s">
        <v>423</v>
      </c>
      <c r="C36" s="331"/>
      <c r="D36" s="332"/>
      <c r="E36" s="336"/>
      <c r="F36" s="337"/>
      <c r="G36" s="338">
        <v>20</v>
      </c>
      <c r="H36" s="338" t="s">
        <v>121</v>
      </c>
      <c r="I36" s="338">
        <f>+G36</f>
        <v>20</v>
      </c>
      <c r="J36" s="311"/>
    </row>
    <row r="37" spans="2:10" x14ac:dyDescent="0.25">
      <c r="B37" s="330"/>
      <c r="C37" s="331"/>
      <c r="D37" s="332"/>
      <c r="E37" s="337"/>
      <c r="F37" s="337"/>
      <c r="G37" s="338"/>
      <c r="H37" s="338"/>
      <c r="I37" s="338"/>
      <c r="J37" s="311"/>
    </row>
    <row r="38" spans="2:10" x14ac:dyDescent="0.25">
      <c r="B38" s="312"/>
      <c r="C38" s="313"/>
      <c r="D38" s="318"/>
      <c r="E38" s="335"/>
      <c r="F38" s="335"/>
      <c r="G38" s="316"/>
      <c r="H38" s="316"/>
      <c r="I38" s="316"/>
      <c r="J38" s="311"/>
    </row>
    <row r="39" spans="2:10" x14ac:dyDescent="0.25">
      <c r="B39" s="312"/>
      <c r="C39" s="313"/>
      <c r="D39" s="318"/>
      <c r="E39" s="335"/>
      <c r="F39" s="335"/>
      <c r="G39" s="316"/>
      <c r="H39" s="316"/>
      <c r="I39" s="316"/>
      <c r="J39" s="311"/>
    </row>
    <row r="40" spans="2:10" x14ac:dyDescent="0.25">
      <c r="B40" s="306"/>
      <c r="C40" s="307"/>
      <c r="D40" s="308"/>
      <c r="E40" s="335"/>
      <c r="F40" s="335"/>
      <c r="G40" s="316"/>
      <c r="H40" s="316"/>
      <c r="I40" s="316"/>
      <c r="J40" s="319"/>
    </row>
    <row r="41" spans="2:10" ht="15.75" thickBot="1" x14ac:dyDescent="0.3">
      <c r="B41" s="320"/>
      <c r="C41" s="321"/>
      <c r="D41" s="321"/>
      <c r="E41" s="321"/>
      <c r="F41" s="321"/>
      <c r="G41" s="322"/>
      <c r="H41" s="322"/>
      <c r="I41" s="323" t="s">
        <v>395</v>
      </c>
      <c r="J41" s="339">
        <f>SUM(I36:I40)</f>
        <v>20</v>
      </c>
    </row>
    <row r="42" spans="2:10" ht="15.75" thickBot="1" x14ac:dyDescent="0.3">
      <c r="B42" s="340" t="s">
        <v>403</v>
      </c>
      <c r="C42" s="341"/>
      <c r="D42" s="342"/>
      <c r="E42" s="342"/>
      <c r="F42" s="328"/>
      <c r="G42" s="329"/>
      <c r="H42" s="329"/>
      <c r="I42" s="329"/>
      <c r="J42" s="305"/>
    </row>
    <row r="43" spans="2:10" x14ac:dyDescent="0.25">
      <c r="B43" s="306" t="s">
        <v>404</v>
      </c>
      <c r="C43" s="307"/>
      <c r="D43" s="308"/>
      <c r="E43" s="343" t="s">
        <v>405</v>
      </c>
      <c r="F43" s="343" t="s">
        <v>406</v>
      </c>
      <c r="G43" s="344" t="s">
        <v>407</v>
      </c>
      <c r="H43" s="344" t="s">
        <v>394</v>
      </c>
      <c r="I43" s="344" t="s">
        <v>395</v>
      </c>
      <c r="J43" s="311"/>
    </row>
    <row r="44" spans="2:10" x14ac:dyDescent="0.25">
      <c r="B44" s="312" t="s">
        <v>424</v>
      </c>
      <c r="C44" s="313"/>
      <c r="D44" s="318"/>
      <c r="E44" s="345">
        <v>11.68</v>
      </c>
      <c r="F44" s="346"/>
      <c r="G44" s="347">
        <v>3</v>
      </c>
      <c r="H44" s="316"/>
      <c r="I44" s="316">
        <f>ROUND(+E44*G44,2)</f>
        <v>35.04</v>
      </c>
      <c r="J44" s="311"/>
    </row>
    <row r="45" spans="2:10" x14ac:dyDescent="0.25">
      <c r="B45" s="312" t="s">
        <v>425</v>
      </c>
      <c r="C45" s="313"/>
      <c r="D45" s="318"/>
      <c r="E45" s="345">
        <v>11.68</v>
      </c>
      <c r="F45" s="346"/>
      <c r="G45" s="348">
        <v>3</v>
      </c>
      <c r="H45" s="316"/>
      <c r="I45" s="316">
        <f>ROUND(+E45*G45,2)</f>
        <v>35.04</v>
      </c>
      <c r="J45" s="311"/>
    </row>
    <row r="46" spans="2:10" x14ac:dyDescent="0.25">
      <c r="B46" s="312"/>
      <c r="C46" s="313"/>
      <c r="D46" s="318"/>
      <c r="E46" s="345"/>
      <c r="F46" s="345"/>
      <c r="G46" s="316"/>
      <c r="H46" s="316"/>
      <c r="I46" s="316"/>
      <c r="J46" s="311"/>
    </row>
    <row r="47" spans="2:10" x14ac:dyDescent="0.25">
      <c r="B47" s="312" t="s">
        <v>376</v>
      </c>
      <c r="C47" s="313"/>
      <c r="D47" s="318"/>
      <c r="E47" s="345" t="s">
        <v>376</v>
      </c>
      <c r="F47" s="345" t="s">
        <v>376</v>
      </c>
      <c r="G47" s="316" t="s">
        <v>376</v>
      </c>
      <c r="H47" s="316"/>
      <c r="I47" s="316" t="s">
        <v>376</v>
      </c>
      <c r="J47" s="311"/>
    </row>
    <row r="48" spans="2:10" x14ac:dyDescent="0.25">
      <c r="B48" s="312"/>
      <c r="C48" s="313"/>
      <c r="D48" s="318"/>
      <c r="E48" s="345"/>
      <c r="F48" s="345"/>
      <c r="G48" s="316"/>
      <c r="H48" s="316"/>
      <c r="I48" s="316"/>
      <c r="J48" s="311"/>
    </row>
    <row r="49" spans="2:18" x14ac:dyDescent="0.25">
      <c r="B49" s="312"/>
      <c r="C49" s="313"/>
      <c r="D49" s="318"/>
      <c r="E49" s="335"/>
      <c r="F49" s="335"/>
      <c r="G49" s="316"/>
      <c r="H49" s="316"/>
      <c r="I49" s="349" t="s">
        <v>395</v>
      </c>
      <c r="J49" s="350">
        <f>SUM(I44:I48)</f>
        <v>70.08</v>
      </c>
    </row>
    <row r="50" spans="2:18" x14ac:dyDescent="0.25">
      <c r="B50" s="312" t="s">
        <v>408</v>
      </c>
      <c r="C50" s="313"/>
      <c r="D50" s="318"/>
      <c r="E50" s="315" t="s">
        <v>117</v>
      </c>
      <c r="F50" s="315" t="s">
        <v>116</v>
      </c>
      <c r="G50" s="348" t="s">
        <v>409</v>
      </c>
      <c r="H50" s="348" t="s">
        <v>410</v>
      </c>
      <c r="I50" s="348" t="s">
        <v>395</v>
      </c>
      <c r="J50" s="311"/>
    </row>
    <row r="51" spans="2:18" x14ac:dyDescent="0.25">
      <c r="B51" s="351"/>
      <c r="C51" s="352"/>
      <c r="D51" s="353"/>
      <c r="E51" s="315"/>
      <c r="F51" s="354"/>
      <c r="G51" s="316"/>
      <c r="H51" s="355"/>
      <c r="I51" s="316"/>
      <c r="J51" s="311"/>
      <c r="P51">
        <f>90*2</f>
        <v>180</v>
      </c>
      <c r="Q51">
        <f>+P51/10</f>
        <v>18</v>
      </c>
      <c r="R51">
        <f>+Q51*4.26</f>
        <v>76.679999999999993</v>
      </c>
    </row>
    <row r="52" spans="2:18" x14ac:dyDescent="0.25">
      <c r="B52" s="351"/>
      <c r="C52" s="352"/>
      <c r="D52" s="353"/>
      <c r="E52" s="315"/>
      <c r="F52" s="354"/>
      <c r="G52" s="316"/>
      <c r="H52" s="355"/>
      <c r="I52" s="316"/>
      <c r="J52" s="311"/>
    </row>
    <row r="53" spans="2:18" x14ac:dyDescent="0.25">
      <c r="B53" s="351"/>
      <c r="C53" s="352"/>
      <c r="D53" s="353"/>
      <c r="E53" s="315"/>
      <c r="F53" s="354"/>
      <c r="G53" s="316"/>
      <c r="H53" s="355"/>
      <c r="I53" s="316"/>
      <c r="J53" s="311"/>
    </row>
    <row r="54" spans="2:18" x14ac:dyDescent="0.25">
      <c r="B54" s="351" t="s">
        <v>376</v>
      </c>
      <c r="C54" s="352"/>
      <c r="D54" s="353"/>
      <c r="E54" s="315" t="s">
        <v>376</v>
      </c>
      <c r="F54" s="354" t="s">
        <v>411</v>
      </c>
      <c r="G54" s="316" t="s">
        <v>376</v>
      </c>
      <c r="H54" s="316" t="s">
        <v>376</v>
      </c>
      <c r="I54" s="316" t="s">
        <v>376</v>
      </c>
      <c r="J54" s="311"/>
    </row>
    <row r="55" spans="2:18" x14ac:dyDescent="0.25">
      <c r="B55" s="351" t="s">
        <v>376</v>
      </c>
      <c r="C55" s="352"/>
      <c r="D55" s="353"/>
      <c r="E55" s="315"/>
      <c r="F55" s="354"/>
      <c r="G55" s="316"/>
      <c r="H55" s="316"/>
      <c r="I55" s="316"/>
      <c r="J55" s="311"/>
    </row>
    <row r="56" spans="2:18" x14ac:dyDescent="0.25">
      <c r="B56" s="312"/>
      <c r="C56" s="313"/>
      <c r="D56" s="318"/>
      <c r="E56" s="335"/>
      <c r="F56" s="354"/>
      <c r="G56" s="316"/>
      <c r="H56" s="316"/>
      <c r="I56" s="316"/>
      <c r="J56" s="319"/>
    </row>
    <row r="57" spans="2:18" x14ac:dyDescent="0.25">
      <c r="B57" s="320"/>
      <c r="C57" s="321"/>
      <c r="D57" s="321"/>
      <c r="E57" s="321"/>
      <c r="F57" s="321"/>
      <c r="G57" s="322"/>
      <c r="H57" s="322"/>
      <c r="I57" s="323" t="s">
        <v>395</v>
      </c>
      <c r="J57" s="356">
        <f>+J33+J41+J49</f>
        <v>596.11</v>
      </c>
    </row>
    <row r="58" spans="2:18" ht="15.75" thickBot="1" x14ac:dyDescent="0.3">
      <c r="B58" s="320"/>
      <c r="C58" s="321"/>
      <c r="D58" s="321"/>
      <c r="E58" s="321"/>
      <c r="F58" s="321"/>
      <c r="G58" s="322"/>
      <c r="H58" s="322"/>
      <c r="I58" s="323" t="s">
        <v>395</v>
      </c>
      <c r="J58" s="324"/>
    </row>
    <row r="59" spans="2:18" ht="15.75" thickBot="1" x14ac:dyDescent="0.3">
      <c r="B59" s="357"/>
      <c r="C59" s="358"/>
      <c r="D59" s="358"/>
      <c r="E59" s="358"/>
      <c r="F59" s="358"/>
      <c r="G59" s="359"/>
      <c r="H59" s="359"/>
      <c r="I59" s="360" t="s">
        <v>412</v>
      </c>
      <c r="J59" s="361">
        <f>+J57</f>
        <v>596.11</v>
      </c>
    </row>
  </sheetData>
  <mergeCells count="2">
    <mergeCell ref="B9:F9"/>
    <mergeCell ref="G5:J5"/>
  </mergeCells>
  <pageMargins left="0.7" right="0.7" top="0.75" bottom="0.75" header="0.3" footer="0.3"/>
  <pageSetup paperSize="9" orientation="portrait" horizontalDpi="0"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82"/>
  <sheetViews>
    <sheetView tabSelected="1" view="pageBreakPreview" zoomScale="80" zoomScaleNormal="100" zoomScaleSheetLayoutView="80" workbookViewId="0">
      <selection activeCell="B2" sqref="B2:G2"/>
    </sheetView>
  </sheetViews>
  <sheetFormatPr baseColWidth="10" defaultColWidth="11.28515625" defaultRowHeight="15" x14ac:dyDescent="0.25"/>
  <cols>
    <col min="1" max="1" width="10.85546875" style="473" customWidth="1"/>
    <col min="2" max="2" width="37.5703125" style="473" customWidth="1"/>
    <col min="3" max="3" width="12.7109375" style="473" customWidth="1"/>
    <col min="4" max="4" width="6.85546875" style="473" customWidth="1"/>
    <col min="5" max="5" width="11.7109375" style="473" customWidth="1"/>
    <col min="6" max="6" width="11.28515625" style="473" customWidth="1"/>
    <col min="7" max="7" width="15.7109375" style="473" customWidth="1"/>
    <col min="8" max="8" width="9.7109375" style="473" customWidth="1"/>
    <col min="9" max="9" width="11.7109375" style="473" bestFit="1" customWidth="1"/>
    <col min="10" max="10" width="9.28515625" style="473" customWidth="1"/>
    <col min="11" max="11" width="11.7109375" style="473" customWidth="1"/>
    <col min="12" max="12" width="10" style="518" customWidth="1"/>
    <col min="13" max="13" width="11.28515625" style="473"/>
    <col min="14" max="14" width="18.28515625" style="473" customWidth="1"/>
    <col min="15" max="15" width="13" style="473" customWidth="1"/>
    <col min="16" max="16384" width="11.28515625" style="473"/>
  </cols>
  <sheetData>
    <row r="1" spans="1:16" ht="21" x14ac:dyDescent="0.35">
      <c r="A1" s="720" t="s">
        <v>493</v>
      </c>
      <c r="B1" s="720"/>
      <c r="C1" s="720"/>
      <c r="D1" s="720"/>
      <c r="E1" s="720"/>
      <c r="F1" s="720"/>
      <c r="G1" s="720"/>
    </row>
    <row r="2" spans="1:16" ht="30" x14ac:dyDescent="0.25">
      <c r="A2" s="474" t="s">
        <v>64</v>
      </c>
      <c r="B2" s="723" t="s">
        <v>565</v>
      </c>
      <c r="C2" s="723"/>
      <c r="D2" s="723"/>
      <c r="E2" s="723"/>
      <c r="F2" s="723"/>
      <c r="G2" s="723"/>
    </row>
    <row r="3" spans="1:16" x14ac:dyDescent="0.25">
      <c r="A3" s="474" t="s">
        <v>75</v>
      </c>
      <c r="B3" s="475" t="s">
        <v>566</v>
      </c>
    </row>
    <row r="4" spans="1:16" ht="26.25" thickBot="1" x14ac:dyDescent="0.3">
      <c r="A4" s="476" t="s">
        <v>112</v>
      </c>
      <c r="B4" s="475" t="s">
        <v>113</v>
      </c>
    </row>
    <row r="5" spans="1:16" ht="27.6" customHeight="1" thickBot="1" x14ac:dyDescent="0.3">
      <c r="A5" s="730" t="s">
        <v>485</v>
      </c>
      <c r="B5" s="731"/>
      <c r="C5" s="731"/>
      <c r="D5" s="731"/>
      <c r="E5" s="731"/>
      <c r="F5" s="731"/>
      <c r="G5" s="732"/>
      <c r="H5" s="724" t="s">
        <v>480</v>
      </c>
      <c r="I5" s="725"/>
      <c r="J5" s="726" t="s">
        <v>492</v>
      </c>
      <c r="K5" s="727"/>
      <c r="L5" s="728" t="s">
        <v>483</v>
      </c>
      <c r="M5" s="729"/>
      <c r="N5" s="477"/>
      <c r="P5" s="477"/>
    </row>
    <row r="6" spans="1:16" ht="45" customHeight="1" x14ac:dyDescent="0.25">
      <c r="A6" s="478" t="s">
        <v>114</v>
      </c>
      <c r="B6" s="479" t="s">
        <v>115</v>
      </c>
      <c r="C6" s="480" t="s">
        <v>368</v>
      </c>
      <c r="D6" s="480" t="s">
        <v>245</v>
      </c>
      <c r="E6" s="480" t="s">
        <v>118</v>
      </c>
      <c r="F6" s="480" t="s">
        <v>19</v>
      </c>
      <c r="G6" s="494" t="s">
        <v>106</v>
      </c>
      <c r="H6" s="488" t="s">
        <v>481</v>
      </c>
      <c r="I6" s="489" t="s">
        <v>482</v>
      </c>
      <c r="J6" s="488" t="s">
        <v>481</v>
      </c>
      <c r="K6" s="489" t="s">
        <v>482</v>
      </c>
      <c r="L6" s="519" t="s">
        <v>481</v>
      </c>
      <c r="M6" s="489" t="s">
        <v>482</v>
      </c>
    </row>
    <row r="7" spans="1:16" ht="15.75" x14ac:dyDescent="0.25">
      <c r="A7" s="481">
        <v>1</v>
      </c>
      <c r="B7" s="497" t="s">
        <v>546</v>
      </c>
      <c r="C7" s="510"/>
      <c r="D7" s="510"/>
      <c r="E7" s="510"/>
      <c r="F7" s="510"/>
      <c r="G7" s="511">
        <f>SUM(F8:F10)</f>
        <v>578.18000000000006</v>
      </c>
      <c r="H7" s="490"/>
      <c r="I7" s="491"/>
      <c r="J7" s="517"/>
      <c r="K7" s="492"/>
      <c r="L7" s="517"/>
      <c r="M7" s="492"/>
    </row>
    <row r="8" spans="1:16" ht="30" x14ac:dyDescent="0.25">
      <c r="A8" s="569">
        <f>+A7+0.01</f>
        <v>1.01</v>
      </c>
      <c r="B8" s="498" t="s">
        <v>497</v>
      </c>
      <c r="C8" s="537">
        <v>62</v>
      </c>
      <c r="D8" s="555" t="s">
        <v>487</v>
      </c>
      <c r="E8" s="539">
        <v>3.39</v>
      </c>
      <c r="F8" s="540">
        <f>C8*E8</f>
        <v>210.18</v>
      </c>
      <c r="G8" s="520"/>
      <c r="H8" s="521">
        <f>+C8</f>
        <v>62</v>
      </c>
      <c r="I8" s="522">
        <f>+C8*E8</f>
        <v>210.18</v>
      </c>
      <c r="J8" s="521"/>
      <c r="K8" s="523"/>
      <c r="L8" s="521"/>
      <c r="M8" s="523"/>
    </row>
    <row r="9" spans="1:16" ht="15.75" x14ac:dyDescent="0.25">
      <c r="A9" s="569">
        <f t="shared" ref="A9:A48" si="0">+A8+0.01</f>
        <v>1.02</v>
      </c>
      <c r="B9" s="499" t="s">
        <v>498</v>
      </c>
      <c r="C9" s="537">
        <v>40</v>
      </c>
      <c r="D9" s="555" t="s">
        <v>129</v>
      </c>
      <c r="E9" s="539">
        <v>8</v>
      </c>
      <c r="F9" s="540">
        <f>C9*E9</f>
        <v>320</v>
      </c>
      <c r="G9" s="520"/>
      <c r="H9" s="521"/>
      <c r="I9" s="522"/>
      <c r="J9" s="521"/>
      <c r="K9" s="523"/>
      <c r="L9" s="521"/>
      <c r="M9" s="523"/>
    </row>
    <row r="10" spans="1:16" ht="15.75" x14ac:dyDescent="0.25">
      <c r="A10" s="569">
        <f t="shared" si="0"/>
        <v>1.03</v>
      </c>
      <c r="B10" s="500" t="s">
        <v>499</v>
      </c>
      <c r="C10" s="537">
        <v>12</v>
      </c>
      <c r="D10" s="512" t="s">
        <v>534</v>
      </c>
      <c r="E10" s="524">
        <v>4</v>
      </c>
      <c r="F10" s="540">
        <f>C10*E10</f>
        <v>48</v>
      </c>
      <c r="G10" s="520"/>
      <c r="H10" s="521">
        <f>+C10</f>
        <v>12</v>
      </c>
      <c r="I10" s="522">
        <f>+E10*F10</f>
        <v>192</v>
      </c>
      <c r="J10" s="521"/>
      <c r="K10" s="523"/>
      <c r="L10" s="521"/>
      <c r="M10" s="523"/>
    </row>
    <row r="11" spans="1:16" ht="15.75" x14ac:dyDescent="0.25">
      <c r="A11" s="481">
        <v>2</v>
      </c>
      <c r="B11" s="497" t="s">
        <v>500</v>
      </c>
      <c r="C11" s="541"/>
      <c r="D11" s="556"/>
      <c r="E11" s="541"/>
      <c r="F11" s="541"/>
      <c r="G11" s="542">
        <f>SUM(F12:F17)</f>
        <v>710.64580000000001</v>
      </c>
      <c r="H11" s="521"/>
      <c r="I11" s="522"/>
      <c r="J11" s="521"/>
      <c r="K11" s="523"/>
      <c r="L11" s="521"/>
      <c r="M11" s="523"/>
    </row>
    <row r="12" spans="1:16" ht="15.75" x14ac:dyDescent="0.25">
      <c r="A12" s="569">
        <f t="shared" si="0"/>
        <v>2.0099999999999998</v>
      </c>
      <c r="B12" s="499" t="s">
        <v>501</v>
      </c>
      <c r="C12" s="538">
        <v>60</v>
      </c>
      <c r="D12" s="555" t="s">
        <v>535</v>
      </c>
      <c r="E12" s="539">
        <v>0.22</v>
      </c>
      <c r="F12" s="540">
        <f t="shared" ref="F12:F17" si="1">C12*E12</f>
        <v>13.2</v>
      </c>
      <c r="G12" s="520"/>
      <c r="H12" s="521">
        <f>+C12</f>
        <v>60</v>
      </c>
      <c r="I12" s="522">
        <f>+E12*F12</f>
        <v>2.9039999999999999</v>
      </c>
      <c r="J12" s="521"/>
      <c r="K12" s="523"/>
      <c r="L12" s="521"/>
      <c r="M12" s="523"/>
    </row>
    <row r="13" spans="1:16" ht="15.75" x14ac:dyDescent="0.25">
      <c r="A13" s="569">
        <f t="shared" si="0"/>
        <v>2.0199999999999996</v>
      </c>
      <c r="B13" s="499" t="s">
        <v>502</v>
      </c>
      <c r="C13" s="538">
        <v>3.46</v>
      </c>
      <c r="D13" s="555" t="s">
        <v>129</v>
      </c>
      <c r="E13" s="539">
        <v>8.73</v>
      </c>
      <c r="F13" s="540">
        <f t="shared" si="1"/>
        <v>30.2058</v>
      </c>
      <c r="G13" s="520"/>
      <c r="H13" s="521"/>
      <c r="I13" s="522"/>
      <c r="J13" s="521"/>
      <c r="K13" s="523"/>
      <c r="L13" s="521"/>
      <c r="M13" s="523"/>
    </row>
    <row r="14" spans="1:16" ht="30" x14ac:dyDescent="0.25">
      <c r="A14" s="569">
        <f t="shared" si="0"/>
        <v>2.0299999999999994</v>
      </c>
      <c r="B14" s="498" t="s">
        <v>503</v>
      </c>
      <c r="C14" s="538">
        <v>4.1399999999999997</v>
      </c>
      <c r="D14" s="555" t="s">
        <v>129</v>
      </c>
      <c r="E14" s="539">
        <v>35</v>
      </c>
      <c r="F14" s="540">
        <f t="shared" si="1"/>
        <v>144.89999999999998</v>
      </c>
      <c r="G14" s="520"/>
      <c r="H14" s="521"/>
      <c r="I14" s="522"/>
      <c r="J14" s="521"/>
      <c r="K14" s="523"/>
      <c r="L14" s="521"/>
      <c r="M14" s="523"/>
    </row>
    <row r="15" spans="1:16" ht="15.75" x14ac:dyDescent="0.25">
      <c r="A15" s="569">
        <f t="shared" si="0"/>
        <v>2.0399999999999991</v>
      </c>
      <c r="B15" s="499" t="s">
        <v>498</v>
      </c>
      <c r="C15" s="538">
        <v>3.46</v>
      </c>
      <c r="D15" s="555" t="s">
        <v>129</v>
      </c>
      <c r="E15" s="539">
        <v>8</v>
      </c>
      <c r="F15" s="540">
        <f t="shared" si="1"/>
        <v>27.68</v>
      </c>
      <c r="G15" s="520"/>
      <c r="H15" s="521"/>
      <c r="I15" s="522"/>
      <c r="J15" s="521"/>
      <c r="K15" s="523"/>
      <c r="L15" s="521"/>
      <c r="M15" s="523"/>
    </row>
    <row r="16" spans="1:16" ht="30" x14ac:dyDescent="0.25">
      <c r="A16" s="569">
        <f t="shared" si="0"/>
        <v>2.0499999999999989</v>
      </c>
      <c r="B16" s="498" t="s">
        <v>504</v>
      </c>
      <c r="C16" s="537">
        <v>2</v>
      </c>
      <c r="D16" s="557" t="s">
        <v>245</v>
      </c>
      <c r="E16" s="543">
        <v>109.33</v>
      </c>
      <c r="F16" s="540">
        <f t="shared" si="1"/>
        <v>218.66</v>
      </c>
      <c r="G16" s="520"/>
      <c r="H16" s="521"/>
      <c r="I16" s="522"/>
      <c r="J16" s="521"/>
      <c r="K16" s="523"/>
      <c r="L16" s="521"/>
      <c r="M16" s="523"/>
    </row>
    <row r="17" spans="1:13" ht="49.5" customHeight="1" x14ac:dyDescent="0.25">
      <c r="A17" s="569">
        <f t="shared" si="0"/>
        <v>2.0599999999999987</v>
      </c>
      <c r="B17" s="572" t="s">
        <v>505</v>
      </c>
      <c r="C17" s="537">
        <v>2</v>
      </c>
      <c r="D17" s="557" t="s">
        <v>245</v>
      </c>
      <c r="E17" s="543">
        <v>138</v>
      </c>
      <c r="F17" s="540">
        <f t="shared" si="1"/>
        <v>276</v>
      </c>
      <c r="G17" s="520"/>
      <c r="H17" s="521"/>
      <c r="I17" s="522"/>
      <c r="J17" s="521"/>
      <c r="K17" s="523"/>
      <c r="L17" s="521"/>
      <c r="M17" s="523"/>
    </row>
    <row r="18" spans="1:13" ht="15.75" x14ac:dyDescent="0.25">
      <c r="A18" s="481">
        <v>3</v>
      </c>
      <c r="B18" s="497" t="s">
        <v>506</v>
      </c>
      <c r="C18" s="541"/>
      <c r="D18" s="556"/>
      <c r="E18" s="541"/>
      <c r="F18" s="541"/>
      <c r="G18" s="542">
        <f>SUM(F19:F20)</f>
        <v>2235.3760000000002</v>
      </c>
      <c r="H18" s="521"/>
      <c r="I18" s="522"/>
      <c r="J18" s="521"/>
      <c r="K18" s="523"/>
      <c r="L18" s="521"/>
      <c r="M18" s="523"/>
    </row>
    <row r="19" spans="1:13" ht="30" x14ac:dyDescent="0.25">
      <c r="A19" s="569">
        <f t="shared" si="0"/>
        <v>3.01</v>
      </c>
      <c r="B19" s="498" t="s">
        <v>507</v>
      </c>
      <c r="C19" s="544">
        <v>195.4</v>
      </c>
      <c r="D19" s="559" t="s">
        <v>487</v>
      </c>
      <c r="E19" s="545">
        <v>4.9400000000000004</v>
      </c>
      <c r="F19" s="540">
        <f>C19*E19</f>
        <v>965.27600000000007</v>
      </c>
      <c r="G19" s="520"/>
      <c r="H19" s="521">
        <f>+C19</f>
        <v>195.4</v>
      </c>
      <c r="I19" s="522">
        <f>+H19*E19</f>
        <v>965.27600000000007</v>
      </c>
      <c r="J19" s="521"/>
      <c r="K19" s="523"/>
      <c r="L19" s="521"/>
      <c r="M19" s="523"/>
    </row>
    <row r="20" spans="1:13" ht="30" x14ac:dyDescent="0.25">
      <c r="A20" s="569">
        <f t="shared" si="0"/>
        <v>3.0199999999999996</v>
      </c>
      <c r="B20" s="498" t="s">
        <v>508</v>
      </c>
      <c r="C20" s="544">
        <v>195.4</v>
      </c>
      <c r="D20" s="559" t="s">
        <v>487</v>
      </c>
      <c r="E20" s="545">
        <v>6.5</v>
      </c>
      <c r="F20" s="540">
        <f>C20*E20</f>
        <v>1270.1000000000001</v>
      </c>
      <c r="G20" s="520"/>
      <c r="H20" s="521">
        <f>+C20</f>
        <v>195.4</v>
      </c>
      <c r="I20" s="522">
        <f>+H20*E20</f>
        <v>1270.1000000000001</v>
      </c>
      <c r="J20" s="521"/>
      <c r="K20" s="523"/>
      <c r="L20" s="521"/>
      <c r="M20" s="523"/>
    </row>
    <row r="21" spans="1:13" ht="15.75" x14ac:dyDescent="0.25">
      <c r="A21" s="481">
        <v>4</v>
      </c>
      <c r="B21" s="497" t="s">
        <v>509</v>
      </c>
      <c r="C21" s="541"/>
      <c r="D21" s="556"/>
      <c r="E21" s="541"/>
      <c r="F21" s="541"/>
      <c r="G21" s="542">
        <f>SUM(F22:F23)</f>
        <v>1236.8620000000001</v>
      </c>
      <c r="H21" s="521"/>
      <c r="I21" s="522"/>
      <c r="J21" s="521"/>
      <c r="K21" s="523"/>
      <c r="L21" s="521"/>
      <c r="M21" s="523"/>
    </row>
    <row r="22" spans="1:13" ht="31.5" x14ac:dyDescent="0.25">
      <c r="A22" s="569">
        <f t="shared" si="0"/>
        <v>4.01</v>
      </c>
      <c r="B22" s="500" t="s">
        <v>510</v>
      </c>
      <c r="C22" s="537">
        <v>55</v>
      </c>
      <c r="D22" s="559" t="s">
        <v>487</v>
      </c>
      <c r="E22" s="540">
        <v>20.67</v>
      </c>
      <c r="F22" s="540">
        <f>C22*E22</f>
        <v>1136.8500000000001</v>
      </c>
      <c r="G22" s="520"/>
      <c r="H22" s="521">
        <v>55</v>
      </c>
      <c r="I22" s="522">
        <f>+H22*E22</f>
        <v>1136.8500000000001</v>
      </c>
      <c r="J22" s="521"/>
      <c r="K22" s="523"/>
      <c r="L22" s="521"/>
      <c r="M22" s="523"/>
    </row>
    <row r="23" spans="1:13" ht="60" x14ac:dyDescent="0.25">
      <c r="A23" s="569">
        <f t="shared" si="0"/>
        <v>4.0199999999999996</v>
      </c>
      <c r="B23" s="498" t="s">
        <v>511</v>
      </c>
      <c r="C23" s="537">
        <v>4.4000000000000004</v>
      </c>
      <c r="D23" s="559" t="s">
        <v>487</v>
      </c>
      <c r="E23" s="540">
        <v>22.73</v>
      </c>
      <c r="F23" s="540">
        <f>C23*E23</f>
        <v>100.01200000000001</v>
      </c>
      <c r="G23" s="520"/>
      <c r="H23" s="521">
        <f>+C23</f>
        <v>4.4000000000000004</v>
      </c>
      <c r="I23" s="522">
        <f>+H23*E23</f>
        <v>100.01200000000001</v>
      </c>
      <c r="J23" s="521"/>
      <c r="K23" s="523"/>
      <c r="L23" s="521"/>
      <c r="M23" s="523"/>
    </row>
    <row r="24" spans="1:13" ht="15.75" x14ac:dyDescent="0.25">
      <c r="A24" s="481">
        <v>5</v>
      </c>
      <c r="B24" s="501" t="s">
        <v>512</v>
      </c>
      <c r="C24" s="546"/>
      <c r="D24" s="558"/>
      <c r="E24" s="547"/>
      <c r="F24" s="541"/>
      <c r="G24" s="548">
        <f>SUM(F25:F27)</f>
        <v>2579.92</v>
      </c>
      <c r="H24" s="521"/>
      <c r="I24" s="522"/>
      <c r="J24" s="521"/>
      <c r="K24" s="523"/>
      <c r="L24" s="521"/>
      <c r="M24" s="523"/>
    </row>
    <row r="25" spans="1:13" ht="30" x14ac:dyDescent="0.25">
      <c r="A25" s="569">
        <f t="shared" si="0"/>
        <v>5.01</v>
      </c>
      <c r="B25" s="502" t="s">
        <v>513</v>
      </c>
      <c r="C25" s="537">
        <v>67</v>
      </c>
      <c r="D25" s="559" t="s">
        <v>487</v>
      </c>
      <c r="E25" s="549">
        <v>11.86</v>
      </c>
      <c r="F25" s="549">
        <f>C25*E25</f>
        <v>794.62</v>
      </c>
      <c r="G25" s="520"/>
      <c r="H25" s="521">
        <f>+C25-57</f>
        <v>10</v>
      </c>
      <c r="I25" s="522">
        <f>+H25*E25</f>
        <v>118.6</v>
      </c>
      <c r="J25" s="521"/>
      <c r="K25" s="523"/>
      <c r="L25" s="521"/>
      <c r="M25" s="523"/>
    </row>
    <row r="26" spans="1:13" ht="15.75" x14ac:dyDescent="0.25">
      <c r="A26" s="569">
        <f t="shared" si="0"/>
        <v>5.0199999999999996</v>
      </c>
      <c r="B26" s="502" t="s">
        <v>514</v>
      </c>
      <c r="C26" s="537">
        <v>145</v>
      </c>
      <c r="D26" s="559" t="s">
        <v>487</v>
      </c>
      <c r="E26" s="549">
        <v>6.19</v>
      </c>
      <c r="F26" s="549">
        <f>C26*E26</f>
        <v>897.55000000000007</v>
      </c>
      <c r="G26" s="520"/>
      <c r="H26" s="521">
        <f>145-90</f>
        <v>55</v>
      </c>
      <c r="I26" s="522">
        <f>+H26*E26</f>
        <v>340.45000000000005</v>
      </c>
      <c r="J26" s="521"/>
      <c r="K26" s="523"/>
      <c r="L26" s="521"/>
      <c r="M26" s="523"/>
    </row>
    <row r="27" spans="1:13" ht="30" x14ac:dyDescent="0.25">
      <c r="A27" s="569">
        <f t="shared" si="0"/>
        <v>5.0299999999999994</v>
      </c>
      <c r="B27" s="509" t="s">
        <v>515</v>
      </c>
      <c r="C27" s="537">
        <v>67</v>
      </c>
      <c r="D27" s="559" t="s">
        <v>487</v>
      </c>
      <c r="E27" s="549">
        <v>13.25</v>
      </c>
      <c r="F27" s="549">
        <f>C27*E27</f>
        <v>887.75</v>
      </c>
      <c r="G27" s="520"/>
      <c r="H27" s="521">
        <f>+C27</f>
        <v>67</v>
      </c>
      <c r="I27" s="522">
        <f>+H27*E27</f>
        <v>887.75</v>
      </c>
      <c r="J27" s="521"/>
      <c r="K27" s="523"/>
      <c r="L27" s="521"/>
      <c r="M27" s="523"/>
    </row>
    <row r="28" spans="1:13" ht="15.75" x14ac:dyDescent="0.25">
      <c r="A28" s="481">
        <v>6</v>
      </c>
      <c r="B28" s="503" t="s">
        <v>516</v>
      </c>
      <c r="C28" s="546"/>
      <c r="D28" s="558"/>
      <c r="E28" s="546"/>
      <c r="F28" s="541"/>
      <c r="G28" s="548">
        <f>SUM(F29:F34)</f>
        <v>1626.24</v>
      </c>
      <c r="H28" s="521"/>
      <c r="I28" s="522"/>
      <c r="J28" s="521"/>
      <c r="K28" s="523"/>
      <c r="L28" s="521"/>
      <c r="M28" s="523"/>
    </row>
    <row r="29" spans="1:13" ht="15.75" x14ac:dyDescent="0.25">
      <c r="A29" s="569">
        <f t="shared" si="0"/>
        <v>6.01</v>
      </c>
      <c r="B29" s="502" t="s">
        <v>517</v>
      </c>
      <c r="C29" s="537">
        <v>5</v>
      </c>
      <c r="D29" s="560" t="s">
        <v>535</v>
      </c>
      <c r="E29" s="549">
        <v>75</v>
      </c>
      <c r="F29" s="516">
        <f t="shared" ref="F29:F38" si="2">C29*E29</f>
        <v>375</v>
      </c>
      <c r="G29" s="520"/>
      <c r="H29" s="521">
        <f>+C29</f>
        <v>5</v>
      </c>
      <c r="I29" s="522">
        <f t="shared" ref="I29:I33" si="3">+H29*E29</f>
        <v>375</v>
      </c>
      <c r="J29" s="521"/>
      <c r="K29" s="523"/>
      <c r="L29" s="521"/>
      <c r="M29" s="523"/>
    </row>
    <row r="30" spans="1:13" ht="15.75" x14ac:dyDescent="0.25">
      <c r="A30" s="569">
        <f t="shared" si="0"/>
        <v>6.02</v>
      </c>
      <c r="B30" s="502" t="s">
        <v>518</v>
      </c>
      <c r="C30" s="537">
        <v>6</v>
      </c>
      <c r="D30" s="559" t="s">
        <v>535</v>
      </c>
      <c r="E30" s="549">
        <v>50</v>
      </c>
      <c r="F30" s="516">
        <f t="shared" si="2"/>
        <v>300</v>
      </c>
      <c r="G30" s="520"/>
      <c r="H30" s="521">
        <f t="shared" ref="H30:H33" si="4">+C30</f>
        <v>6</v>
      </c>
      <c r="I30" s="522">
        <f t="shared" si="3"/>
        <v>300</v>
      </c>
      <c r="J30" s="521"/>
      <c r="K30" s="523"/>
      <c r="L30" s="521"/>
      <c r="M30" s="523"/>
    </row>
    <row r="31" spans="1:13" ht="30" x14ac:dyDescent="0.25">
      <c r="A31" s="569">
        <f t="shared" si="0"/>
        <v>6.0299999999999994</v>
      </c>
      <c r="B31" s="502" t="s">
        <v>519</v>
      </c>
      <c r="C31" s="537">
        <v>12</v>
      </c>
      <c r="D31" s="561" t="s">
        <v>535</v>
      </c>
      <c r="E31" s="551">
        <v>46</v>
      </c>
      <c r="F31" s="516">
        <f t="shared" si="2"/>
        <v>552</v>
      </c>
      <c r="G31" s="520"/>
      <c r="H31" s="521">
        <f t="shared" si="4"/>
        <v>12</v>
      </c>
      <c r="I31" s="522">
        <f t="shared" si="3"/>
        <v>552</v>
      </c>
      <c r="J31" s="521"/>
      <c r="K31" s="523"/>
      <c r="L31" s="521"/>
      <c r="M31" s="523"/>
    </row>
    <row r="32" spans="1:13" ht="30" x14ac:dyDescent="0.25">
      <c r="A32" s="569">
        <f t="shared" si="0"/>
        <v>6.0399999999999991</v>
      </c>
      <c r="B32" s="502" t="s">
        <v>520</v>
      </c>
      <c r="C32" s="537">
        <v>2</v>
      </c>
      <c r="D32" s="561" t="s">
        <v>245</v>
      </c>
      <c r="E32" s="551">
        <v>68.540000000000006</v>
      </c>
      <c r="F32" s="516">
        <f t="shared" si="2"/>
        <v>137.08000000000001</v>
      </c>
      <c r="G32" s="520"/>
      <c r="H32" s="521">
        <f t="shared" si="4"/>
        <v>2</v>
      </c>
      <c r="I32" s="522">
        <f t="shared" si="3"/>
        <v>137.08000000000001</v>
      </c>
      <c r="J32" s="521"/>
      <c r="K32" s="523"/>
      <c r="L32" s="521"/>
      <c r="M32" s="523"/>
    </row>
    <row r="33" spans="1:13" ht="26.25" customHeight="1" x14ac:dyDescent="0.25">
      <c r="A33" s="569">
        <f t="shared" si="0"/>
        <v>6.0499999999999989</v>
      </c>
      <c r="B33" s="502" t="s">
        <v>521</v>
      </c>
      <c r="C33" s="537">
        <v>6</v>
      </c>
      <c r="D33" s="561" t="s">
        <v>245</v>
      </c>
      <c r="E33" s="551">
        <v>30.36</v>
      </c>
      <c r="F33" s="516">
        <f t="shared" si="2"/>
        <v>182.16</v>
      </c>
      <c r="G33" s="520"/>
      <c r="H33" s="521">
        <f t="shared" si="4"/>
        <v>6</v>
      </c>
      <c r="I33" s="522">
        <f t="shared" si="3"/>
        <v>182.16</v>
      </c>
      <c r="J33" s="521"/>
      <c r="K33" s="523"/>
      <c r="L33" s="521"/>
      <c r="M33" s="523"/>
    </row>
    <row r="34" spans="1:13" ht="32.25" customHeight="1" x14ac:dyDescent="0.25">
      <c r="A34" s="569">
        <f t="shared" si="0"/>
        <v>6.0599999999999987</v>
      </c>
      <c r="B34" s="504" t="s">
        <v>547</v>
      </c>
      <c r="C34" s="537">
        <v>4</v>
      </c>
      <c r="D34" s="562" t="s">
        <v>245</v>
      </c>
      <c r="E34" s="552">
        <v>20</v>
      </c>
      <c r="F34" s="553">
        <f t="shared" si="2"/>
        <v>80</v>
      </c>
      <c r="G34" s="520"/>
      <c r="H34" s="521"/>
      <c r="I34" s="522"/>
      <c r="J34" s="521">
        <v>10</v>
      </c>
      <c r="K34" s="525">
        <f>+J34*E34</f>
        <v>200</v>
      </c>
      <c r="L34" s="521"/>
      <c r="M34" s="523"/>
    </row>
    <row r="35" spans="1:13" x14ac:dyDescent="0.25">
      <c r="A35" s="481">
        <v>7</v>
      </c>
      <c r="B35" s="505" t="s">
        <v>522</v>
      </c>
      <c r="C35" s="554"/>
      <c r="D35" s="563"/>
      <c r="E35" s="554"/>
      <c r="F35" s="554"/>
      <c r="G35" s="554">
        <f>SUM(F36:F38)</f>
        <v>424</v>
      </c>
      <c r="H35" s="521"/>
      <c r="I35" s="522"/>
      <c r="J35" s="521"/>
      <c r="K35" s="523"/>
      <c r="L35" s="521"/>
      <c r="M35" s="523"/>
    </row>
    <row r="36" spans="1:13" ht="30" customHeight="1" x14ac:dyDescent="0.25">
      <c r="A36" s="569">
        <f t="shared" si="0"/>
        <v>7.01</v>
      </c>
      <c r="B36" s="502" t="s">
        <v>523</v>
      </c>
      <c r="C36" s="537">
        <v>8</v>
      </c>
      <c r="D36" s="561" t="s">
        <v>245</v>
      </c>
      <c r="E36" s="551">
        <v>48</v>
      </c>
      <c r="F36" s="516">
        <f t="shared" si="2"/>
        <v>384</v>
      </c>
      <c r="G36" s="520"/>
      <c r="H36" s="521">
        <f>+C36</f>
        <v>8</v>
      </c>
      <c r="I36" s="522">
        <f t="shared" ref="I36:I38" si="5">+H36*E36</f>
        <v>384</v>
      </c>
      <c r="J36" s="521"/>
      <c r="K36" s="523"/>
      <c r="L36" s="521"/>
      <c r="M36" s="523"/>
    </row>
    <row r="37" spans="1:13" ht="15.75" x14ac:dyDescent="0.25">
      <c r="A37" s="569">
        <f t="shared" si="0"/>
        <v>7.02</v>
      </c>
      <c r="B37" s="502" t="s">
        <v>524</v>
      </c>
      <c r="C37" s="537">
        <v>12</v>
      </c>
      <c r="D37" s="561" t="s">
        <v>245</v>
      </c>
      <c r="E37" s="551">
        <v>2.5</v>
      </c>
      <c r="F37" s="516">
        <f t="shared" si="2"/>
        <v>30</v>
      </c>
      <c r="G37" s="520"/>
      <c r="H37" s="521">
        <f t="shared" ref="H37:H38" si="6">+C37</f>
        <v>12</v>
      </c>
      <c r="I37" s="522">
        <f t="shared" si="5"/>
        <v>30</v>
      </c>
      <c r="J37" s="521"/>
      <c r="K37" s="523"/>
      <c r="L37" s="521"/>
      <c r="M37" s="523"/>
    </row>
    <row r="38" spans="1:13" ht="15.75" x14ac:dyDescent="0.25">
      <c r="A38" s="569">
        <f t="shared" si="0"/>
        <v>7.0299999999999994</v>
      </c>
      <c r="B38" s="502" t="s">
        <v>525</v>
      </c>
      <c r="C38" s="537">
        <v>2</v>
      </c>
      <c r="D38" s="561" t="s">
        <v>245</v>
      </c>
      <c r="E38" s="551">
        <v>5</v>
      </c>
      <c r="F38" s="516">
        <f t="shared" si="2"/>
        <v>10</v>
      </c>
      <c r="G38" s="520"/>
      <c r="H38" s="521">
        <f t="shared" si="6"/>
        <v>2</v>
      </c>
      <c r="I38" s="522">
        <f t="shared" si="5"/>
        <v>10</v>
      </c>
      <c r="J38" s="521"/>
      <c r="K38" s="523"/>
      <c r="L38" s="521"/>
      <c r="M38" s="523"/>
    </row>
    <row r="39" spans="1:13" x14ac:dyDescent="0.25">
      <c r="A39" s="481">
        <v>8</v>
      </c>
      <c r="B39" s="505" t="s">
        <v>193</v>
      </c>
      <c r="C39" s="554"/>
      <c r="D39" s="563"/>
      <c r="E39" s="554"/>
      <c r="F39" s="554"/>
      <c r="G39" s="554">
        <f>SUM(F40)</f>
        <v>425.78</v>
      </c>
      <c r="H39" s="521"/>
      <c r="I39" s="522"/>
      <c r="J39" s="521"/>
      <c r="K39" s="523"/>
      <c r="L39" s="521"/>
      <c r="M39" s="523"/>
    </row>
    <row r="40" spans="1:13" ht="15.75" x14ac:dyDescent="0.25">
      <c r="A40" s="569">
        <f t="shared" si="0"/>
        <v>8.01</v>
      </c>
      <c r="B40" s="502" t="s">
        <v>526</v>
      </c>
      <c r="C40" s="537">
        <v>1</v>
      </c>
      <c r="D40" s="559" t="s">
        <v>121</v>
      </c>
      <c r="E40" s="549">
        <v>425.78</v>
      </c>
      <c r="F40" s="516">
        <f>C40*E40</f>
        <v>425.78</v>
      </c>
      <c r="G40" s="520"/>
      <c r="H40" s="521"/>
      <c r="I40" s="522"/>
      <c r="J40" s="521"/>
      <c r="K40" s="523"/>
      <c r="L40" s="521"/>
      <c r="M40" s="523"/>
    </row>
    <row r="41" spans="1:13" x14ac:dyDescent="0.25">
      <c r="A41" s="481">
        <v>9</v>
      </c>
      <c r="B41" s="506" t="s">
        <v>527</v>
      </c>
      <c r="C41" s="554"/>
      <c r="D41" s="563"/>
      <c r="E41" s="554"/>
      <c r="F41" s="554"/>
      <c r="G41" s="554">
        <f>SUM(F42)</f>
        <v>3898.5</v>
      </c>
      <c r="H41" s="521"/>
      <c r="I41" s="522"/>
      <c r="J41" s="521"/>
      <c r="K41" s="523"/>
      <c r="L41" s="521"/>
      <c r="M41" s="523"/>
    </row>
    <row r="42" spans="1:13" ht="15.75" x14ac:dyDescent="0.25">
      <c r="A42" s="569">
        <f t="shared" si="0"/>
        <v>9.01</v>
      </c>
      <c r="B42" s="507" t="s">
        <v>528</v>
      </c>
      <c r="C42" s="537">
        <v>1</v>
      </c>
      <c r="D42" s="561" t="s">
        <v>245</v>
      </c>
      <c r="E42" s="516">
        <v>3898.5</v>
      </c>
      <c r="F42" s="550">
        <f>C42*E42</f>
        <v>3898.5</v>
      </c>
      <c r="G42" s="520"/>
      <c r="H42" s="521">
        <v>0.43</v>
      </c>
      <c r="I42" s="522">
        <f>ROUND(+F42*H42,2)</f>
        <v>1676.36</v>
      </c>
      <c r="J42" s="521"/>
      <c r="K42" s="523"/>
      <c r="L42" s="521"/>
      <c r="M42" s="523"/>
    </row>
    <row r="43" spans="1:13" x14ac:dyDescent="0.25">
      <c r="A43" s="481">
        <v>10</v>
      </c>
      <c r="B43" s="506" t="s">
        <v>529</v>
      </c>
      <c r="C43" s="554"/>
      <c r="D43" s="563"/>
      <c r="E43" s="554"/>
      <c r="F43" s="554"/>
      <c r="G43" s="554">
        <f>SUM(F44)</f>
        <v>180</v>
      </c>
      <c r="H43" s="521"/>
      <c r="I43" s="522"/>
      <c r="J43" s="521"/>
      <c r="K43" s="523"/>
      <c r="L43" s="521"/>
      <c r="M43" s="523"/>
    </row>
    <row r="44" spans="1:13" ht="15.75" x14ac:dyDescent="0.25">
      <c r="A44" s="569">
        <f t="shared" si="0"/>
        <v>10.01</v>
      </c>
      <c r="B44" s="507" t="s">
        <v>530</v>
      </c>
      <c r="C44" s="537">
        <v>1</v>
      </c>
      <c r="D44" s="561" t="s">
        <v>144</v>
      </c>
      <c r="E44" s="516">
        <v>180</v>
      </c>
      <c r="F44" s="550">
        <f>C44*E44</f>
        <v>180</v>
      </c>
      <c r="G44" s="520"/>
      <c r="H44" s="521"/>
      <c r="I44" s="522"/>
      <c r="J44" s="521"/>
      <c r="K44" s="523"/>
      <c r="L44" s="521"/>
      <c r="M44" s="523"/>
    </row>
    <row r="45" spans="1:13" x14ac:dyDescent="0.25">
      <c r="A45" s="481">
        <v>11</v>
      </c>
      <c r="B45" s="506" t="s">
        <v>531</v>
      </c>
      <c r="C45" s="554"/>
      <c r="D45" s="563"/>
      <c r="E45" s="554"/>
      <c r="F45" s="554"/>
      <c r="G45" s="554">
        <f>SUM(F46)</f>
        <v>100</v>
      </c>
      <c r="H45" s="521"/>
      <c r="I45" s="522"/>
      <c r="J45" s="521"/>
      <c r="K45" s="523"/>
      <c r="L45" s="521"/>
      <c r="M45" s="523"/>
    </row>
    <row r="46" spans="1:13" ht="15.75" x14ac:dyDescent="0.25">
      <c r="A46" s="569">
        <f t="shared" si="0"/>
        <v>11.01</v>
      </c>
      <c r="B46" s="508" t="s">
        <v>531</v>
      </c>
      <c r="C46" s="537">
        <v>1</v>
      </c>
      <c r="D46" s="559" t="s">
        <v>121</v>
      </c>
      <c r="E46" s="516">
        <v>100</v>
      </c>
      <c r="F46" s="516">
        <f>C46*E46</f>
        <v>100</v>
      </c>
      <c r="G46" s="520"/>
      <c r="H46" s="521"/>
      <c r="I46" s="522"/>
      <c r="J46" s="521">
        <v>0.9</v>
      </c>
      <c r="K46" s="525">
        <f>ROUND(+J46*E46,2)</f>
        <v>90</v>
      </c>
      <c r="L46" s="521"/>
      <c r="M46" s="523"/>
    </row>
    <row r="47" spans="1:13" x14ac:dyDescent="0.25">
      <c r="A47" s="481">
        <v>12</v>
      </c>
      <c r="B47" s="506" t="s">
        <v>532</v>
      </c>
      <c r="C47" s="554"/>
      <c r="D47" s="563"/>
      <c r="E47" s="554"/>
      <c r="F47" s="554"/>
      <c r="G47" s="554">
        <f>SUM(F48)</f>
        <v>4.5</v>
      </c>
      <c r="H47" s="521"/>
      <c r="I47" s="522"/>
      <c r="J47" s="521"/>
      <c r="K47" s="523"/>
      <c r="L47" s="521"/>
      <c r="M47" s="523"/>
    </row>
    <row r="48" spans="1:13" ht="15.75" x14ac:dyDescent="0.25">
      <c r="A48" s="569">
        <f t="shared" si="0"/>
        <v>12.01</v>
      </c>
      <c r="B48" s="508" t="s">
        <v>533</v>
      </c>
      <c r="C48" s="537">
        <v>1</v>
      </c>
      <c r="D48" s="559" t="s">
        <v>245</v>
      </c>
      <c r="E48" s="516">
        <v>4.5</v>
      </c>
      <c r="F48" s="516">
        <f>C48*E48</f>
        <v>4.5</v>
      </c>
      <c r="G48" s="520"/>
      <c r="H48" s="521"/>
      <c r="I48" s="522"/>
      <c r="J48" s="521"/>
      <c r="K48" s="523"/>
      <c r="L48" s="521"/>
      <c r="M48" s="523"/>
    </row>
    <row r="49" spans="1:13" ht="15.75" x14ac:dyDescent="0.25">
      <c r="A49" s="481"/>
      <c r="B49" s="571" t="s">
        <v>545</v>
      </c>
      <c r="C49" s="526"/>
      <c r="D49" s="514"/>
      <c r="E49" s="527"/>
      <c r="F49" s="527"/>
      <c r="G49" s="520"/>
      <c r="H49" s="521"/>
      <c r="I49" s="522"/>
      <c r="J49" s="521"/>
      <c r="K49" s="523"/>
      <c r="L49" s="521"/>
      <c r="M49" s="523"/>
    </row>
    <row r="50" spans="1:13" x14ac:dyDescent="0.25">
      <c r="A50" s="481">
        <v>13</v>
      </c>
      <c r="B50" s="482" t="s">
        <v>536</v>
      </c>
      <c r="C50" s="526"/>
      <c r="D50" s="514"/>
      <c r="E50" s="527"/>
      <c r="F50" s="527"/>
      <c r="G50" s="520"/>
      <c r="H50" s="521"/>
      <c r="I50" s="522"/>
      <c r="J50" s="521"/>
      <c r="K50" s="523"/>
      <c r="L50" s="521"/>
      <c r="M50" s="523"/>
    </row>
    <row r="51" spans="1:13" ht="62.25" customHeight="1" x14ac:dyDescent="0.25">
      <c r="A51" s="569">
        <f t="shared" ref="A51:A76" si="7">+A50+0.01</f>
        <v>13.01</v>
      </c>
      <c r="B51" s="498" t="s">
        <v>538</v>
      </c>
      <c r="C51" s="526"/>
      <c r="D51" s="514" t="s">
        <v>487</v>
      </c>
      <c r="E51" s="527">
        <v>10</v>
      </c>
      <c r="F51" s="526"/>
      <c r="G51" s="520"/>
      <c r="H51" s="521"/>
      <c r="I51" s="522"/>
      <c r="J51" s="521"/>
      <c r="K51" s="523"/>
      <c r="L51" s="528">
        <v>59.14</v>
      </c>
      <c r="M51" s="564">
        <f>+ROUND(L51*E51,2)</f>
        <v>591.4</v>
      </c>
    </row>
    <row r="52" spans="1:13" ht="60" x14ac:dyDescent="0.25">
      <c r="A52" s="569">
        <f t="shared" si="7"/>
        <v>13.02</v>
      </c>
      <c r="B52" s="498" t="s">
        <v>548</v>
      </c>
      <c r="C52" s="526"/>
      <c r="D52" s="514" t="s">
        <v>487</v>
      </c>
      <c r="E52" s="527">
        <v>6</v>
      </c>
      <c r="F52" s="526"/>
      <c r="G52" s="520"/>
      <c r="H52" s="521"/>
      <c r="I52" s="522"/>
      <c r="J52" s="521"/>
      <c r="K52" s="523"/>
      <c r="L52" s="528">
        <v>57.1</v>
      </c>
      <c r="M52" s="564">
        <f>+ROUND(L52*E52,2)</f>
        <v>342.6</v>
      </c>
    </row>
    <row r="53" spans="1:13" x14ac:dyDescent="0.25">
      <c r="A53" s="481">
        <v>14</v>
      </c>
      <c r="B53" s="482" t="s">
        <v>537</v>
      </c>
      <c r="C53" s="526"/>
      <c r="D53" s="514"/>
      <c r="E53" s="527"/>
      <c r="F53" s="526"/>
      <c r="G53" s="520"/>
      <c r="H53" s="521"/>
      <c r="I53" s="522"/>
      <c r="J53" s="521"/>
      <c r="K53" s="523"/>
      <c r="L53" s="528"/>
      <c r="M53" s="564"/>
    </row>
    <row r="54" spans="1:13" ht="30" x14ac:dyDescent="0.25">
      <c r="A54" s="569">
        <f t="shared" si="7"/>
        <v>14.01</v>
      </c>
      <c r="B54" s="513" t="s">
        <v>549</v>
      </c>
      <c r="C54" s="526"/>
      <c r="D54" s="515" t="s">
        <v>129</v>
      </c>
      <c r="E54" s="527">
        <v>12</v>
      </c>
      <c r="F54" s="526"/>
      <c r="G54" s="520"/>
      <c r="H54" s="521"/>
      <c r="I54" s="522"/>
      <c r="J54" s="521"/>
      <c r="K54" s="523"/>
      <c r="L54" s="528">
        <v>4.32</v>
      </c>
      <c r="M54" s="564">
        <f>+ROUND(L54*E54,2)</f>
        <v>51.84</v>
      </c>
    </row>
    <row r="55" spans="1:13" x14ac:dyDescent="0.25">
      <c r="A55" s="569">
        <f t="shared" si="7"/>
        <v>14.02</v>
      </c>
      <c r="B55" s="513" t="s">
        <v>543</v>
      </c>
      <c r="C55" s="526"/>
      <c r="D55" s="515" t="s">
        <v>121</v>
      </c>
      <c r="E55" s="527">
        <v>180</v>
      </c>
      <c r="F55" s="526"/>
      <c r="G55" s="520"/>
      <c r="H55" s="521"/>
      <c r="I55" s="522"/>
      <c r="J55" s="521"/>
      <c r="K55" s="523"/>
      <c r="L55" s="528">
        <v>1</v>
      </c>
      <c r="M55" s="564">
        <f>+ROUND(L55*E55,2)</f>
        <v>180</v>
      </c>
    </row>
    <row r="56" spans="1:13" ht="45" x14ac:dyDescent="0.25">
      <c r="A56" s="569">
        <f t="shared" si="7"/>
        <v>14.03</v>
      </c>
      <c r="B56" s="498" t="s">
        <v>550</v>
      </c>
      <c r="C56" s="528"/>
      <c r="D56" s="515" t="s">
        <v>487</v>
      </c>
      <c r="E56" s="527">
        <v>8</v>
      </c>
      <c r="F56" s="526"/>
      <c r="G56" s="520"/>
      <c r="H56" s="521"/>
      <c r="I56" s="522"/>
      <c r="J56" s="521"/>
      <c r="K56" s="523"/>
      <c r="L56" s="528">
        <v>69.81</v>
      </c>
      <c r="M56" s="564">
        <f>+ROUND(L56*E56,2)</f>
        <v>558.48</v>
      </c>
    </row>
    <row r="57" spans="1:13" x14ac:dyDescent="0.25">
      <c r="A57" s="481">
        <v>15</v>
      </c>
      <c r="B57" s="482" t="s">
        <v>195</v>
      </c>
      <c r="C57" s="526"/>
      <c r="D57" s="515"/>
      <c r="E57" s="527"/>
      <c r="F57" s="526"/>
      <c r="G57" s="520"/>
      <c r="H57" s="521"/>
      <c r="I57" s="522"/>
      <c r="J57" s="521"/>
      <c r="K57" s="523"/>
      <c r="L57" s="528"/>
      <c r="M57" s="564"/>
    </row>
    <row r="58" spans="1:13" ht="30" x14ac:dyDescent="0.25">
      <c r="A58" s="569">
        <f t="shared" si="7"/>
        <v>15.01</v>
      </c>
      <c r="B58" s="513" t="s">
        <v>551</v>
      </c>
      <c r="C58" s="526"/>
      <c r="D58" s="515" t="s">
        <v>131</v>
      </c>
      <c r="E58" s="527">
        <v>25</v>
      </c>
      <c r="F58" s="526"/>
      <c r="G58" s="520"/>
      <c r="H58" s="521"/>
      <c r="I58" s="522"/>
      <c r="J58" s="521"/>
      <c r="K58" s="523"/>
      <c r="L58" s="528">
        <v>20.75</v>
      </c>
      <c r="M58" s="564">
        <f>+ROUND(L58*E58,2)</f>
        <v>518.75</v>
      </c>
    </row>
    <row r="59" spans="1:13" x14ac:dyDescent="0.25">
      <c r="A59" s="569">
        <f t="shared" si="7"/>
        <v>15.02</v>
      </c>
      <c r="B59" s="513" t="s">
        <v>539</v>
      </c>
      <c r="C59" s="528"/>
      <c r="D59" s="515" t="s">
        <v>137</v>
      </c>
      <c r="E59" s="527">
        <v>60</v>
      </c>
      <c r="F59" s="526"/>
      <c r="G59" s="520"/>
      <c r="H59" s="521"/>
      <c r="I59" s="522"/>
      <c r="J59" s="521"/>
      <c r="K59" s="523"/>
      <c r="L59" s="528">
        <v>5</v>
      </c>
      <c r="M59" s="564">
        <f>+ROUND(L59*E59,2)</f>
        <v>300</v>
      </c>
    </row>
    <row r="60" spans="1:13" ht="30" x14ac:dyDescent="0.25">
      <c r="A60" s="481">
        <v>16</v>
      </c>
      <c r="B60" s="482" t="s">
        <v>542</v>
      </c>
      <c r="C60" s="526"/>
      <c r="D60" s="515"/>
      <c r="E60" s="527"/>
      <c r="F60" s="526"/>
      <c r="G60" s="520"/>
      <c r="H60" s="521"/>
      <c r="I60" s="522"/>
      <c r="J60" s="521"/>
      <c r="K60" s="523"/>
      <c r="L60" s="528"/>
      <c r="M60" s="564"/>
    </row>
    <row r="61" spans="1:13" ht="57.75" customHeight="1" x14ac:dyDescent="0.25">
      <c r="A61" s="569">
        <f t="shared" si="7"/>
        <v>16.010000000000002</v>
      </c>
      <c r="B61" s="513" t="s">
        <v>541</v>
      </c>
      <c r="C61" s="528"/>
      <c r="D61" s="515" t="s">
        <v>487</v>
      </c>
      <c r="E61" s="527">
        <v>12</v>
      </c>
      <c r="F61" s="526"/>
      <c r="G61" s="520"/>
      <c r="H61" s="521"/>
      <c r="I61" s="522"/>
      <c r="J61" s="521"/>
      <c r="K61" s="523"/>
      <c r="L61" s="528">
        <v>57.1</v>
      </c>
      <c r="M61" s="564">
        <f t="shared" ref="M61:M76" si="8">+ROUND(L61*E61,2)</f>
        <v>685.2</v>
      </c>
    </row>
    <row r="62" spans="1:13" ht="90" x14ac:dyDescent="0.25">
      <c r="A62" s="569">
        <f t="shared" si="7"/>
        <v>16.020000000000003</v>
      </c>
      <c r="B62" s="498" t="s">
        <v>552</v>
      </c>
      <c r="C62" s="528"/>
      <c r="D62" s="515" t="s">
        <v>487</v>
      </c>
      <c r="E62" s="527">
        <v>8</v>
      </c>
      <c r="F62" s="526"/>
      <c r="G62" s="520"/>
      <c r="H62" s="521"/>
      <c r="I62" s="522"/>
      <c r="J62" s="521"/>
      <c r="K62" s="523"/>
      <c r="L62" s="528">
        <v>86.23</v>
      </c>
      <c r="M62" s="564">
        <f t="shared" si="8"/>
        <v>689.84</v>
      </c>
    </row>
    <row r="63" spans="1:13" ht="60" x14ac:dyDescent="0.25">
      <c r="A63" s="569">
        <f t="shared" si="7"/>
        <v>16.030000000000005</v>
      </c>
      <c r="B63" s="513" t="s">
        <v>553</v>
      </c>
      <c r="C63" s="528"/>
      <c r="D63" s="515" t="s">
        <v>137</v>
      </c>
      <c r="E63" s="527">
        <v>25</v>
      </c>
      <c r="F63" s="526"/>
      <c r="G63" s="520"/>
      <c r="H63" s="521"/>
      <c r="I63" s="522"/>
      <c r="J63" s="521"/>
      <c r="K63" s="523"/>
      <c r="L63" s="528">
        <v>2</v>
      </c>
      <c r="M63" s="564">
        <f t="shared" si="8"/>
        <v>50</v>
      </c>
    </row>
    <row r="64" spans="1:13" ht="153" customHeight="1" x14ac:dyDescent="0.25">
      <c r="A64" s="569">
        <f t="shared" si="7"/>
        <v>16.040000000000006</v>
      </c>
      <c r="B64" s="513" t="s">
        <v>554</v>
      </c>
      <c r="C64" s="528"/>
      <c r="D64" s="515" t="s">
        <v>121</v>
      </c>
      <c r="E64" s="527">
        <v>900</v>
      </c>
      <c r="F64" s="526"/>
      <c r="G64" s="520"/>
      <c r="H64" s="521"/>
      <c r="I64" s="522"/>
      <c r="J64" s="521"/>
      <c r="K64" s="523"/>
      <c r="L64" s="528">
        <v>1</v>
      </c>
      <c r="M64" s="564">
        <f t="shared" si="8"/>
        <v>900</v>
      </c>
    </row>
    <row r="65" spans="1:16" ht="87.75" customHeight="1" x14ac:dyDescent="0.25">
      <c r="A65" s="569"/>
      <c r="B65" s="513" t="s">
        <v>555</v>
      </c>
      <c r="C65" s="528"/>
      <c r="D65" s="578" t="s">
        <v>121</v>
      </c>
      <c r="E65" s="515">
        <f>ROUND(580+30+10+2*80,2)/2</f>
        <v>390</v>
      </c>
      <c r="F65" s="526"/>
      <c r="G65" s="520"/>
      <c r="H65" s="521"/>
      <c r="I65" s="522"/>
      <c r="J65" s="521"/>
      <c r="K65" s="523"/>
      <c r="L65" s="528">
        <v>2</v>
      </c>
      <c r="M65" s="564">
        <f t="shared" si="8"/>
        <v>780</v>
      </c>
    </row>
    <row r="66" spans="1:16" ht="30" x14ac:dyDescent="0.25">
      <c r="A66" s="569">
        <f>+A64+0.01</f>
        <v>16.050000000000008</v>
      </c>
      <c r="B66" s="513" t="s">
        <v>556</v>
      </c>
      <c r="C66" s="528"/>
      <c r="D66" s="515" t="s">
        <v>487</v>
      </c>
      <c r="E66" s="527">
        <v>15</v>
      </c>
      <c r="F66" s="526"/>
      <c r="G66" s="520"/>
      <c r="H66" s="521"/>
      <c r="I66" s="522"/>
      <c r="J66" s="521"/>
      <c r="K66" s="523"/>
      <c r="L66" s="528">
        <v>108</v>
      </c>
      <c r="M66" s="564">
        <f t="shared" si="8"/>
        <v>1620</v>
      </c>
    </row>
    <row r="67" spans="1:16" x14ac:dyDescent="0.25">
      <c r="A67" s="569">
        <f t="shared" si="7"/>
        <v>16.060000000000009</v>
      </c>
      <c r="B67" s="513" t="s">
        <v>540</v>
      </c>
      <c r="C67" s="528"/>
      <c r="D67" s="515" t="s">
        <v>131</v>
      </c>
      <c r="E67" s="527">
        <v>6.5</v>
      </c>
      <c r="F67" s="526"/>
      <c r="G67" s="520"/>
      <c r="H67" s="521"/>
      <c r="I67" s="522"/>
      <c r="J67" s="521"/>
      <c r="K67" s="523"/>
      <c r="L67" s="528">
        <v>14.1</v>
      </c>
      <c r="M67" s="564">
        <f t="shared" si="8"/>
        <v>91.65</v>
      </c>
    </row>
    <row r="68" spans="1:16" ht="30" x14ac:dyDescent="0.25">
      <c r="A68" s="569">
        <f t="shared" si="7"/>
        <v>16.070000000000011</v>
      </c>
      <c r="B68" s="513" t="s">
        <v>557</v>
      </c>
      <c r="C68" s="528"/>
      <c r="D68" s="515" t="s">
        <v>487</v>
      </c>
      <c r="E68" s="527">
        <v>2.5</v>
      </c>
      <c r="F68" s="526"/>
      <c r="G68" s="520"/>
      <c r="H68" s="521"/>
      <c r="I68" s="522"/>
      <c r="J68" s="521"/>
      <c r="K68" s="523"/>
      <c r="L68" s="528">
        <v>108</v>
      </c>
      <c r="M68" s="564">
        <f t="shared" si="8"/>
        <v>270</v>
      </c>
    </row>
    <row r="69" spans="1:16" ht="30" x14ac:dyDescent="0.25">
      <c r="A69" s="569">
        <f t="shared" si="7"/>
        <v>16.080000000000013</v>
      </c>
      <c r="B69" s="513" t="s">
        <v>558</v>
      </c>
      <c r="C69" s="528"/>
      <c r="D69" s="515" t="s">
        <v>121</v>
      </c>
      <c r="E69" s="528">
        <f>ROUND((84.6*2.5+3*7.64*4+105),2)</f>
        <v>408.18</v>
      </c>
      <c r="F69" s="526"/>
      <c r="G69" s="520"/>
      <c r="H69" s="521"/>
      <c r="I69" s="522"/>
      <c r="J69" s="521"/>
      <c r="K69" s="523"/>
      <c r="L69" s="577">
        <v>1</v>
      </c>
      <c r="M69" s="564">
        <f t="shared" si="8"/>
        <v>408.18</v>
      </c>
    </row>
    <row r="70" spans="1:16" ht="75" x14ac:dyDescent="0.25">
      <c r="A70" s="570">
        <f t="shared" si="7"/>
        <v>16.090000000000014</v>
      </c>
      <c r="B70" s="513" t="s">
        <v>559</v>
      </c>
      <c r="C70" s="528"/>
      <c r="D70" s="515" t="s">
        <v>121</v>
      </c>
      <c r="E70" s="527">
        <v>50</v>
      </c>
      <c r="F70" s="526"/>
      <c r="G70" s="520"/>
      <c r="H70" s="521"/>
      <c r="I70" s="522"/>
      <c r="J70" s="521"/>
      <c r="K70" s="523"/>
      <c r="L70" s="528">
        <v>1</v>
      </c>
      <c r="M70" s="564">
        <f t="shared" si="8"/>
        <v>50</v>
      </c>
    </row>
    <row r="71" spans="1:16" ht="118.5" customHeight="1" x14ac:dyDescent="0.25">
      <c r="A71" s="574">
        <f t="shared" si="7"/>
        <v>16.100000000000016</v>
      </c>
      <c r="B71" s="498" t="s">
        <v>560</v>
      </c>
      <c r="C71" s="528"/>
      <c r="D71" s="515" t="s">
        <v>487</v>
      </c>
      <c r="E71" s="527">
        <v>25</v>
      </c>
      <c r="F71" s="526"/>
      <c r="G71" s="520"/>
      <c r="H71" s="521"/>
      <c r="I71" s="522"/>
      <c r="J71" s="521"/>
      <c r="K71" s="523"/>
      <c r="L71" s="528">
        <v>71.39</v>
      </c>
      <c r="M71" s="564">
        <f t="shared" si="8"/>
        <v>1784.75</v>
      </c>
    </row>
    <row r="72" spans="1:16" ht="30" x14ac:dyDescent="0.25">
      <c r="A72" s="570">
        <f t="shared" si="7"/>
        <v>16.110000000000017</v>
      </c>
      <c r="B72" s="573" t="s">
        <v>561</v>
      </c>
      <c r="C72" s="528"/>
      <c r="D72" s="515" t="s">
        <v>121</v>
      </c>
      <c r="E72" s="527">
        <f>+ROUND((68.87*5+150),2)</f>
        <v>494.35</v>
      </c>
      <c r="F72" s="526"/>
      <c r="G72" s="520"/>
      <c r="H72" s="521"/>
      <c r="I72" s="522"/>
      <c r="J72" s="521"/>
      <c r="K72" s="523"/>
      <c r="L72" s="528">
        <v>1</v>
      </c>
      <c r="M72" s="564">
        <f t="shared" si="8"/>
        <v>494.35</v>
      </c>
    </row>
    <row r="73" spans="1:16" ht="36" customHeight="1" x14ac:dyDescent="0.25">
      <c r="A73" s="570">
        <f>+A71+0.01</f>
        <v>16.110000000000017</v>
      </c>
      <c r="B73" s="513" t="s">
        <v>544</v>
      </c>
      <c r="C73" s="528"/>
      <c r="D73" s="515" t="s">
        <v>121</v>
      </c>
      <c r="E73" s="527">
        <v>250</v>
      </c>
      <c r="F73" s="526"/>
      <c r="G73" s="520"/>
      <c r="H73" s="521"/>
      <c r="I73" s="522"/>
      <c r="J73" s="521"/>
      <c r="K73" s="523"/>
      <c r="L73" s="528">
        <v>1</v>
      </c>
      <c r="M73" s="564">
        <f t="shared" si="8"/>
        <v>250</v>
      </c>
    </row>
    <row r="74" spans="1:16" ht="60" x14ac:dyDescent="0.25">
      <c r="A74" s="569">
        <f t="shared" si="7"/>
        <v>16.120000000000019</v>
      </c>
      <c r="B74" s="513" t="s">
        <v>562</v>
      </c>
      <c r="C74" s="528"/>
      <c r="D74" s="515" t="s">
        <v>121</v>
      </c>
      <c r="E74" s="527">
        <v>950</v>
      </c>
      <c r="F74" s="526"/>
      <c r="G74" s="520"/>
      <c r="H74" s="521"/>
      <c r="I74" s="522"/>
      <c r="J74" s="521"/>
      <c r="K74" s="523"/>
      <c r="L74" s="528">
        <v>1</v>
      </c>
      <c r="M74" s="564">
        <f t="shared" si="8"/>
        <v>950</v>
      </c>
    </row>
    <row r="75" spans="1:16" ht="30" x14ac:dyDescent="0.25">
      <c r="A75" s="569">
        <f t="shared" si="7"/>
        <v>16.13000000000002</v>
      </c>
      <c r="B75" s="513" t="s">
        <v>563</v>
      </c>
      <c r="C75" s="528"/>
      <c r="D75" s="515" t="s">
        <v>137</v>
      </c>
      <c r="E75" s="527">
        <v>30</v>
      </c>
      <c r="F75" s="526"/>
      <c r="G75" s="520"/>
      <c r="H75" s="521"/>
      <c r="I75" s="522"/>
      <c r="J75" s="521"/>
      <c r="K75" s="523"/>
      <c r="L75" s="528">
        <v>2</v>
      </c>
      <c r="M75" s="564">
        <f t="shared" si="8"/>
        <v>60</v>
      </c>
    </row>
    <row r="76" spans="1:16" ht="90" x14ac:dyDescent="0.25">
      <c r="A76" s="569">
        <f t="shared" si="7"/>
        <v>16.140000000000022</v>
      </c>
      <c r="B76" s="513" t="s">
        <v>564</v>
      </c>
      <c r="C76" s="528"/>
      <c r="D76" s="515" t="s">
        <v>121</v>
      </c>
      <c r="E76" s="527">
        <v>653.67999999999995</v>
      </c>
      <c r="F76" s="526"/>
      <c r="G76" s="520"/>
      <c r="H76" s="521"/>
      <c r="I76" s="522"/>
      <c r="J76" s="521"/>
      <c r="K76" s="523"/>
      <c r="L76" s="528">
        <v>1</v>
      </c>
      <c r="M76" s="564">
        <f t="shared" si="8"/>
        <v>653.67999999999995</v>
      </c>
    </row>
    <row r="77" spans="1:16" ht="19.5" thickBot="1" x14ac:dyDescent="0.35">
      <c r="A77" s="495"/>
      <c r="B77" s="496" t="s">
        <v>145</v>
      </c>
      <c r="C77" s="529"/>
      <c r="D77" s="530"/>
      <c r="E77" s="531"/>
      <c r="F77" s="531"/>
      <c r="G77" s="532">
        <f>SUM(G7:G76)</f>
        <v>14000.0038</v>
      </c>
      <c r="H77" s="533"/>
      <c r="I77" s="534">
        <f>SUM(I7:I76)</f>
        <v>8870.7219999999998</v>
      </c>
      <c r="J77" s="533"/>
      <c r="K77" s="535">
        <f>SUM(K7:K76)</f>
        <v>290</v>
      </c>
      <c r="L77" s="536"/>
      <c r="M77" s="535">
        <f>SUM(M7:M76)</f>
        <v>12280.720000000001</v>
      </c>
      <c r="P77" s="483"/>
    </row>
    <row r="78" spans="1:16" ht="15.75" x14ac:dyDescent="0.25">
      <c r="A78" s="484"/>
      <c r="B78" s="485"/>
      <c r="C78" s="486"/>
      <c r="D78" s="486"/>
      <c r="E78" s="487"/>
      <c r="F78" s="485"/>
      <c r="G78" s="485"/>
    </row>
    <row r="79" spans="1:16" ht="15.75" thickBot="1" x14ac:dyDescent="0.3">
      <c r="B79" s="493" t="s">
        <v>491</v>
      </c>
      <c r="E79" s="722"/>
      <c r="F79" s="722"/>
      <c r="G79" s="722"/>
      <c r="H79" s="722"/>
      <c r="I79" s="722"/>
      <c r="J79" s="722"/>
      <c r="K79" s="722"/>
      <c r="L79" s="722"/>
      <c r="M79" s="722"/>
    </row>
    <row r="80" spans="1:16" x14ac:dyDescent="0.25">
      <c r="B80" s="565" t="s">
        <v>488</v>
      </c>
      <c r="C80" s="566">
        <f>+M77+K77+G77-I77</f>
        <v>17700.001799999998</v>
      </c>
      <c r="E80" s="722"/>
      <c r="F80" s="722"/>
      <c r="G80" s="722"/>
      <c r="H80" s="722"/>
      <c r="I80" s="722"/>
      <c r="J80" s="722"/>
      <c r="K80" s="722"/>
      <c r="L80" s="722"/>
      <c r="M80" s="722"/>
    </row>
    <row r="81" spans="2:13" x14ac:dyDescent="0.25">
      <c r="B81" s="567" t="s">
        <v>494</v>
      </c>
      <c r="C81" s="568">
        <f>+G77</f>
        <v>14000.0038</v>
      </c>
      <c r="E81" s="722"/>
      <c r="F81" s="722"/>
      <c r="G81" s="722"/>
      <c r="H81" s="722"/>
      <c r="I81" s="722"/>
      <c r="J81" s="722"/>
      <c r="K81" s="722"/>
      <c r="L81" s="722"/>
      <c r="M81" s="722"/>
    </row>
    <row r="82" spans="2:13" ht="15.75" thickBot="1" x14ac:dyDescent="0.3">
      <c r="B82" s="575" t="s">
        <v>489</v>
      </c>
      <c r="C82" s="576">
        <f>C80-C81</f>
        <v>3699.9979999999978</v>
      </c>
      <c r="F82" s="721"/>
      <c r="G82" s="721"/>
      <c r="H82" s="721"/>
      <c r="J82" s="722"/>
      <c r="K82" s="722"/>
      <c r="L82" s="722"/>
      <c r="M82" s="722"/>
    </row>
  </sheetData>
  <mergeCells count="9">
    <mergeCell ref="A1:G1"/>
    <mergeCell ref="F82:H82"/>
    <mergeCell ref="J82:M82"/>
    <mergeCell ref="B2:G2"/>
    <mergeCell ref="H5:I5"/>
    <mergeCell ref="J5:K5"/>
    <mergeCell ref="L5:M5"/>
    <mergeCell ref="A5:G5"/>
    <mergeCell ref="E79:M81"/>
  </mergeCells>
  <pageMargins left="0.70866141732283472" right="0.70866141732283472" top="0.74803149606299213" bottom="0.74803149606299213" header="0.31496062992125984" footer="0.31496062992125984"/>
  <pageSetup scale="72" orientation="landscape" horizontalDpi="0" verticalDpi="0" r:id="rId1"/>
  <rowBreaks count="3" manualBreakCount="3">
    <brk id="27" max="12" man="1"/>
    <brk id="52" max="12" man="1"/>
    <brk id="74" max="1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5</vt:i4>
      </vt:variant>
    </vt:vector>
  </HeadingPairs>
  <TitlesOfParts>
    <vt:vector size="12" baseType="lpstr">
      <vt:lpstr>CANTIDADES</vt:lpstr>
      <vt:lpstr>CONFORMACION DE CALLES</vt:lpstr>
      <vt:lpstr>CARPETA</vt:lpstr>
      <vt:lpstr>Hoja1</vt:lpstr>
      <vt:lpstr>costo m tuberia AP 2"</vt:lpstr>
      <vt:lpstr>Costo m tube AP 3"</vt:lpstr>
      <vt:lpstr>PRESUPUESTO MODIFICADO</vt:lpstr>
      <vt:lpstr>CARPETA!Área_de_impresión</vt:lpstr>
      <vt:lpstr>'CONFORMACION DE CALLES'!Área_de_impresión</vt:lpstr>
      <vt:lpstr>Hoja1!Área_de_impresión</vt:lpstr>
      <vt:lpstr>'PRESUPUESTO MODIFICADO'!Área_de_impresión</vt:lpstr>
      <vt:lpstr>'PRESUPUESTO MODIFICADO'!Títulos_a_imprimir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Proyectos 03</dc:creator>
  <cp:lastModifiedBy>DESPACHO MUNICIPAL</cp:lastModifiedBy>
  <cp:lastPrinted>2017-01-16T21:10:10Z</cp:lastPrinted>
  <dcterms:created xsi:type="dcterms:W3CDTF">2015-04-14T15:19:32Z</dcterms:created>
  <dcterms:modified xsi:type="dcterms:W3CDTF">2017-04-19T23:15:47Z</dcterms:modified>
</cp:coreProperties>
</file>