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GTH_Colab\OneDrive - Alcaldia Municipal de Acajutla (Teams Exploratory)\Escritorio\2023\Presupuesto UGTH 2023\"/>
    </mc:Choice>
  </mc:AlternateContent>
  <bookViews>
    <workbookView xWindow="-120" yWindow="-120" windowWidth="20736" windowHeight="11040" firstSheet="1" activeTab="1"/>
  </bookViews>
  <sheets>
    <sheet name="Hoja1" sheetId="1" state="hidden" r:id="rId1"/>
    <sheet name="VACACIONES" sheetId="4" r:id="rId2"/>
    <sheet name="SALARIO" sheetId="3" r:id="rId3"/>
  </sheets>
  <externalReferences>
    <externalReference r:id="rId4"/>
  </externalReferences>
  <definedNames>
    <definedName name="_xlnm.Print_Titles" localSheetId="2">SALARIO!$A:$E,SALARIO!$1:$5</definedName>
    <definedName name="_xlnm.Print_Titles" localSheetId="1">VACACIONES!$1:$5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4" i="4" l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15" i="3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L104" i="3" l="1"/>
  <c r="AK104" i="3"/>
  <c r="AJ104" i="3"/>
  <c r="AI104" i="3"/>
  <c r="AH104" i="3"/>
  <c r="AG104" i="3"/>
  <c r="AF104" i="3"/>
  <c r="AE104" i="3"/>
  <c r="AD104" i="3"/>
  <c r="AC104" i="3"/>
  <c r="AB104" i="3"/>
  <c r="X104" i="3"/>
  <c r="T104" i="3"/>
  <c r="S104" i="3"/>
  <c r="O104" i="3"/>
  <c r="N104" i="3"/>
  <c r="M104" i="3"/>
  <c r="L104" i="3"/>
  <c r="K104" i="3"/>
  <c r="I104" i="3"/>
  <c r="H104" i="3"/>
  <c r="AL44" i="3"/>
  <c r="AK44" i="3"/>
  <c r="AJ44" i="3"/>
  <c r="AI44" i="3"/>
  <c r="AH44" i="3"/>
  <c r="AG44" i="3"/>
  <c r="AF44" i="3"/>
  <c r="AE44" i="3"/>
  <c r="AD44" i="3"/>
  <c r="AC44" i="3"/>
  <c r="AB44" i="3"/>
  <c r="X44" i="3"/>
  <c r="W44" i="3"/>
  <c r="T44" i="3"/>
  <c r="S44" i="3"/>
  <c r="O44" i="3"/>
  <c r="N44" i="3"/>
  <c r="M44" i="3"/>
  <c r="L44" i="3"/>
  <c r="K44" i="3"/>
  <c r="I44" i="3"/>
  <c r="H44" i="3"/>
  <c r="F323" i="3" l="1"/>
  <c r="F323" i="4"/>
  <c r="F27" i="4" l="1"/>
  <c r="X27" i="3"/>
  <c r="W27" i="3"/>
  <c r="T27" i="3"/>
  <c r="S27" i="3"/>
  <c r="O27" i="3"/>
  <c r="N27" i="3"/>
  <c r="M27" i="3"/>
  <c r="L27" i="3"/>
  <c r="K27" i="3"/>
  <c r="I27" i="3"/>
  <c r="H27" i="3"/>
  <c r="F27" i="3"/>
  <c r="F235" i="4" l="1"/>
  <c r="Z233" i="3"/>
  <c r="AA233" i="3" s="1"/>
  <c r="U233" i="3"/>
  <c r="V233" i="3" s="1"/>
  <c r="P233" i="3"/>
  <c r="Q233" i="3" s="1"/>
  <c r="J233" i="3"/>
  <c r="G233" i="3"/>
  <c r="Z227" i="3"/>
  <c r="AA227" i="3" s="1"/>
  <c r="U227" i="3"/>
  <c r="V227" i="3" s="1"/>
  <c r="P227" i="3"/>
  <c r="J227" i="3"/>
  <c r="G227" i="3"/>
  <c r="Y227" i="3" l="1"/>
  <c r="Y233" i="3"/>
  <c r="R227" i="3"/>
  <c r="Z133" i="3" l="1"/>
  <c r="AA133" i="3" s="1"/>
  <c r="U133" i="3"/>
  <c r="V133" i="3" s="1"/>
  <c r="P133" i="3"/>
  <c r="J133" i="3"/>
  <c r="G133" i="3"/>
  <c r="Y133" i="3" l="1"/>
  <c r="R133" i="3"/>
  <c r="P382" i="3"/>
  <c r="R382" i="3" s="1"/>
  <c r="J109" i="3" l="1"/>
  <c r="Z42" i="3" l="1"/>
  <c r="AA42" i="3" s="1"/>
  <c r="U42" i="3"/>
  <c r="P42" i="3"/>
  <c r="J42" i="3"/>
  <c r="G42" i="3"/>
  <c r="Y42" i="3" l="1"/>
  <c r="V42" i="3"/>
  <c r="Q42" i="3"/>
  <c r="J262" i="3" l="1"/>
  <c r="F425" i="3"/>
  <c r="F411" i="3"/>
  <c r="F399" i="3"/>
  <c r="F347" i="3"/>
  <c r="U347" i="3" s="1"/>
  <c r="V347" i="3" s="1"/>
  <c r="F375" i="3"/>
  <c r="G375" i="3" s="1"/>
  <c r="F374" i="3"/>
  <c r="U374" i="3" s="1"/>
  <c r="V374" i="3" s="1"/>
  <c r="F373" i="3"/>
  <c r="P373" i="3" s="1"/>
  <c r="F368" i="3"/>
  <c r="P368" i="3" s="1"/>
  <c r="Z288" i="3"/>
  <c r="AA288" i="3" s="1"/>
  <c r="U288" i="3"/>
  <c r="V288" i="3" s="1"/>
  <c r="P288" i="3"/>
  <c r="Y288" i="3" s="1"/>
  <c r="J288" i="3"/>
  <c r="G288" i="3"/>
  <c r="Z287" i="3"/>
  <c r="AA287" i="3" s="1"/>
  <c r="U287" i="3"/>
  <c r="V287" i="3" s="1"/>
  <c r="P287" i="3"/>
  <c r="J287" i="3"/>
  <c r="G287" i="3"/>
  <c r="Z247" i="3"/>
  <c r="AA247" i="3" s="1"/>
  <c r="U247" i="3"/>
  <c r="V247" i="3" s="1"/>
  <c r="P247" i="3"/>
  <c r="J247" i="3"/>
  <c r="G247" i="3"/>
  <c r="Z248" i="3"/>
  <c r="AA248" i="3" s="1"/>
  <c r="U248" i="3"/>
  <c r="V248" i="3" s="1"/>
  <c r="P248" i="3"/>
  <c r="R248" i="3" s="1"/>
  <c r="J248" i="3"/>
  <c r="G248" i="3"/>
  <c r="Z231" i="3"/>
  <c r="AA231" i="3" s="1"/>
  <c r="U231" i="3"/>
  <c r="V231" i="3" s="1"/>
  <c r="P231" i="3"/>
  <c r="J231" i="3"/>
  <c r="G231" i="3"/>
  <c r="X212" i="3"/>
  <c r="W212" i="3"/>
  <c r="T212" i="3"/>
  <c r="S212" i="3"/>
  <c r="O212" i="3"/>
  <c r="N212" i="3"/>
  <c r="M212" i="3"/>
  <c r="L212" i="3"/>
  <c r="K212" i="3"/>
  <c r="H212" i="3"/>
  <c r="J181" i="3"/>
  <c r="J203" i="3"/>
  <c r="Z140" i="3"/>
  <c r="AA140" i="3" s="1"/>
  <c r="U140" i="3"/>
  <c r="V140" i="3" s="1"/>
  <c r="P140" i="3"/>
  <c r="Q140" i="3" s="1"/>
  <c r="J140" i="3"/>
  <c r="G140" i="3"/>
  <c r="Z117" i="3"/>
  <c r="AA117" i="3" s="1"/>
  <c r="U117" i="3"/>
  <c r="V117" i="3" s="1"/>
  <c r="P117" i="3"/>
  <c r="J117" i="3"/>
  <c r="G117" i="3"/>
  <c r="Z116" i="3"/>
  <c r="AA116" i="3" s="1"/>
  <c r="U116" i="3"/>
  <c r="V116" i="3" s="1"/>
  <c r="P116" i="3"/>
  <c r="J116" i="3"/>
  <c r="G116" i="3"/>
  <c r="Z102" i="3"/>
  <c r="U102" i="3"/>
  <c r="P102" i="3"/>
  <c r="J102" i="3"/>
  <c r="G102" i="3"/>
  <c r="Z93" i="3"/>
  <c r="AA93" i="3" s="1"/>
  <c r="U93" i="3"/>
  <c r="V93" i="3" s="1"/>
  <c r="P93" i="3"/>
  <c r="J93" i="3"/>
  <c r="G93" i="3"/>
  <c r="Z90" i="3"/>
  <c r="AA90" i="3" s="1"/>
  <c r="U90" i="3"/>
  <c r="V90" i="3" s="1"/>
  <c r="P90" i="3"/>
  <c r="R90" i="3" s="1"/>
  <c r="J90" i="3"/>
  <c r="G90" i="3"/>
  <c r="Z89" i="3"/>
  <c r="AA89" i="3" s="1"/>
  <c r="U89" i="3"/>
  <c r="V89" i="3" s="1"/>
  <c r="P89" i="3"/>
  <c r="J89" i="3"/>
  <c r="G89" i="3"/>
  <c r="Z88" i="3"/>
  <c r="AA88" i="3" s="1"/>
  <c r="U88" i="3"/>
  <c r="V88" i="3" s="1"/>
  <c r="P88" i="3"/>
  <c r="R88" i="3" s="1"/>
  <c r="J88" i="3"/>
  <c r="G88" i="3"/>
  <c r="Z87" i="3"/>
  <c r="AA87" i="3" s="1"/>
  <c r="U87" i="3"/>
  <c r="P87" i="3"/>
  <c r="R87" i="3" s="1"/>
  <c r="J87" i="3"/>
  <c r="G87" i="3"/>
  <c r="Z86" i="3"/>
  <c r="AA86" i="3" s="1"/>
  <c r="U86" i="3"/>
  <c r="V86" i="3" s="1"/>
  <c r="P86" i="3"/>
  <c r="R86" i="3" s="1"/>
  <c r="J86" i="3"/>
  <c r="G86" i="3"/>
  <c r="Z85" i="3"/>
  <c r="AA85" i="3" s="1"/>
  <c r="U85" i="3"/>
  <c r="V85" i="3" s="1"/>
  <c r="P85" i="3"/>
  <c r="R85" i="3" s="1"/>
  <c r="J85" i="3"/>
  <c r="G85" i="3"/>
  <c r="F41" i="3"/>
  <c r="F44" i="3" s="1"/>
  <c r="Z25" i="3"/>
  <c r="AA25" i="3" s="1"/>
  <c r="U25" i="3"/>
  <c r="V25" i="3" s="1"/>
  <c r="P25" i="3"/>
  <c r="J25" i="3"/>
  <c r="G25" i="3"/>
  <c r="Y247" i="3" l="1"/>
  <c r="V102" i="3"/>
  <c r="AA102" i="3"/>
  <c r="Z41" i="3"/>
  <c r="AA41" i="3" s="1"/>
  <c r="Y102" i="3"/>
  <c r="U373" i="3"/>
  <c r="V373" i="3" s="1"/>
  <c r="G347" i="3"/>
  <c r="J347" i="3"/>
  <c r="AB347" i="3"/>
  <c r="Z347" i="3"/>
  <c r="AA347" i="3" s="1"/>
  <c r="P347" i="3"/>
  <c r="Q373" i="3"/>
  <c r="Z375" i="3"/>
  <c r="AA375" i="3" s="1"/>
  <c r="Z374" i="3"/>
  <c r="AA374" i="3" s="1"/>
  <c r="Z373" i="3"/>
  <c r="AA373" i="3" s="1"/>
  <c r="G374" i="3"/>
  <c r="J375" i="3"/>
  <c r="J373" i="3"/>
  <c r="AB373" i="3"/>
  <c r="P374" i="3"/>
  <c r="AB375" i="3"/>
  <c r="G373" i="3"/>
  <c r="J374" i="3"/>
  <c r="P375" i="3"/>
  <c r="U375" i="3"/>
  <c r="V375" i="3" s="1"/>
  <c r="AB374" i="3"/>
  <c r="R368" i="3"/>
  <c r="J368" i="3"/>
  <c r="AB368" i="3"/>
  <c r="G368" i="3"/>
  <c r="U368" i="3"/>
  <c r="V368" i="3" s="1"/>
  <c r="Z368" i="3"/>
  <c r="AA368" i="3" s="1"/>
  <c r="Y287" i="3"/>
  <c r="R288" i="3"/>
  <c r="R287" i="3"/>
  <c r="Y231" i="3"/>
  <c r="R247" i="3"/>
  <c r="Y248" i="3"/>
  <c r="Q231" i="3"/>
  <c r="Y116" i="3"/>
  <c r="Y25" i="3"/>
  <c r="Y140" i="3"/>
  <c r="Y117" i="3"/>
  <c r="Y93" i="3"/>
  <c r="R117" i="3"/>
  <c r="R116" i="3"/>
  <c r="R102" i="3"/>
  <c r="Q93" i="3"/>
  <c r="Y86" i="3"/>
  <c r="Y87" i="3"/>
  <c r="Y85" i="3"/>
  <c r="Y89" i="3"/>
  <c r="V87" i="3"/>
  <c r="R89" i="3"/>
  <c r="Y88" i="3"/>
  <c r="Y90" i="3"/>
  <c r="G41" i="3"/>
  <c r="J41" i="3"/>
  <c r="P41" i="3"/>
  <c r="Q41" i="3" s="1"/>
  <c r="Q44" i="3" s="1"/>
  <c r="U41" i="3"/>
  <c r="V41" i="3" s="1"/>
  <c r="R25" i="3"/>
  <c r="Y373" i="3" l="1"/>
  <c r="R347" i="3"/>
  <c r="Y347" i="3"/>
  <c r="AH347" i="3"/>
  <c r="AE347" i="3"/>
  <c r="AC347" i="3"/>
  <c r="AE374" i="3"/>
  <c r="AH374" i="3"/>
  <c r="AC374" i="3"/>
  <c r="Q375" i="3"/>
  <c r="Y375" i="3"/>
  <c r="Y374" i="3"/>
  <c r="Q374" i="3"/>
  <c r="AH375" i="3"/>
  <c r="AE375" i="3"/>
  <c r="AC375" i="3"/>
  <c r="AE373" i="3"/>
  <c r="AC373" i="3"/>
  <c r="AH373" i="3"/>
  <c r="Y368" i="3"/>
  <c r="AH368" i="3"/>
  <c r="AE368" i="3"/>
  <c r="AC368" i="3"/>
  <c r="Y41" i="3"/>
  <c r="AG375" i="3" l="1"/>
  <c r="AG347" i="3"/>
  <c r="AG374" i="3"/>
  <c r="AG373" i="3"/>
  <c r="AG368" i="3"/>
  <c r="A25" i="4" l="1"/>
  <c r="A26" i="4" s="1"/>
  <c r="A28" i="4" s="1"/>
  <c r="A29" i="4" s="1"/>
  <c r="G411" i="4"/>
  <c r="K411" i="4" s="1"/>
  <c r="H411" i="4" l="1"/>
  <c r="L411" i="4"/>
  <c r="F410" i="4"/>
  <c r="F375" i="4"/>
  <c r="G375" i="4" s="1"/>
  <c r="F374" i="4"/>
  <c r="G374" i="4" s="1"/>
  <c r="F373" i="4"/>
  <c r="G373" i="4" s="1"/>
  <c r="K373" i="4" s="1"/>
  <c r="F368" i="4"/>
  <c r="G368" i="4" s="1"/>
  <c r="F346" i="4"/>
  <c r="G346" i="4" s="1"/>
  <c r="F274" i="4"/>
  <c r="F243" i="4"/>
  <c r="F119" i="4"/>
  <c r="M411" i="4" l="1"/>
  <c r="H373" i="4"/>
  <c r="K374" i="4"/>
  <c r="H374" i="4"/>
  <c r="L374" i="4"/>
  <c r="L373" i="4"/>
  <c r="H375" i="4"/>
  <c r="K375" i="4"/>
  <c r="L375" i="4"/>
  <c r="L368" i="4"/>
  <c r="K368" i="4"/>
  <c r="H368" i="4"/>
  <c r="H346" i="4"/>
  <c r="L346" i="4"/>
  <c r="K346" i="4"/>
  <c r="M374" i="4" l="1"/>
  <c r="M375" i="4"/>
  <c r="M373" i="4"/>
  <c r="M346" i="4"/>
  <c r="M368" i="4"/>
  <c r="F98" i="4" l="1"/>
  <c r="G90" i="4" l="1"/>
  <c r="L90" i="4" s="1"/>
  <c r="G89" i="4"/>
  <c r="L89" i="4" s="1"/>
  <c r="G88" i="4"/>
  <c r="L88" i="4" s="1"/>
  <c r="G87" i="4"/>
  <c r="L87" i="4" s="1"/>
  <c r="G86" i="4"/>
  <c r="K86" i="4" s="1"/>
  <c r="G85" i="4"/>
  <c r="L85" i="4" s="1"/>
  <c r="L86" i="4" l="1"/>
  <c r="H85" i="4"/>
  <c r="H86" i="4"/>
  <c r="H89" i="4"/>
  <c r="K89" i="4"/>
  <c r="H87" i="4"/>
  <c r="K87" i="4"/>
  <c r="H90" i="4"/>
  <c r="K90" i="4"/>
  <c r="K85" i="4"/>
  <c r="H88" i="4"/>
  <c r="K88" i="4"/>
  <c r="M85" i="4" l="1"/>
  <c r="M86" i="4"/>
  <c r="M88" i="4"/>
  <c r="M89" i="4"/>
  <c r="M87" i="4"/>
  <c r="M90" i="4"/>
  <c r="W57" i="3" l="1"/>
  <c r="X57" i="3" s="1"/>
  <c r="W84" i="3"/>
  <c r="X84" i="3" s="1"/>
  <c r="AL435" i="3"/>
  <c r="AJ435" i="3"/>
  <c r="J427" i="4" l="1"/>
  <c r="J405" i="4"/>
  <c r="F388" i="3"/>
  <c r="J428" i="4" l="1"/>
  <c r="J50" i="3"/>
  <c r="Z426" i="3"/>
  <c r="Z409" i="3"/>
  <c r="Z411" i="3"/>
  <c r="Z404" i="3"/>
  <c r="Z402" i="3"/>
  <c r="Z399" i="3"/>
  <c r="Z392" i="3"/>
  <c r="Z391" i="3"/>
  <c r="Z389" i="3"/>
  <c r="Z388" i="3"/>
  <c r="Z379" i="3"/>
  <c r="Z377" i="3"/>
  <c r="Z370" i="3"/>
  <c r="Z348" i="3"/>
  <c r="Z335" i="3"/>
  <c r="Z317" i="3"/>
  <c r="Z312" i="3"/>
  <c r="Z309" i="3"/>
  <c r="Z298" i="3"/>
  <c r="Z294" i="3"/>
  <c r="Z293" i="3"/>
  <c r="Z289" i="3"/>
  <c r="Z285" i="3"/>
  <c r="Z283" i="3"/>
  <c r="Z281" i="3"/>
  <c r="Z280" i="3"/>
  <c r="Z273" i="3"/>
  <c r="Z267" i="3"/>
  <c r="Z266" i="3"/>
  <c r="Z265" i="3"/>
  <c r="Z264" i="3"/>
  <c r="Z263" i="3"/>
  <c r="Z261" i="3"/>
  <c r="Z259" i="3"/>
  <c r="Z257" i="3"/>
  <c r="Z255" i="3"/>
  <c r="Z254" i="3"/>
  <c r="Z252" i="3"/>
  <c r="Z251" i="3"/>
  <c r="Z249" i="3"/>
  <c r="Z246" i="3"/>
  <c r="Z244" i="3"/>
  <c r="Z242" i="3"/>
  <c r="Z237" i="3"/>
  <c r="Z238" i="3"/>
  <c r="Z236" i="3"/>
  <c r="Z234" i="3"/>
  <c r="Z230" i="3"/>
  <c r="Z213" i="3"/>
  <c r="Z207" i="3"/>
  <c r="Z228" i="3"/>
  <c r="Z226" i="3"/>
  <c r="Z225" i="3"/>
  <c r="Z224" i="3"/>
  <c r="Z223" i="3"/>
  <c r="Z214" i="3"/>
  <c r="Z210" i="3"/>
  <c r="Z209" i="3"/>
  <c r="Z208" i="3"/>
  <c r="Z204" i="3"/>
  <c r="Z203" i="3"/>
  <c r="Z202" i="3"/>
  <c r="Z201" i="3"/>
  <c r="Z193" i="3"/>
  <c r="Z192" i="3"/>
  <c r="Z198" i="3"/>
  <c r="Z194" i="3"/>
  <c r="Z191" i="3"/>
  <c r="Z190" i="3"/>
  <c r="Z189" i="3"/>
  <c r="Z179" i="3"/>
  <c r="Z178" i="3"/>
  <c r="Z172" i="3"/>
  <c r="Z170" i="3"/>
  <c r="Z165" i="3"/>
  <c r="Z164" i="3"/>
  <c r="Z161" i="3"/>
  <c r="Z158" i="3"/>
  <c r="Z157" i="3"/>
  <c r="Z156" i="3"/>
  <c r="Z155" i="3"/>
  <c r="Z154" i="3"/>
  <c r="Z153" i="3"/>
  <c r="Z149" i="3"/>
  <c r="Z147" i="3"/>
  <c r="Z146" i="3"/>
  <c r="Z142" i="3"/>
  <c r="Z134" i="3"/>
  <c r="Z132" i="3"/>
  <c r="Z131" i="3"/>
  <c r="Z130" i="3"/>
  <c r="Z122" i="3"/>
  <c r="Z121" i="3"/>
  <c r="Z120" i="3"/>
  <c r="Z118" i="3"/>
  <c r="Z115" i="3"/>
  <c r="Z114" i="3"/>
  <c r="Z113" i="3"/>
  <c r="Z111" i="3"/>
  <c r="Z109" i="3"/>
  <c r="Z106" i="3"/>
  <c r="Z105" i="3"/>
  <c r="Z99" i="3"/>
  <c r="Z97" i="3"/>
  <c r="Z96" i="3"/>
  <c r="Z95" i="3"/>
  <c r="Z94" i="3"/>
  <c r="Z92" i="3"/>
  <c r="Z84" i="3"/>
  <c r="Z83" i="3"/>
  <c r="Z82" i="3"/>
  <c r="Z81" i="3"/>
  <c r="Z80" i="3"/>
  <c r="Z79" i="3"/>
  <c r="Z78" i="3"/>
  <c r="Z77" i="3"/>
  <c r="Z76" i="3"/>
  <c r="Z57" i="3"/>
  <c r="Z56" i="3"/>
  <c r="Z55" i="3"/>
  <c r="Z50" i="3"/>
  <c r="Z49" i="3"/>
  <c r="Z45" i="3"/>
  <c r="Z40" i="3" l="1"/>
  <c r="Z39" i="3"/>
  <c r="Z33" i="3"/>
  <c r="Z29" i="3"/>
  <c r="U26" i="3"/>
  <c r="Z26" i="3"/>
  <c r="Z22" i="3"/>
  <c r="U399" i="3"/>
  <c r="U404" i="3"/>
  <c r="U406" i="3"/>
  <c r="U402" i="3"/>
  <c r="U392" i="3"/>
  <c r="U391" i="3"/>
  <c r="U389" i="3"/>
  <c r="U388" i="3"/>
  <c r="U379" i="3"/>
  <c r="U377" i="3"/>
  <c r="U370" i="3"/>
  <c r="U348" i="3"/>
  <c r="U335" i="3"/>
  <c r="U317" i="3"/>
  <c r="U312" i="3"/>
  <c r="U309" i="3"/>
  <c r="U298" i="3"/>
  <c r="U294" i="3"/>
  <c r="U293" i="3"/>
  <c r="U292" i="3"/>
  <c r="U279" i="3"/>
  <c r="U289" i="3"/>
  <c r="U285" i="3"/>
  <c r="U283" i="3"/>
  <c r="U281" i="3"/>
  <c r="U280" i="3"/>
  <c r="U273" i="3"/>
  <c r="U267" i="3"/>
  <c r="U266" i="3"/>
  <c r="U265" i="3"/>
  <c r="U264" i="3"/>
  <c r="U263" i="3"/>
  <c r="U261" i="3"/>
  <c r="U259" i="3"/>
  <c r="U257" i="3"/>
  <c r="U255" i="3"/>
  <c r="U254" i="3"/>
  <c r="U252" i="3"/>
  <c r="U251" i="3"/>
  <c r="U249" i="3"/>
  <c r="U246" i="3"/>
  <c r="U240" i="3"/>
  <c r="U244" i="3"/>
  <c r="U242" i="3"/>
  <c r="U237" i="3"/>
  <c r="U238" i="3"/>
  <c r="U236" i="3"/>
  <c r="U234" i="3"/>
  <c r="U230" i="3"/>
  <c r="U228" i="3"/>
  <c r="U226" i="3"/>
  <c r="U225" i="3"/>
  <c r="U224" i="3"/>
  <c r="U223" i="3"/>
  <c r="U214" i="3"/>
  <c r="U213" i="3"/>
  <c r="U207" i="3"/>
  <c r="U201" i="3"/>
  <c r="U210" i="3"/>
  <c r="U209" i="3"/>
  <c r="U208" i="3"/>
  <c r="U204" i="3"/>
  <c r="U203" i="3"/>
  <c r="U202" i="3"/>
  <c r="U198" i="3"/>
  <c r="U194" i="3"/>
  <c r="U191" i="3"/>
  <c r="U190" i="3"/>
  <c r="U189" i="3"/>
  <c r="U181" i="3"/>
  <c r="U160" i="3"/>
  <c r="U179" i="3"/>
  <c r="U178" i="3"/>
  <c r="U172" i="3"/>
  <c r="U170" i="3"/>
  <c r="U165" i="3"/>
  <c r="U164" i="3"/>
  <c r="U161" i="3"/>
  <c r="U158" i="3"/>
  <c r="U157" i="3"/>
  <c r="U156" i="3"/>
  <c r="U155" i="3"/>
  <c r="U154" i="3"/>
  <c r="U153" i="3"/>
  <c r="U152" i="3"/>
  <c r="U144" i="3"/>
  <c r="U149" i="3"/>
  <c r="U147" i="3"/>
  <c r="U146" i="3"/>
  <c r="U142" i="3"/>
  <c r="U134" i="3"/>
  <c r="U132" i="3"/>
  <c r="U131" i="3"/>
  <c r="U130" i="3"/>
  <c r="U122" i="3"/>
  <c r="U121" i="3"/>
  <c r="U120" i="3"/>
  <c r="U118" i="3"/>
  <c r="U115" i="3"/>
  <c r="U114" i="3"/>
  <c r="U113" i="3"/>
  <c r="U111" i="3"/>
  <c r="U106" i="3"/>
  <c r="U105" i="3"/>
  <c r="U99" i="3"/>
  <c r="U97" i="3"/>
  <c r="U96" i="3"/>
  <c r="U95" i="3"/>
  <c r="U94" i="3"/>
  <c r="U84" i="3"/>
  <c r="Y84" i="3" s="1"/>
  <c r="U83" i="3"/>
  <c r="U82" i="3"/>
  <c r="U81" i="3"/>
  <c r="U80" i="3"/>
  <c r="U79" i="3"/>
  <c r="U78" i="3"/>
  <c r="U77" i="3"/>
  <c r="U76" i="3"/>
  <c r="U57" i="3"/>
  <c r="U56" i="3"/>
  <c r="U55" i="3"/>
  <c r="U50" i="3"/>
  <c r="U49" i="3"/>
  <c r="U45" i="3"/>
  <c r="U40" i="3"/>
  <c r="U39" i="3"/>
  <c r="U33" i="3"/>
  <c r="U29" i="3"/>
  <c r="U22" i="3"/>
  <c r="P404" i="3"/>
  <c r="P402" i="3"/>
  <c r="P399" i="3"/>
  <c r="P392" i="3"/>
  <c r="P391" i="3"/>
  <c r="P389" i="3"/>
  <c r="P388" i="3"/>
  <c r="P379" i="3"/>
  <c r="P377" i="3"/>
  <c r="P370" i="3"/>
  <c r="P348" i="3"/>
  <c r="P335" i="3"/>
  <c r="P317" i="3"/>
  <c r="P312" i="3"/>
  <c r="R312" i="3" s="1"/>
  <c r="P309" i="3"/>
  <c r="Q309" i="3" s="1"/>
  <c r="P298" i="3"/>
  <c r="P294" i="3"/>
  <c r="Y294" i="3" s="1"/>
  <c r="P293" i="3"/>
  <c r="P292" i="3"/>
  <c r="R292" i="3" s="1"/>
  <c r="P289" i="3"/>
  <c r="P285" i="3"/>
  <c r="R285" i="3" s="1"/>
  <c r="P283" i="3"/>
  <c r="P281" i="3"/>
  <c r="Q281" i="3" s="1"/>
  <c r="P280" i="3"/>
  <c r="Q280" i="3" s="1"/>
  <c r="P279" i="3"/>
  <c r="R279" i="3" s="1"/>
  <c r="P273" i="3"/>
  <c r="R273" i="3" s="1"/>
  <c r="P272" i="3"/>
  <c r="P267" i="3"/>
  <c r="P266" i="3"/>
  <c r="P265" i="3"/>
  <c r="P264" i="3"/>
  <c r="P263" i="3"/>
  <c r="P261" i="3"/>
  <c r="P259" i="3"/>
  <c r="P257" i="3"/>
  <c r="P255" i="3"/>
  <c r="P254" i="3"/>
  <c r="P252" i="3"/>
  <c r="P251" i="3"/>
  <c r="P249" i="3"/>
  <c r="Q249" i="3" s="1"/>
  <c r="P246" i="3"/>
  <c r="P244" i="3"/>
  <c r="P242" i="3"/>
  <c r="P240" i="3"/>
  <c r="Q240" i="3" s="1"/>
  <c r="P237" i="3"/>
  <c r="R237" i="3" s="1"/>
  <c r="P238" i="3"/>
  <c r="P236" i="3"/>
  <c r="Q236" i="3" s="1"/>
  <c r="P234" i="3"/>
  <c r="P230" i="3"/>
  <c r="P228" i="3"/>
  <c r="P226" i="3"/>
  <c r="P225" i="3"/>
  <c r="P224" i="3"/>
  <c r="P223" i="3"/>
  <c r="Q223" i="3" s="1"/>
  <c r="P214" i="3"/>
  <c r="R214" i="3" s="1"/>
  <c r="P213" i="3"/>
  <c r="Q213" i="3" s="1"/>
  <c r="P210" i="3"/>
  <c r="P209" i="3"/>
  <c r="R209" i="3" s="1"/>
  <c r="P208" i="3"/>
  <c r="R208" i="3" s="1"/>
  <c r="P207" i="3"/>
  <c r="R207" i="3" s="1"/>
  <c r="P204" i="3"/>
  <c r="Q204" i="3" s="1"/>
  <c r="P203" i="3"/>
  <c r="P202" i="3"/>
  <c r="P201" i="3"/>
  <c r="P198" i="3"/>
  <c r="P194" i="3"/>
  <c r="Q194" i="3" s="1"/>
  <c r="P191" i="3"/>
  <c r="R191" i="3" s="1"/>
  <c r="P190" i="3"/>
  <c r="P189" i="3"/>
  <c r="P187" i="3"/>
  <c r="P183" i="3"/>
  <c r="R183" i="3" s="1"/>
  <c r="P181" i="3"/>
  <c r="P179" i="3"/>
  <c r="Q179" i="3" s="1"/>
  <c r="P178" i="3"/>
  <c r="P172" i="3"/>
  <c r="R172" i="3" s="1"/>
  <c r="P170" i="3"/>
  <c r="P165" i="3"/>
  <c r="P164" i="3"/>
  <c r="P161" i="3"/>
  <c r="P160" i="3"/>
  <c r="P158" i="3"/>
  <c r="Q158" i="3" s="1"/>
  <c r="P157" i="3"/>
  <c r="P156" i="3"/>
  <c r="P155" i="3"/>
  <c r="P154" i="3"/>
  <c r="P153" i="3"/>
  <c r="P152" i="3"/>
  <c r="P149" i="3"/>
  <c r="P147" i="3"/>
  <c r="P146" i="3"/>
  <c r="P144" i="3"/>
  <c r="P142" i="3"/>
  <c r="P134" i="3"/>
  <c r="P132" i="3"/>
  <c r="P131" i="3"/>
  <c r="P130" i="3"/>
  <c r="P122" i="3"/>
  <c r="P121" i="3"/>
  <c r="P120" i="3"/>
  <c r="R120" i="3" s="1"/>
  <c r="P118" i="3"/>
  <c r="P115" i="3"/>
  <c r="P114" i="3"/>
  <c r="Q114" i="3" s="1"/>
  <c r="P113" i="3"/>
  <c r="P111" i="3"/>
  <c r="Q111" i="3" s="1"/>
  <c r="P109" i="3"/>
  <c r="P108" i="3"/>
  <c r="P106" i="3"/>
  <c r="P105" i="3"/>
  <c r="R105" i="3" s="1"/>
  <c r="R107" i="3" s="1"/>
  <c r="P99" i="3"/>
  <c r="P97" i="3"/>
  <c r="P96" i="3"/>
  <c r="Y96" i="3" s="1"/>
  <c r="P95" i="3"/>
  <c r="P94" i="3"/>
  <c r="Q94" i="3" s="1"/>
  <c r="P92" i="3"/>
  <c r="P83" i="3"/>
  <c r="R83" i="3" s="1"/>
  <c r="P82" i="3"/>
  <c r="P81" i="3"/>
  <c r="P80" i="3"/>
  <c r="P79" i="3"/>
  <c r="P78" i="3"/>
  <c r="R78" i="3" s="1"/>
  <c r="P77" i="3"/>
  <c r="P76" i="3"/>
  <c r="P56" i="3"/>
  <c r="P55" i="3"/>
  <c r="P50" i="3"/>
  <c r="R50" i="3" s="1"/>
  <c r="P49" i="3"/>
  <c r="R49" i="3" s="1"/>
  <c r="P48" i="3"/>
  <c r="Q48" i="3" s="1"/>
  <c r="P45" i="3"/>
  <c r="P40" i="3"/>
  <c r="R40" i="3" s="1"/>
  <c r="P39" i="3"/>
  <c r="R39" i="3" s="1"/>
  <c r="P38" i="3"/>
  <c r="P35" i="3"/>
  <c r="P33" i="3"/>
  <c r="P32" i="3"/>
  <c r="R32" i="3" s="1"/>
  <c r="P29" i="3"/>
  <c r="P26" i="3"/>
  <c r="R26" i="3" s="1"/>
  <c r="R27" i="3" s="1"/>
  <c r="P24" i="3"/>
  <c r="P22" i="3"/>
  <c r="P21" i="3"/>
  <c r="R21" i="3" s="1"/>
  <c r="U411" i="3"/>
  <c r="U409" i="3"/>
  <c r="U426" i="3"/>
  <c r="P411" i="3"/>
  <c r="P409" i="3"/>
  <c r="P426" i="3"/>
  <c r="P406" i="3"/>
  <c r="AB180" i="3"/>
  <c r="AF180" i="3"/>
  <c r="AD180" i="3"/>
  <c r="AL91" i="3"/>
  <c r="AK91" i="3"/>
  <c r="AJ91" i="3"/>
  <c r="AI91" i="3"/>
  <c r="AF91" i="3"/>
  <c r="AD91" i="3"/>
  <c r="Q24" i="3" l="1"/>
  <c r="Q27" i="3" s="1"/>
  <c r="P27" i="3"/>
  <c r="R212" i="3"/>
  <c r="Y252" i="3"/>
  <c r="Q252" i="3"/>
  <c r="Y178" i="3"/>
  <c r="Y106" i="3"/>
  <c r="Y172" i="3"/>
  <c r="Y298" i="3"/>
  <c r="Y379" i="3"/>
  <c r="Y80" i="3"/>
  <c r="Y76" i="3"/>
  <c r="Y265" i="3"/>
  <c r="Y179" i="3"/>
  <c r="Y263" i="3"/>
  <c r="Y79" i="3"/>
  <c r="R79" i="3"/>
  <c r="Y266" i="3"/>
  <c r="Y267" i="3"/>
  <c r="Y234" i="3"/>
  <c r="Y134" i="3"/>
  <c r="Y132" i="3"/>
  <c r="Y255" i="3"/>
  <c r="Y289" i="3"/>
  <c r="Y404" i="3"/>
  <c r="Y81" i="3"/>
  <c r="Y82" i="3"/>
  <c r="Y317" i="3"/>
  <c r="Y391" i="3"/>
  <c r="Y77" i="3"/>
  <c r="Y97" i="3"/>
  <c r="Y202" i="3"/>
  <c r="Y335" i="3"/>
  <c r="Y392" i="3"/>
  <c r="Y130" i="3"/>
  <c r="Y228" i="3"/>
  <c r="Y293" i="3"/>
  <c r="Y203" i="3"/>
  <c r="Y49" i="3"/>
  <c r="Y170" i="3"/>
  <c r="Y226" i="3"/>
  <c r="Y377" i="3"/>
  <c r="Y83" i="3"/>
  <c r="Y114" i="3"/>
  <c r="Y165" i="3"/>
  <c r="Y198" i="3"/>
  <c r="Y237" i="3"/>
  <c r="Y273" i="3"/>
  <c r="Y312" i="3"/>
  <c r="Y389" i="3"/>
  <c r="Y78" i="3"/>
  <c r="Y370" i="3"/>
  <c r="Y50" i="3"/>
  <c r="P98" i="3"/>
  <c r="Y426" i="3"/>
  <c r="Y409" i="3"/>
  <c r="Y99" i="3"/>
  <c r="Y194" i="3"/>
  <c r="Y214" i="3"/>
  <c r="Y348" i="3"/>
  <c r="U205" i="3"/>
  <c r="Y411" i="3"/>
  <c r="Y283" i="3"/>
  <c r="Y402" i="3"/>
  <c r="U256" i="3"/>
  <c r="Y131" i="3"/>
  <c r="U253" i="3"/>
  <c r="Y406" i="3"/>
  <c r="P34" i="3"/>
  <c r="Y164" i="3"/>
  <c r="P182" i="3"/>
  <c r="Y181" i="3"/>
  <c r="Y309" i="3"/>
  <c r="Y142" i="3"/>
  <c r="Y157" i="3"/>
  <c r="Y249" i="3"/>
  <c r="Y264" i="3"/>
  <c r="Y285" i="3"/>
  <c r="Y57" i="3"/>
  <c r="Y225" i="3"/>
  <c r="Y238" i="3"/>
  <c r="Y399" i="3"/>
  <c r="U159" i="3"/>
  <c r="Y388" i="3"/>
  <c r="U250" i="3"/>
  <c r="P250" i="3"/>
  <c r="Z239" i="3"/>
  <c r="U239" i="3"/>
  <c r="P239" i="3"/>
  <c r="F388" i="4"/>
  <c r="AA109" i="3" l="1"/>
  <c r="V50" i="3"/>
  <c r="G207" i="3"/>
  <c r="F256" i="3"/>
  <c r="F253" i="3"/>
  <c r="F250" i="3"/>
  <c r="F239" i="3"/>
  <c r="L112" i="3"/>
  <c r="H405" i="3"/>
  <c r="N290" i="3"/>
  <c r="N278" i="3"/>
  <c r="N150" i="3"/>
  <c r="G391" i="4" l="1"/>
  <c r="J237" i="3"/>
  <c r="J238" i="3"/>
  <c r="J228" i="3"/>
  <c r="J226" i="3"/>
  <c r="J225" i="3"/>
  <c r="J224" i="3"/>
  <c r="J223" i="3"/>
  <c r="J214" i="3"/>
  <c r="J204" i="3"/>
  <c r="J202" i="3"/>
  <c r="J201" i="3"/>
  <c r="J198" i="3"/>
  <c r="J194" i="3"/>
  <c r="J191" i="3"/>
  <c r="J190" i="3"/>
  <c r="J189" i="3"/>
  <c r="J187" i="3"/>
  <c r="J183" i="3"/>
  <c r="J172" i="3"/>
  <c r="J158" i="3"/>
  <c r="J157" i="3"/>
  <c r="J156" i="3"/>
  <c r="J155" i="3"/>
  <c r="J154" i="3"/>
  <c r="J153" i="3"/>
  <c r="J152" i="3"/>
  <c r="J29" i="3"/>
  <c r="J26" i="3"/>
  <c r="J22" i="3"/>
  <c r="J39" i="3"/>
  <c r="J40" i="3"/>
  <c r="L391" i="4" l="1"/>
  <c r="H391" i="4"/>
  <c r="K391" i="4"/>
  <c r="F159" i="4"/>
  <c r="F182" i="4"/>
  <c r="F205" i="4"/>
  <c r="F380" i="3"/>
  <c r="M391" i="4" l="1"/>
  <c r="Z380" i="3"/>
  <c r="U380" i="3"/>
  <c r="P380" i="3"/>
  <c r="G377" i="4"/>
  <c r="G406" i="4"/>
  <c r="G402" i="4"/>
  <c r="G426" i="4"/>
  <c r="G317" i="4"/>
  <c r="G425" i="4"/>
  <c r="F424" i="4"/>
  <c r="G424" i="4" s="1"/>
  <c r="F423" i="4"/>
  <c r="G423" i="4" s="1"/>
  <c r="F422" i="4"/>
  <c r="F421" i="4"/>
  <c r="F420" i="4"/>
  <c r="F419" i="4"/>
  <c r="F418" i="4"/>
  <c r="F417" i="4"/>
  <c r="F416" i="4"/>
  <c r="F415" i="4"/>
  <c r="F414" i="4"/>
  <c r="F413" i="4"/>
  <c r="F408" i="4"/>
  <c r="F407" i="4"/>
  <c r="F403" i="4"/>
  <c r="F401" i="4"/>
  <c r="F397" i="4"/>
  <c r="G394" i="4"/>
  <c r="H394" i="4" s="1"/>
  <c r="F393" i="4"/>
  <c r="F387" i="4"/>
  <c r="F386" i="4"/>
  <c r="G386" i="4" s="1"/>
  <c r="H386" i="4" s="1"/>
  <c r="F385" i="4"/>
  <c r="F384" i="4"/>
  <c r="F383" i="4"/>
  <c r="F381" i="4"/>
  <c r="F380" i="4"/>
  <c r="F376" i="4"/>
  <c r="F372" i="4"/>
  <c r="F371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7" i="4"/>
  <c r="F345" i="4"/>
  <c r="F344" i="4"/>
  <c r="F343" i="4"/>
  <c r="F342" i="4"/>
  <c r="F341" i="4"/>
  <c r="F340" i="4"/>
  <c r="F339" i="4"/>
  <c r="F338" i="4"/>
  <c r="F337" i="4"/>
  <c r="F336" i="4"/>
  <c r="F334" i="4"/>
  <c r="F333" i="4"/>
  <c r="F332" i="4"/>
  <c r="F331" i="4"/>
  <c r="F330" i="4"/>
  <c r="F329" i="4"/>
  <c r="F328" i="4"/>
  <c r="F327" i="4"/>
  <c r="F326" i="4"/>
  <c r="F325" i="4"/>
  <c r="F324" i="4"/>
  <c r="F322" i="4"/>
  <c r="F321" i="4"/>
  <c r="F320" i="4"/>
  <c r="F319" i="4"/>
  <c r="F318" i="4"/>
  <c r="F315" i="4"/>
  <c r="F314" i="4"/>
  <c r="F313" i="4"/>
  <c r="F311" i="4"/>
  <c r="F310" i="4"/>
  <c r="F308" i="4"/>
  <c r="F307" i="4"/>
  <c r="F306" i="4"/>
  <c r="F305" i="4"/>
  <c r="F304" i="4"/>
  <c r="F303" i="4"/>
  <c r="F302" i="4"/>
  <c r="F301" i="4"/>
  <c r="F300" i="4"/>
  <c r="F299" i="4"/>
  <c r="F29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4" i="4"/>
  <c r="F53" i="4"/>
  <c r="F52" i="4"/>
  <c r="F182" i="3"/>
  <c r="G182" i="3" s="1"/>
  <c r="K182" i="3"/>
  <c r="L182" i="3"/>
  <c r="M182" i="3"/>
  <c r="N182" i="3"/>
  <c r="O182" i="3"/>
  <c r="R182" i="3"/>
  <c r="S182" i="3"/>
  <c r="T182" i="3"/>
  <c r="W182" i="3"/>
  <c r="X182" i="3"/>
  <c r="AD182" i="3"/>
  <c r="AF182" i="3"/>
  <c r="AH182" i="3"/>
  <c r="AI182" i="3"/>
  <c r="AJ182" i="3"/>
  <c r="AK182" i="3"/>
  <c r="AL182" i="3"/>
  <c r="AA181" i="3"/>
  <c r="AA182" i="3" s="1"/>
  <c r="V181" i="3"/>
  <c r="V182" i="3" s="1"/>
  <c r="J182" i="3"/>
  <c r="G181" i="3"/>
  <c r="M405" i="3"/>
  <c r="L405" i="3"/>
  <c r="L427" i="3"/>
  <c r="M427" i="3"/>
  <c r="F91" i="4" l="1"/>
  <c r="Y380" i="3"/>
  <c r="F427" i="4"/>
  <c r="L386" i="4"/>
  <c r="K386" i="4"/>
  <c r="L425" i="4"/>
  <c r="K425" i="4"/>
  <c r="H425" i="4"/>
  <c r="L317" i="4"/>
  <c r="K317" i="4"/>
  <c r="H317" i="4"/>
  <c r="K406" i="4"/>
  <c r="L406" i="4"/>
  <c r="H406" i="4"/>
  <c r="L423" i="4"/>
  <c r="K423" i="4"/>
  <c r="H423" i="4"/>
  <c r="L426" i="4"/>
  <c r="H426" i="4"/>
  <c r="K426" i="4"/>
  <c r="K394" i="4"/>
  <c r="L394" i="4"/>
  <c r="L424" i="4"/>
  <c r="K424" i="4"/>
  <c r="H424" i="4"/>
  <c r="K402" i="4"/>
  <c r="H402" i="4"/>
  <c r="L402" i="4"/>
  <c r="L377" i="4"/>
  <c r="H377" i="4"/>
  <c r="K377" i="4"/>
  <c r="F405" i="4"/>
  <c r="G407" i="4"/>
  <c r="U182" i="3"/>
  <c r="Z182" i="3"/>
  <c r="AB182" i="3"/>
  <c r="Y182" i="3"/>
  <c r="AC182" i="3"/>
  <c r="Q181" i="3"/>
  <c r="Q182" i="3" s="1"/>
  <c r="AE182" i="3"/>
  <c r="M428" i="3"/>
  <c r="M268" i="3"/>
  <c r="M260" i="3"/>
  <c r="M180" i="3"/>
  <c r="M159" i="3"/>
  <c r="M135" i="3"/>
  <c r="M91" i="3"/>
  <c r="F376" i="3"/>
  <c r="F346" i="3"/>
  <c r="M425" i="4" l="1"/>
  <c r="M402" i="4"/>
  <c r="M426" i="4"/>
  <c r="M377" i="4"/>
  <c r="M394" i="4"/>
  <c r="M423" i="4"/>
  <c r="M424" i="4"/>
  <c r="M386" i="4"/>
  <c r="M317" i="4"/>
  <c r="J346" i="3"/>
  <c r="Z346" i="3"/>
  <c r="AA346" i="3" s="1"/>
  <c r="P346" i="3"/>
  <c r="U346" i="3"/>
  <c r="V346" i="3" s="1"/>
  <c r="Z376" i="3"/>
  <c r="P376" i="3"/>
  <c r="U376" i="3"/>
  <c r="K407" i="4"/>
  <c r="L407" i="4"/>
  <c r="H407" i="4"/>
  <c r="M406" i="4"/>
  <c r="F428" i="4"/>
  <c r="AG182" i="3"/>
  <c r="AB346" i="3"/>
  <c r="G346" i="3"/>
  <c r="H91" i="3"/>
  <c r="N135" i="3"/>
  <c r="O135" i="3"/>
  <c r="O137" i="3"/>
  <c r="O143" i="3"/>
  <c r="O150" i="3"/>
  <c r="O159" i="3"/>
  <c r="O180" i="3"/>
  <c r="O186" i="3"/>
  <c r="O200" i="3"/>
  <c r="O205" i="3"/>
  <c r="O229" i="3"/>
  <c r="O235" i="3"/>
  <c r="O239" i="3"/>
  <c r="O245" i="3"/>
  <c r="O250" i="3"/>
  <c r="O256" i="3"/>
  <c r="O260" i="3"/>
  <c r="O268" i="3"/>
  <c r="O270" i="3"/>
  <c r="O278" i="3"/>
  <c r="O290" i="3"/>
  <c r="O405" i="3"/>
  <c r="O427" i="3"/>
  <c r="N137" i="3"/>
  <c r="N427" i="3"/>
  <c r="N405" i="3"/>
  <c r="N268" i="3"/>
  <c r="N270" i="3"/>
  <c r="N260" i="3"/>
  <c r="N256" i="3"/>
  <c r="N253" i="3"/>
  <c r="N250" i="3"/>
  <c r="N245" i="3"/>
  <c r="N239" i="3"/>
  <c r="N235" i="3"/>
  <c r="N229" i="3"/>
  <c r="N200" i="3"/>
  <c r="N186" i="3"/>
  <c r="N180" i="3"/>
  <c r="N205" i="3"/>
  <c r="N159" i="3"/>
  <c r="L137" i="3"/>
  <c r="H20" i="3"/>
  <c r="F20" i="3"/>
  <c r="N143" i="3"/>
  <c r="N119" i="3"/>
  <c r="N112" i="3"/>
  <c r="N107" i="3"/>
  <c r="N98" i="3"/>
  <c r="N91" i="3"/>
  <c r="G50" i="3"/>
  <c r="AA50" i="3"/>
  <c r="N47" i="3"/>
  <c r="N37" i="3"/>
  <c r="N34" i="3"/>
  <c r="N31" i="3"/>
  <c r="N23" i="3"/>
  <c r="AB426" i="3"/>
  <c r="AB409" i="3"/>
  <c r="AB404" i="3"/>
  <c r="AB294" i="3"/>
  <c r="H245" i="3"/>
  <c r="I245" i="3"/>
  <c r="K245" i="3"/>
  <c r="L245" i="3"/>
  <c r="M245" i="3"/>
  <c r="Q245" i="3"/>
  <c r="S245" i="3"/>
  <c r="T245" i="3"/>
  <c r="W245" i="3"/>
  <c r="X245" i="3"/>
  <c r="AB245" i="3"/>
  <c r="AC245" i="3"/>
  <c r="AD245" i="3"/>
  <c r="AE245" i="3"/>
  <c r="AF245" i="3"/>
  <c r="AG245" i="3"/>
  <c r="AH245" i="3"/>
  <c r="AI245" i="3"/>
  <c r="AJ245" i="3"/>
  <c r="AK245" i="3"/>
  <c r="AL245" i="3"/>
  <c r="N151" i="3" l="1"/>
  <c r="Y376" i="3"/>
  <c r="M407" i="4"/>
  <c r="AE346" i="3"/>
  <c r="AC346" i="3"/>
  <c r="Y346" i="3"/>
  <c r="AC409" i="3"/>
  <c r="AE409" i="3"/>
  <c r="AE294" i="3"/>
  <c r="AC294" i="3"/>
  <c r="AH426" i="3"/>
  <c r="AC426" i="3"/>
  <c r="AE426" i="3"/>
  <c r="AC404" i="3"/>
  <c r="AE404" i="3"/>
  <c r="N428" i="3"/>
  <c r="AH346" i="3"/>
  <c r="R346" i="3"/>
  <c r="N291" i="3"/>
  <c r="N206" i="3"/>
  <c r="G20" i="3"/>
  <c r="AH404" i="3"/>
  <c r="AH294" i="3"/>
  <c r="AH409" i="3"/>
  <c r="AG294" i="3" l="1"/>
  <c r="AG404" i="3"/>
  <c r="AG426" i="3"/>
  <c r="AG409" i="3"/>
  <c r="AG346" i="3"/>
  <c r="G422" i="4"/>
  <c r="G403" i="4"/>
  <c r="G400" i="4"/>
  <c r="G401" i="4"/>
  <c r="H401" i="4" s="1"/>
  <c r="G388" i="4"/>
  <c r="G387" i="4"/>
  <c r="G336" i="4"/>
  <c r="G367" i="4"/>
  <c r="G376" i="4"/>
  <c r="G309" i="4"/>
  <c r="G312" i="4"/>
  <c r="G315" i="4"/>
  <c r="G298" i="4"/>
  <c r="G293" i="4"/>
  <c r="G292" i="4"/>
  <c r="J91" i="4"/>
  <c r="J151" i="4" s="1"/>
  <c r="G49" i="4"/>
  <c r="G54" i="4"/>
  <c r="G55" i="4"/>
  <c r="G56" i="4"/>
  <c r="G75" i="4"/>
  <c r="G76" i="4"/>
  <c r="G77" i="4"/>
  <c r="G78" i="4"/>
  <c r="G79" i="4"/>
  <c r="G80" i="4"/>
  <c r="G81" i="4"/>
  <c r="G82" i="4"/>
  <c r="G83" i="4"/>
  <c r="G84" i="4"/>
  <c r="I84" i="4" s="1"/>
  <c r="G48" i="4"/>
  <c r="A30" i="4"/>
  <c r="A32" i="4" s="1"/>
  <c r="A33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G421" i="4"/>
  <c r="G420" i="4"/>
  <c r="I420" i="4" s="1"/>
  <c r="I427" i="4" s="1"/>
  <c r="G419" i="4"/>
  <c r="G418" i="4"/>
  <c r="G417" i="4"/>
  <c r="G416" i="4"/>
  <c r="G415" i="4"/>
  <c r="G414" i="4"/>
  <c r="G413" i="4"/>
  <c r="G412" i="4"/>
  <c r="G408" i="4"/>
  <c r="G404" i="4"/>
  <c r="G399" i="4"/>
  <c r="G397" i="4"/>
  <c r="G396" i="4"/>
  <c r="G393" i="4"/>
  <c r="H393" i="4" s="1"/>
  <c r="G392" i="4"/>
  <c r="G389" i="4"/>
  <c r="H389" i="4" s="1"/>
  <c r="G385" i="4"/>
  <c r="H385" i="4" s="1"/>
  <c r="G384" i="4"/>
  <c r="G383" i="4"/>
  <c r="G382" i="4"/>
  <c r="H382" i="4" s="1"/>
  <c r="G381" i="4"/>
  <c r="I381" i="4" s="1"/>
  <c r="G380" i="4"/>
  <c r="G379" i="4"/>
  <c r="G369" i="4"/>
  <c r="G372" i="4"/>
  <c r="G371" i="4"/>
  <c r="G370" i="4"/>
  <c r="G366" i="4"/>
  <c r="G365" i="4"/>
  <c r="G364" i="4"/>
  <c r="H364" i="4" s="1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5" i="4"/>
  <c r="G344" i="4"/>
  <c r="G343" i="4"/>
  <c r="G342" i="4"/>
  <c r="G341" i="4"/>
  <c r="G340" i="4"/>
  <c r="G339" i="4"/>
  <c r="G338" i="4"/>
  <c r="G337" i="4"/>
  <c r="G335" i="4"/>
  <c r="G334" i="4"/>
  <c r="G333" i="4"/>
  <c r="G332" i="4"/>
  <c r="G331" i="4"/>
  <c r="G330" i="4"/>
  <c r="G329" i="4"/>
  <c r="G328" i="4"/>
  <c r="G327" i="4"/>
  <c r="G326" i="4"/>
  <c r="G323" i="4"/>
  <c r="G325" i="4"/>
  <c r="G324" i="4"/>
  <c r="G322" i="4"/>
  <c r="G321" i="4"/>
  <c r="G320" i="4"/>
  <c r="G319" i="4"/>
  <c r="G318" i="4"/>
  <c r="G314" i="4"/>
  <c r="G313" i="4"/>
  <c r="G311" i="4"/>
  <c r="G310" i="4"/>
  <c r="G308" i="4"/>
  <c r="G307" i="4"/>
  <c r="G306" i="4"/>
  <c r="G305" i="4"/>
  <c r="G304" i="4"/>
  <c r="G303" i="4"/>
  <c r="G302" i="4"/>
  <c r="G301" i="4"/>
  <c r="G300" i="4"/>
  <c r="G299" i="4"/>
  <c r="F286" i="4"/>
  <c r="F284" i="4"/>
  <c r="F282" i="4"/>
  <c r="F277" i="4"/>
  <c r="F276" i="4"/>
  <c r="F275" i="4"/>
  <c r="F269" i="4"/>
  <c r="F270" i="4" s="1"/>
  <c r="F268" i="4"/>
  <c r="F258" i="4"/>
  <c r="F260" i="4" s="1"/>
  <c r="F256" i="4"/>
  <c r="F253" i="4"/>
  <c r="F250" i="4"/>
  <c r="F241" i="4"/>
  <c r="F245" i="4" s="1"/>
  <c r="F239" i="4"/>
  <c r="F222" i="4"/>
  <c r="F221" i="4"/>
  <c r="F220" i="4"/>
  <c r="F219" i="4"/>
  <c r="F218" i="4"/>
  <c r="F217" i="4"/>
  <c r="F216" i="4"/>
  <c r="F211" i="4"/>
  <c r="F212" i="4" s="1"/>
  <c r="F199" i="4"/>
  <c r="F197" i="4"/>
  <c r="F196" i="4"/>
  <c r="F195" i="4"/>
  <c r="F193" i="4"/>
  <c r="F192" i="4"/>
  <c r="F188" i="4"/>
  <c r="F177" i="4"/>
  <c r="F176" i="4"/>
  <c r="F175" i="4"/>
  <c r="F174" i="4"/>
  <c r="F173" i="4"/>
  <c r="F171" i="4"/>
  <c r="F169" i="4"/>
  <c r="F168" i="4"/>
  <c r="F167" i="4"/>
  <c r="F166" i="4"/>
  <c r="F163" i="4"/>
  <c r="F162" i="4"/>
  <c r="F148" i="4"/>
  <c r="F145" i="4"/>
  <c r="F141" i="4"/>
  <c r="F139" i="4"/>
  <c r="F138" i="4"/>
  <c r="F136" i="4"/>
  <c r="F137" i="4" s="1"/>
  <c r="F128" i="4"/>
  <c r="F127" i="4"/>
  <c r="F126" i="4"/>
  <c r="F125" i="4"/>
  <c r="F123" i="4"/>
  <c r="F112" i="4"/>
  <c r="F107" i="4"/>
  <c r="F101" i="4"/>
  <c r="F100" i="4"/>
  <c r="G74" i="4"/>
  <c r="G73" i="4"/>
  <c r="G72" i="4"/>
  <c r="G71" i="4"/>
  <c r="G70" i="4"/>
  <c r="H70" i="4" s="1"/>
  <c r="G69" i="4"/>
  <c r="G68" i="4"/>
  <c r="I68" i="4" s="1"/>
  <c r="G67" i="4"/>
  <c r="H67" i="4" s="1"/>
  <c r="G66" i="4"/>
  <c r="H66" i="4" s="1"/>
  <c r="G65" i="4"/>
  <c r="H65" i="4" s="1"/>
  <c r="G64" i="4"/>
  <c r="G63" i="4"/>
  <c r="G62" i="4"/>
  <c r="G61" i="4"/>
  <c r="G60" i="4"/>
  <c r="I60" i="4" s="1"/>
  <c r="G59" i="4"/>
  <c r="H59" i="4" s="1"/>
  <c r="G58" i="4"/>
  <c r="G57" i="4"/>
  <c r="I57" i="4" s="1"/>
  <c r="G53" i="4"/>
  <c r="I53" i="4" s="1"/>
  <c r="G52" i="4"/>
  <c r="H52" i="4" s="1"/>
  <c r="G51" i="4"/>
  <c r="F46" i="4"/>
  <c r="F47" i="4" s="1"/>
  <c r="F41" i="4"/>
  <c r="F44" i="4" s="1"/>
  <c r="F36" i="4"/>
  <c r="F34" i="4"/>
  <c r="F30" i="4"/>
  <c r="F28" i="4"/>
  <c r="F23" i="4"/>
  <c r="F104" i="4" l="1"/>
  <c r="F229" i="4"/>
  <c r="F31" i="4"/>
  <c r="F143" i="4"/>
  <c r="G91" i="4"/>
  <c r="G151" i="4" s="1"/>
  <c r="L53" i="4"/>
  <c r="K53" i="4"/>
  <c r="L60" i="4"/>
  <c r="K60" i="4"/>
  <c r="L64" i="4"/>
  <c r="H64" i="4"/>
  <c r="K64" i="4"/>
  <c r="L68" i="4"/>
  <c r="K68" i="4"/>
  <c r="L71" i="4"/>
  <c r="K71" i="4"/>
  <c r="H71" i="4"/>
  <c r="L300" i="4"/>
  <c r="H300" i="4"/>
  <c r="K300" i="4"/>
  <c r="L304" i="4"/>
  <c r="K304" i="4"/>
  <c r="H304" i="4"/>
  <c r="L308" i="4"/>
  <c r="H308" i="4"/>
  <c r="K308" i="4"/>
  <c r="L314" i="4"/>
  <c r="K314" i="4"/>
  <c r="H314" i="4"/>
  <c r="L321" i="4"/>
  <c r="H321" i="4"/>
  <c r="K321" i="4"/>
  <c r="L323" i="4"/>
  <c r="K323" i="4"/>
  <c r="H323" i="4"/>
  <c r="H329" i="4"/>
  <c r="L329" i="4"/>
  <c r="K329" i="4"/>
  <c r="L333" i="4"/>
  <c r="K333" i="4"/>
  <c r="H333" i="4"/>
  <c r="L338" i="4"/>
  <c r="H338" i="4"/>
  <c r="K338" i="4"/>
  <c r="L342" i="4"/>
  <c r="H342" i="4"/>
  <c r="K342" i="4"/>
  <c r="L347" i="4"/>
  <c r="H347" i="4"/>
  <c r="K347" i="4"/>
  <c r="L351" i="4"/>
  <c r="K351" i="4"/>
  <c r="H351" i="4"/>
  <c r="L355" i="4"/>
  <c r="K355" i="4"/>
  <c r="H355" i="4"/>
  <c r="L359" i="4"/>
  <c r="H359" i="4"/>
  <c r="K359" i="4"/>
  <c r="L363" i="4"/>
  <c r="K363" i="4"/>
  <c r="H363" i="4"/>
  <c r="K370" i="4"/>
  <c r="H370" i="4"/>
  <c r="L370" i="4"/>
  <c r="K381" i="4"/>
  <c r="L381" i="4"/>
  <c r="K385" i="4"/>
  <c r="L385" i="4"/>
  <c r="L396" i="4"/>
  <c r="K396" i="4"/>
  <c r="H396" i="4"/>
  <c r="L408" i="4"/>
  <c r="H408" i="4"/>
  <c r="K408" i="4"/>
  <c r="G427" i="4"/>
  <c r="L414" i="4"/>
  <c r="H414" i="4"/>
  <c r="K414" i="4"/>
  <c r="L418" i="4"/>
  <c r="H418" i="4"/>
  <c r="K418" i="4"/>
  <c r="H82" i="4"/>
  <c r="L82" i="4"/>
  <c r="K82" i="4"/>
  <c r="H78" i="4"/>
  <c r="L78" i="4"/>
  <c r="K78" i="4"/>
  <c r="L56" i="4"/>
  <c r="H56" i="4"/>
  <c r="K56" i="4"/>
  <c r="G405" i="4"/>
  <c r="H292" i="4"/>
  <c r="K292" i="4"/>
  <c r="L292" i="4"/>
  <c r="H312" i="4"/>
  <c r="L312" i="4"/>
  <c r="K312" i="4"/>
  <c r="L367" i="4"/>
  <c r="K367" i="4"/>
  <c r="H367" i="4"/>
  <c r="L387" i="4"/>
  <c r="K387" i="4"/>
  <c r="H387" i="4"/>
  <c r="K51" i="4"/>
  <c r="L51" i="4"/>
  <c r="H51" i="4"/>
  <c r="L57" i="4"/>
  <c r="K57" i="4"/>
  <c r="L61" i="4"/>
  <c r="K61" i="4"/>
  <c r="H61" i="4"/>
  <c r="L65" i="4"/>
  <c r="K65" i="4"/>
  <c r="L69" i="4"/>
  <c r="H69" i="4"/>
  <c r="K69" i="4"/>
  <c r="L72" i="4"/>
  <c r="K72" i="4"/>
  <c r="I72" i="4"/>
  <c r="L301" i="4"/>
  <c r="H301" i="4"/>
  <c r="K301" i="4"/>
  <c r="L305" i="4"/>
  <c r="H305" i="4"/>
  <c r="K305" i="4"/>
  <c r="L310" i="4"/>
  <c r="H310" i="4"/>
  <c r="K310" i="4"/>
  <c r="L318" i="4"/>
  <c r="H318" i="4"/>
  <c r="K318" i="4"/>
  <c r="L322" i="4"/>
  <c r="H322" i="4"/>
  <c r="K322" i="4"/>
  <c r="L326" i="4"/>
  <c r="H326" i="4"/>
  <c r="K326" i="4"/>
  <c r="L330" i="4"/>
  <c r="H330" i="4"/>
  <c r="K330" i="4"/>
  <c r="L334" i="4"/>
  <c r="H334" i="4"/>
  <c r="K334" i="4"/>
  <c r="L339" i="4"/>
  <c r="K339" i="4"/>
  <c r="H339" i="4"/>
  <c r="L343" i="4"/>
  <c r="H343" i="4"/>
  <c r="K343" i="4"/>
  <c r="K348" i="4"/>
  <c r="L348" i="4"/>
  <c r="H348" i="4"/>
  <c r="K352" i="4"/>
  <c r="H352" i="4"/>
  <c r="L352" i="4"/>
  <c r="K356" i="4"/>
  <c r="L356" i="4"/>
  <c r="H356" i="4"/>
  <c r="K360" i="4"/>
  <c r="H360" i="4"/>
  <c r="L360" i="4"/>
  <c r="K364" i="4"/>
  <c r="L364" i="4"/>
  <c r="K371" i="4"/>
  <c r="L371" i="4"/>
  <c r="H371" i="4"/>
  <c r="L382" i="4"/>
  <c r="K382" i="4"/>
  <c r="K389" i="4"/>
  <c r="L389" i="4"/>
  <c r="L397" i="4"/>
  <c r="K397" i="4"/>
  <c r="H397" i="4"/>
  <c r="L415" i="4"/>
  <c r="K415" i="4"/>
  <c r="H415" i="4"/>
  <c r="L419" i="4"/>
  <c r="K419" i="4"/>
  <c r="H419" i="4"/>
  <c r="K81" i="4"/>
  <c r="H81" i="4"/>
  <c r="L81" i="4"/>
  <c r="K77" i="4"/>
  <c r="H77" i="4"/>
  <c r="L77" i="4"/>
  <c r="H55" i="4"/>
  <c r="L55" i="4"/>
  <c r="K55" i="4"/>
  <c r="L293" i="4"/>
  <c r="K293" i="4"/>
  <c r="H293" i="4"/>
  <c r="L309" i="4"/>
  <c r="H309" i="4"/>
  <c r="K309" i="4"/>
  <c r="K388" i="4"/>
  <c r="H388" i="4"/>
  <c r="L388" i="4"/>
  <c r="K403" i="4"/>
  <c r="L403" i="4"/>
  <c r="H403" i="4"/>
  <c r="K58" i="4"/>
  <c r="L58" i="4"/>
  <c r="H58" i="4"/>
  <c r="K62" i="4"/>
  <c r="H62" i="4"/>
  <c r="L62" i="4"/>
  <c r="K66" i="4"/>
  <c r="L66" i="4"/>
  <c r="K70" i="4"/>
  <c r="L70" i="4"/>
  <c r="K73" i="4"/>
  <c r="H73" i="4"/>
  <c r="L73" i="4"/>
  <c r="L302" i="4"/>
  <c r="H302" i="4"/>
  <c r="K302" i="4"/>
  <c r="L306" i="4"/>
  <c r="K306" i="4"/>
  <c r="H306" i="4"/>
  <c r="K311" i="4"/>
  <c r="H311" i="4"/>
  <c r="L311" i="4"/>
  <c r="L319" i="4"/>
  <c r="H319" i="4"/>
  <c r="K319" i="4"/>
  <c r="L324" i="4"/>
  <c r="K324" i="4"/>
  <c r="H324" i="4"/>
  <c r="L327" i="4"/>
  <c r="H327" i="4"/>
  <c r="K327" i="4"/>
  <c r="L331" i="4"/>
  <c r="K331" i="4"/>
  <c r="H331" i="4"/>
  <c r="L335" i="4"/>
  <c r="H335" i="4"/>
  <c r="K335" i="4"/>
  <c r="K340" i="4"/>
  <c r="L340" i="4"/>
  <c r="H340" i="4"/>
  <c r="K344" i="4"/>
  <c r="H344" i="4"/>
  <c r="L344" i="4"/>
  <c r="K349" i="4"/>
  <c r="L349" i="4"/>
  <c r="H349" i="4"/>
  <c r="K353" i="4"/>
  <c r="L353" i="4"/>
  <c r="H353" i="4"/>
  <c r="K357" i="4"/>
  <c r="L357" i="4"/>
  <c r="H357" i="4"/>
  <c r="K361" i="4"/>
  <c r="H361" i="4"/>
  <c r="L361" i="4"/>
  <c r="K365" i="4"/>
  <c r="L365" i="4"/>
  <c r="H365" i="4"/>
  <c r="L372" i="4"/>
  <c r="H372" i="4"/>
  <c r="K372" i="4"/>
  <c r="L379" i="4"/>
  <c r="K379" i="4"/>
  <c r="H379" i="4"/>
  <c r="L383" i="4"/>
  <c r="K383" i="4"/>
  <c r="H383" i="4"/>
  <c r="L392" i="4"/>
  <c r="H392" i="4"/>
  <c r="K392" i="4"/>
  <c r="K399" i="4"/>
  <c r="L399" i="4"/>
  <c r="H399" i="4"/>
  <c r="K412" i="4"/>
  <c r="H412" i="4"/>
  <c r="L412" i="4"/>
  <c r="K416" i="4"/>
  <c r="H416" i="4"/>
  <c r="L416" i="4"/>
  <c r="K420" i="4"/>
  <c r="L420" i="4"/>
  <c r="H48" i="4"/>
  <c r="L48" i="4"/>
  <c r="K48" i="4"/>
  <c r="L84" i="4"/>
  <c r="K84" i="4"/>
  <c r="L80" i="4"/>
  <c r="K80" i="4"/>
  <c r="H80" i="4"/>
  <c r="L76" i="4"/>
  <c r="K76" i="4"/>
  <c r="H76" i="4"/>
  <c r="K54" i="4"/>
  <c r="H54" i="4"/>
  <c r="L54" i="4"/>
  <c r="L298" i="4"/>
  <c r="K298" i="4"/>
  <c r="H298" i="4"/>
  <c r="K376" i="4"/>
  <c r="L376" i="4"/>
  <c r="H376" i="4"/>
  <c r="K336" i="4"/>
  <c r="H336" i="4"/>
  <c r="L336" i="4"/>
  <c r="L401" i="4"/>
  <c r="K401" i="4"/>
  <c r="L422" i="4"/>
  <c r="H422" i="4"/>
  <c r="K422" i="4"/>
  <c r="L52" i="4"/>
  <c r="K52" i="4"/>
  <c r="L59" i="4"/>
  <c r="K59" i="4"/>
  <c r="H63" i="4"/>
  <c r="L63" i="4"/>
  <c r="K63" i="4"/>
  <c r="L67" i="4"/>
  <c r="K67" i="4"/>
  <c r="H74" i="4"/>
  <c r="L74" i="4"/>
  <c r="K74" i="4"/>
  <c r="K299" i="4"/>
  <c r="L299" i="4"/>
  <c r="H299" i="4"/>
  <c r="K303" i="4"/>
  <c r="H303" i="4"/>
  <c r="L303" i="4"/>
  <c r="K307" i="4"/>
  <c r="L307" i="4"/>
  <c r="H307" i="4"/>
  <c r="L313" i="4"/>
  <c r="H313" i="4"/>
  <c r="K313" i="4"/>
  <c r="K320" i="4"/>
  <c r="H320" i="4"/>
  <c r="L320" i="4"/>
  <c r="K325" i="4"/>
  <c r="L325" i="4"/>
  <c r="H325" i="4"/>
  <c r="K328" i="4"/>
  <c r="H328" i="4"/>
  <c r="L328" i="4"/>
  <c r="K332" i="4"/>
  <c r="L332" i="4"/>
  <c r="H332" i="4"/>
  <c r="L337" i="4"/>
  <c r="H337" i="4"/>
  <c r="K337" i="4"/>
  <c r="K341" i="4"/>
  <c r="L341" i="4"/>
  <c r="H341" i="4"/>
  <c r="K345" i="4"/>
  <c r="H345" i="4"/>
  <c r="L345" i="4"/>
  <c r="L350" i="4"/>
  <c r="H350" i="4"/>
  <c r="K350" i="4"/>
  <c r="L354" i="4"/>
  <c r="H354" i="4"/>
  <c r="K354" i="4"/>
  <c r="L358" i="4"/>
  <c r="H358" i="4"/>
  <c r="K358" i="4"/>
  <c r="L362" i="4"/>
  <c r="H362" i="4"/>
  <c r="K362" i="4"/>
  <c r="L366" i="4"/>
  <c r="H366" i="4"/>
  <c r="K366" i="4"/>
  <c r="L369" i="4"/>
  <c r="K369" i="4"/>
  <c r="H369" i="4"/>
  <c r="K380" i="4"/>
  <c r="H380" i="4"/>
  <c r="L380" i="4"/>
  <c r="K384" i="4"/>
  <c r="H384" i="4"/>
  <c r="L384" i="4"/>
  <c r="K393" i="4"/>
  <c r="L393" i="4"/>
  <c r="L404" i="4"/>
  <c r="K404" i="4"/>
  <c r="H404" i="4"/>
  <c r="K413" i="4"/>
  <c r="H413" i="4"/>
  <c r="L413" i="4"/>
  <c r="K417" i="4"/>
  <c r="L417" i="4"/>
  <c r="H417" i="4"/>
  <c r="K421" i="4"/>
  <c r="L421" i="4"/>
  <c r="H421" i="4"/>
  <c r="L83" i="4"/>
  <c r="K83" i="4"/>
  <c r="H83" i="4"/>
  <c r="L79" i="4"/>
  <c r="K79" i="4"/>
  <c r="H79" i="4"/>
  <c r="L75" i="4"/>
  <c r="K75" i="4"/>
  <c r="H75" i="4"/>
  <c r="L49" i="4"/>
  <c r="K49" i="4"/>
  <c r="H49" i="4"/>
  <c r="J429" i="4"/>
  <c r="K315" i="4"/>
  <c r="L315" i="4"/>
  <c r="H315" i="4"/>
  <c r="L400" i="4"/>
  <c r="K400" i="4"/>
  <c r="H400" i="4"/>
  <c r="F200" i="4"/>
  <c r="F186" i="4"/>
  <c r="A35" i="4"/>
  <c r="A36" i="4" s="1"/>
  <c r="F37" i="4"/>
  <c r="F135" i="4"/>
  <c r="F278" i="4"/>
  <c r="F180" i="4"/>
  <c r="F290" i="4"/>
  <c r="F150" i="4"/>
  <c r="F151" i="4" s="1"/>
  <c r="F159" i="3"/>
  <c r="AC135" i="3"/>
  <c r="AC119" i="3"/>
  <c r="L143" i="3"/>
  <c r="L135" i="3"/>
  <c r="L119" i="3"/>
  <c r="L98" i="3"/>
  <c r="L91" i="3"/>
  <c r="L47" i="3"/>
  <c r="L37" i="3"/>
  <c r="L34" i="3"/>
  <c r="L23" i="3"/>
  <c r="K150" i="3"/>
  <c r="K143" i="3"/>
  <c r="K137" i="3"/>
  <c r="K135" i="3"/>
  <c r="K119" i="3"/>
  <c r="K112" i="3"/>
  <c r="K107" i="3"/>
  <c r="K98" i="3"/>
  <c r="K91" i="3"/>
  <c r="K47" i="3"/>
  <c r="K37" i="3"/>
  <c r="K34" i="3"/>
  <c r="K31" i="3"/>
  <c r="K23" i="3"/>
  <c r="H150" i="3"/>
  <c r="H143" i="3"/>
  <c r="H137" i="3"/>
  <c r="H135" i="3"/>
  <c r="H119" i="3"/>
  <c r="H112" i="3"/>
  <c r="H107" i="3"/>
  <c r="H98" i="3"/>
  <c r="H47" i="3"/>
  <c r="H37" i="3"/>
  <c r="H34" i="3"/>
  <c r="H31" i="3"/>
  <c r="H23" i="3"/>
  <c r="I23" i="3"/>
  <c r="M23" i="3"/>
  <c r="O23" i="3"/>
  <c r="S23" i="3"/>
  <c r="T23" i="3"/>
  <c r="W23" i="3"/>
  <c r="X23" i="3"/>
  <c r="F23" i="3"/>
  <c r="AI428" i="3"/>
  <c r="AJ428" i="3"/>
  <c r="AK428" i="3"/>
  <c r="AL428" i="3"/>
  <c r="Q379" i="3"/>
  <c r="AB379" i="3"/>
  <c r="H427" i="3"/>
  <c r="H428" i="3" s="1"/>
  <c r="I427" i="3"/>
  <c r="K427" i="3"/>
  <c r="S427" i="3"/>
  <c r="T427" i="3"/>
  <c r="AD427" i="3"/>
  <c r="I405" i="3"/>
  <c r="K405" i="3"/>
  <c r="S405" i="3"/>
  <c r="T405" i="3"/>
  <c r="AD405" i="3"/>
  <c r="M290" i="3"/>
  <c r="H268" i="3"/>
  <c r="I268" i="3"/>
  <c r="K268" i="3"/>
  <c r="L268" i="3"/>
  <c r="Q268" i="3"/>
  <c r="S268" i="3"/>
  <c r="T268" i="3"/>
  <c r="W268" i="3"/>
  <c r="X268" i="3"/>
  <c r="K260" i="3"/>
  <c r="H260" i="3"/>
  <c r="H256" i="3"/>
  <c r="I256" i="3"/>
  <c r="K256" i="3"/>
  <c r="L256" i="3"/>
  <c r="M256" i="3"/>
  <c r="S256" i="3"/>
  <c r="T256" i="3"/>
  <c r="W256" i="3"/>
  <c r="X256" i="3"/>
  <c r="O253" i="3"/>
  <c r="M253" i="3"/>
  <c r="M239" i="3"/>
  <c r="H235" i="3"/>
  <c r="I235" i="3"/>
  <c r="K235" i="3"/>
  <c r="L235" i="3"/>
  <c r="M235" i="3"/>
  <c r="S235" i="3"/>
  <c r="T235" i="3"/>
  <c r="W235" i="3"/>
  <c r="X235" i="3"/>
  <c r="H229" i="3"/>
  <c r="I229" i="3"/>
  <c r="K229" i="3"/>
  <c r="L229" i="3"/>
  <c r="M229" i="3"/>
  <c r="S229" i="3"/>
  <c r="T229" i="3"/>
  <c r="X229" i="3"/>
  <c r="I143" i="3"/>
  <c r="M143" i="3"/>
  <c r="S143" i="3"/>
  <c r="T143" i="3"/>
  <c r="I119" i="3"/>
  <c r="M119" i="3"/>
  <c r="O119" i="3"/>
  <c r="S119" i="3"/>
  <c r="T119" i="3"/>
  <c r="W119" i="3"/>
  <c r="X119" i="3"/>
  <c r="F119" i="3"/>
  <c r="M112" i="3"/>
  <c r="O112" i="3"/>
  <c r="M98" i="3"/>
  <c r="O98" i="3"/>
  <c r="F70" i="3"/>
  <c r="P70" i="3" s="1"/>
  <c r="Q70" i="3" s="1"/>
  <c r="I37" i="3"/>
  <c r="M37" i="3"/>
  <c r="O37" i="3"/>
  <c r="S37" i="3"/>
  <c r="T37" i="3"/>
  <c r="W37" i="3"/>
  <c r="X37" i="3"/>
  <c r="AA39" i="3"/>
  <c r="V39" i="3"/>
  <c r="G39" i="3"/>
  <c r="AA40" i="3"/>
  <c r="V40" i="3"/>
  <c r="G40" i="3"/>
  <c r="K239" i="3"/>
  <c r="H239" i="3"/>
  <c r="G237" i="3"/>
  <c r="V237" i="3"/>
  <c r="AA237" i="3"/>
  <c r="F219" i="3"/>
  <c r="AB119" i="3"/>
  <c r="AD119" i="3"/>
  <c r="AE119" i="3"/>
  <c r="AF119" i="3"/>
  <c r="AG119" i="3"/>
  <c r="AH119" i="3"/>
  <c r="AI119" i="3"/>
  <c r="AJ119" i="3"/>
  <c r="AK119" i="3"/>
  <c r="AL119" i="3"/>
  <c r="I112" i="3"/>
  <c r="S112" i="3"/>
  <c r="T112" i="3"/>
  <c r="W112" i="3"/>
  <c r="X112" i="3"/>
  <c r="AD112" i="3"/>
  <c r="AF112" i="3"/>
  <c r="AI112" i="3"/>
  <c r="AJ112" i="3"/>
  <c r="AK112" i="3"/>
  <c r="AL112" i="3"/>
  <c r="K151" i="3" l="1"/>
  <c r="L151" i="3"/>
  <c r="H151" i="3"/>
  <c r="A38" i="4"/>
  <c r="A39" i="4" s="1"/>
  <c r="A40" i="4" s="1"/>
  <c r="A41" i="4" s="1"/>
  <c r="A42" i="4" s="1"/>
  <c r="M415" i="4"/>
  <c r="M385" i="4"/>
  <c r="M61" i="4"/>
  <c r="M387" i="4"/>
  <c r="M361" i="4"/>
  <c r="M352" i="4"/>
  <c r="M334" i="4"/>
  <c r="M339" i="4"/>
  <c r="M318" i="4"/>
  <c r="M397" i="4"/>
  <c r="M310" i="4"/>
  <c r="M72" i="4"/>
  <c r="M363" i="4"/>
  <c r="M68" i="4"/>
  <c r="M343" i="4"/>
  <c r="M400" i="4"/>
  <c r="M57" i="4"/>
  <c r="M53" i="4"/>
  <c r="M75" i="4"/>
  <c r="M412" i="4"/>
  <c r="M56" i="4"/>
  <c r="M320" i="4"/>
  <c r="M419" i="4"/>
  <c r="M326" i="4"/>
  <c r="M78" i="4"/>
  <c r="M349" i="4"/>
  <c r="M80" i="4"/>
  <c r="M63" i="4"/>
  <c r="M52" i="4"/>
  <c r="M401" i="4"/>
  <c r="M416" i="4"/>
  <c r="M353" i="4"/>
  <c r="M335" i="4"/>
  <c r="M319" i="4"/>
  <c r="M62" i="4"/>
  <c r="M388" i="4"/>
  <c r="M81" i="4"/>
  <c r="M356" i="4"/>
  <c r="M322" i="4"/>
  <c r="M65" i="4"/>
  <c r="M396" i="4"/>
  <c r="M351" i="4"/>
  <c r="M347" i="4"/>
  <c r="M71" i="4"/>
  <c r="M83" i="4"/>
  <c r="M380" i="4"/>
  <c r="M358" i="4"/>
  <c r="M341" i="4"/>
  <c r="M325" i="4"/>
  <c r="M67" i="4"/>
  <c r="M383" i="4"/>
  <c r="M348" i="4"/>
  <c r="M60" i="4"/>
  <c r="M79" i="4"/>
  <c r="M417" i="4"/>
  <c r="M384" i="4"/>
  <c r="M362" i="4"/>
  <c r="M84" i="4"/>
  <c r="M420" i="4"/>
  <c r="M70" i="4"/>
  <c r="M330" i="4"/>
  <c r="M414" i="4"/>
  <c r="M381" i="4"/>
  <c r="M338" i="4"/>
  <c r="M323" i="4"/>
  <c r="M418" i="4"/>
  <c r="M359" i="4"/>
  <c r="M342" i="4"/>
  <c r="M64" i="4"/>
  <c r="M413" i="4"/>
  <c r="M76" i="4"/>
  <c r="M392" i="4"/>
  <c r="M365" i="4"/>
  <c r="M344" i="4"/>
  <c r="M340" i="4"/>
  <c r="M324" i="4"/>
  <c r="M66" i="4"/>
  <c r="M403" i="4"/>
  <c r="M55" i="4"/>
  <c r="M77" i="4"/>
  <c r="M389" i="4"/>
  <c r="M382" i="4"/>
  <c r="M364" i="4"/>
  <c r="M360" i="4"/>
  <c r="M333" i="4"/>
  <c r="M421" i="4"/>
  <c r="M393" i="4"/>
  <c r="M366" i="4"/>
  <c r="M350" i="4"/>
  <c r="M345" i="4"/>
  <c r="M332" i="4"/>
  <c r="M328" i="4"/>
  <c r="M422" i="4"/>
  <c r="M376" i="4"/>
  <c r="M399" i="4"/>
  <c r="M372" i="4"/>
  <c r="M357" i="4"/>
  <c r="M327" i="4"/>
  <c r="M371" i="4"/>
  <c r="M51" i="4"/>
  <c r="M370" i="4"/>
  <c r="M355" i="4"/>
  <c r="M329" i="4"/>
  <c r="M404" i="4"/>
  <c r="M369" i="4"/>
  <c r="M354" i="4"/>
  <c r="M337" i="4"/>
  <c r="M74" i="4"/>
  <c r="M59" i="4"/>
  <c r="M336" i="4"/>
  <c r="M54" i="4"/>
  <c r="M379" i="4"/>
  <c r="M331" i="4"/>
  <c r="M73" i="4"/>
  <c r="M58" i="4"/>
  <c r="M69" i="4"/>
  <c r="M367" i="4"/>
  <c r="M82" i="4"/>
  <c r="M321" i="4"/>
  <c r="Z51" i="3"/>
  <c r="AA51" i="3" s="1"/>
  <c r="U51" i="3"/>
  <c r="V51" i="3" s="1"/>
  <c r="P51" i="3"/>
  <c r="Z70" i="3"/>
  <c r="U70" i="3"/>
  <c r="Z219" i="3"/>
  <c r="AA219" i="3" s="1"/>
  <c r="P219" i="3"/>
  <c r="U219" i="3"/>
  <c r="V219" i="3" s="1"/>
  <c r="AE379" i="3"/>
  <c r="AC379" i="3"/>
  <c r="K405" i="4"/>
  <c r="K427" i="4"/>
  <c r="H405" i="4"/>
  <c r="H427" i="4"/>
  <c r="I405" i="4"/>
  <c r="I428" i="4" s="1"/>
  <c r="L427" i="4"/>
  <c r="L405" i="4"/>
  <c r="G428" i="4"/>
  <c r="M408" i="4"/>
  <c r="J219" i="3"/>
  <c r="F271" i="4"/>
  <c r="M312" i="4"/>
  <c r="F291" i="4"/>
  <c r="M293" i="4"/>
  <c r="M313" i="4"/>
  <c r="AB51" i="3"/>
  <c r="S428" i="3"/>
  <c r="M311" i="4"/>
  <c r="M299" i="4"/>
  <c r="M307" i="4"/>
  <c r="M304" i="4"/>
  <c r="M306" i="4"/>
  <c r="M305" i="4"/>
  <c r="M303" i="4"/>
  <c r="M315" i="4"/>
  <c r="M308" i="4"/>
  <c r="M298" i="4"/>
  <c r="M302" i="4"/>
  <c r="M300" i="4"/>
  <c r="M292" i="4"/>
  <c r="M314" i="4"/>
  <c r="M309" i="4"/>
  <c r="M301" i="4"/>
  <c r="K428" i="3"/>
  <c r="O428" i="3"/>
  <c r="I428" i="3"/>
  <c r="AD428" i="3"/>
  <c r="T428" i="3"/>
  <c r="L428" i="3"/>
  <c r="AH379" i="3"/>
  <c r="AA379" i="3"/>
  <c r="G379" i="3"/>
  <c r="J379" i="3"/>
  <c r="O291" i="3"/>
  <c r="Y39" i="3"/>
  <c r="G161" i="3"/>
  <c r="R161" i="3"/>
  <c r="V161" i="3"/>
  <c r="AH180" i="3"/>
  <c r="AE180" i="3"/>
  <c r="AC180" i="3"/>
  <c r="AA161" i="3"/>
  <c r="J161" i="3"/>
  <c r="Y40" i="3"/>
  <c r="G51" i="3"/>
  <c r="J51" i="3"/>
  <c r="G219" i="3"/>
  <c r="F123" i="3"/>
  <c r="G226" i="3"/>
  <c r="R226" i="3"/>
  <c r="V226" i="3"/>
  <c r="AA226" i="3"/>
  <c r="AA238" i="3"/>
  <c r="V238" i="3"/>
  <c r="G238" i="3"/>
  <c r="F423" i="3"/>
  <c r="F314" i="3"/>
  <c r="F313" i="3"/>
  <c r="AA294" i="3"/>
  <c r="V294" i="3"/>
  <c r="J294" i="3"/>
  <c r="G294" i="3"/>
  <c r="AA228" i="3"/>
  <c r="V228" i="3"/>
  <c r="G228" i="3"/>
  <c r="AA259" i="3"/>
  <c r="V259" i="3"/>
  <c r="J259" i="3"/>
  <c r="G259" i="3"/>
  <c r="F168" i="3"/>
  <c r="F193" i="3"/>
  <c r="P193" i="3" s="1"/>
  <c r="U192" i="3"/>
  <c r="V192" i="3" s="1"/>
  <c r="F192" i="3"/>
  <c r="P192" i="3" s="1"/>
  <c r="R192" i="3" s="1"/>
  <c r="F420" i="3"/>
  <c r="A43" i="4" l="1"/>
  <c r="A45" i="4" s="1"/>
  <c r="A46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G429" i="4"/>
  <c r="M405" i="4"/>
  <c r="M427" i="4"/>
  <c r="K428" i="4"/>
  <c r="Y51" i="3"/>
  <c r="Z314" i="3"/>
  <c r="AA314" i="3" s="1"/>
  <c r="U314" i="3"/>
  <c r="V314" i="3" s="1"/>
  <c r="P314" i="3"/>
  <c r="R314" i="3" s="1"/>
  <c r="Q51" i="3"/>
  <c r="Z313" i="3"/>
  <c r="AA313" i="3" s="1"/>
  <c r="P313" i="3"/>
  <c r="R313" i="3" s="1"/>
  <c r="U313" i="3"/>
  <c r="V313" i="3" s="1"/>
  <c r="Z423" i="3"/>
  <c r="AA423" i="3" s="1"/>
  <c r="U423" i="3"/>
  <c r="V423" i="3" s="1"/>
  <c r="P423" i="3"/>
  <c r="Q423" i="3" s="1"/>
  <c r="Z123" i="3"/>
  <c r="AA123" i="3" s="1"/>
  <c r="U123" i="3"/>
  <c r="V123" i="3" s="1"/>
  <c r="P123" i="3"/>
  <c r="R123" i="3" s="1"/>
  <c r="AC51" i="3"/>
  <c r="AE51" i="3"/>
  <c r="AE91" i="3" s="1"/>
  <c r="AB91" i="3"/>
  <c r="Z215" i="3"/>
  <c r="AA215" i="3" s="1"/>
  <c r="P215" i="3"/>
  <c r="Q215" i="3" s="1"/>
  <c r="U215" i="3"/>
  <c r="Z420" i="3"/>
  <c r="AA420" i="3" s="1"/>
  <c r="W420" i="3"/>
  <c r="X420" i="3" s="1"/>
  <c r="X427" i="3" s="1"/>
  <c r="U420" i="3"/>
  <c r="Z168" i="3"/>
  <c r="AA168" i="3" s="1"/>
  <c r="U168" i="3"/>
  <c r="V168" i="3" s="1"/>
  <c r="P168" i="3"/>
  <c r="Q168" i="3" s="1"/>
  <c r="AG379" i="3"/>
  <c r="H428" i="4"/>
  <c r="L428" i="4"/>
  <c r="G192" i="3"/>
  <c r="J192" i="3"/>
  <c r="U193" i="3"/>
  <c r="V193" i="3" s="1"/>
  <c r="J193" i="3"/>
  <c r="J215" i="3"/>
  <c r="AH51" i="3"/>
  <c r="AH91" i="3" s="1"/>
  <c r="AB420" i="3"/>
  <c r="AF420" i="3" s="1"/>
  <c r="AF427" i="3" s="1"/>
  <c r="AB423" i="3"/>
  <c r="AB314" i="3"/>
  <c r="V379" i="3"/>
  <c r="AB313" i="3"/>
  <c r="AG180" i="3"/>
  <c r="Y161" i="3"/>
  <c r="R219" i="3"/>
  <c r="Y219" i="3"/>
  <c r="J123" i="3"/>
  <c r="G123" i="3"/>
  <c r="Q238" i="3"/>
  <c r="Q239" i="3" s="1"/>
  <c r="G423" i="3"/>
  <c r="J423" i="3"/>
  <c r="G314" i="3"/>
  <c r="J314" i="3"/>
  <c r="G313" i="3"/>
  <c r="J313" i="3"/>
  <c r="Q294" i="3"/>
  <c r="R228" i="3"/>
  <c r="Y259" i="3"/>
  <c r="R259" i="3"/>
  <c r="J168" i="3"/>
  <c r="G168" i="3"/>
  <c r="AA193" i="3"/>
  <c r="G193" i="3"/>
  <c r="AA192" i="3"/>
  <c r="J420" i="3"/>
  <c r="G420" i="3"/>
  <c r="G215" i="3"/>
  <c r="A70" i="4" l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2" i="4" s="1"/>
  <c r="A93" i="4" s="1"/>
  <c r="A94" i="4" s="1"/>
  <c r="A95" i="4" s="1"/>
  <c r="A96" i="4" s="1"/>
  <c r="A97" i="4" s="1"/>
  <c r="A99" i="4" s="1"/>
  <c r="A100" i="4" s="1"/>
  <c r="A101" i="4" s="1"/>
  <c r="Y314" i="3"/>
  <c r="M428" i="4"/>
  <c r="Y423" i="3"/>
  <c r="AC313" i="3"/>
  <c r="AE313" i="3"/>
  <c r="AE420" i="3"/>
  <c r="AG51" i="3"/>
  <c r="AG91" i="3" s="1"/>
  <c r="AC91" i="3"/>
  <c r="Y313" i="3"/>
  <c r="AC314" i="3"/>
  <c r="AE314" i="3"/>
  <c r="V215" i="3"/>
  <c r="AH423" i="3"/>
  <c r="AC423" i="3"/>
  <c r="AE423" i="3"/>
  <c r="Y168" i="3"/>
  <c r="Y420" i="3"/>
  <c r="W427" i="3"/>
  <c r="AH313" i="3"/>
  <c r="AH314" i="3"/>
  <c r="AH420" i="3"/>
  <c r="Y123" i="3"/>
  <c r="R193" i="3"/>
  <c r="Y193" i="3"/>
  <c r="Y192" i="3"/>
  <c r="V420" i="3"/>
  <c r="Y215" i="3"/>
  <c r="A102" i="4" l="1"/>
  <c r="A103" i="4" s="1"/>
  <c r="A105" i="4" s="1"/>
  <c r="A106" i="4" s="1"/>
  <c r="A108" i="4" s="1"/>
  <c r="A109" i="4" s="1"/>
  <c r="A110" i="4" s="1"/>
  <c r="A111" i="4" s="1"/>
  <c r="A113" i="4" s="1"/>
  <c r="A114" i="4" s="1"/>
  <c r="AG420" i="3"/>
  <c r="AG314" i="3"/>
  <c r="AG423" i="3"/>
  <c r="AG313" i="3"/>
  <c r="AA267" i="3"/>
  <c r="V267" i="3"/>
  <c r="R267" i="3"/>
  <c r="J267" i="3"/>
  <c r="G267" i="3"/>
  <c r="J254" i="3"/>
  <c r="G254" i="3"/>
  <c r="AA210" i="3"/>
  <c r="V210" i="3"/>
  <c r="Q210" i="3"/>
  <c r="J210" i="3"/>
  <c r="G210" i="3"/>
  <c r="I180" i="3"/>
  <c r="K180" i="3"/>
  <c r="H180" i="3"/>
  <c r="AA178" i="3"/>
  <c r="V178" i="3"/>
  <c r="R178" i="3"/>
  <c r="J178" i="3"/>
  <c r="G178" i="3"/>
  <c r="AA118" i="3"/>
  <c r="V118" i="3"/>
  <c r="J118" i="3"/>
  <c r="G118" i="3"/>
  <c r="O107" i="3"/>
  <c r="Q404" i="3"/>
  <c r="M200" i="3"/>
  <c r="A115" i="4" l="1"/>
  <c r="A116" i="4" s="1"/>
  <c r="A117" i="4" s="1"/>
  <c r="A118" i="4" s="1"/>
  <c r="A120" i="4" s="1"/>
  <c r="A121" i="4" s="1"/>
  <c r="A122" i="4" s="1"/>
  <c r="A123" i="4" s="1"/>
  <c r="Z103" i="3"/>
  <c r="P103" i="3"/>
  <c r="U103" i="3"/>
  <c r="AA254" i="3"/>
  <c r="V254" i="3"/>
  <c r="R254" i="3"/>
  <c r="Y254" i="3"/>
  <c r="Y118" i="3"/>
  <c r="Y210" i="3"/>
  <c r="R118" i="3"/>
  <c r="J103" i="3"/>
  <c r="G103" i="3"/>
  <c r="M186" i="3"/>
  <c r="V103" i="3" l="1"/>
  <c r="AA103" i="3"/>
  <c r="A124" i="4"/>
  <c r="A125" i="4" s="1"/>
  <c r="A126" i="4" s="1"/>
  <c r="A127" i="4" s="1"/>
  <c r="A128" i="4" s="1"/>
  <c r="Y103" i="3"/>
  <c r="R103" i="3"/>
  <c r="Q155" i="3"/>
  <c r="Q150" i="3"/>
  <c r="S150" i="3"/>
  <c r="T150" i="3"/>
  <c r="W150" i="3"/>
  <c r="X150" i="3"/>
  <c r="L180" i="3"/>
  <c r="S180" i="3"/>
  <c r="T180" i="3"/>
  <c r="W180" i="3"/>
  <c r="X180" i="3"/>
  <c r="V156" i="3"/>
  <c r="G155" i="3"/>
  <c r="V155" i="3"/>
  <c r="AA155" i="3"/>
  <c r="K159" i="3"/>
  <c r="H159" i="3"/>
  <c r="A129" i="4" l="1"/>
  <c r="A130" i="4" s="1"/>
  <c r="A131" i="4" s="1"/>
  <c r="V194" i="3"/>
  <c r="AA156" i="3"/>
  <c r="G156" i="3"/>
  <c r="Y155" i="3"/>
  <c r="AA194" i="3"/>
  <c r="G194" i="3"/>
  <c r="A132" i="4" l="1"/>
  <c r="A133" i="4" s="1"/>
  <c r="A134" i="4" s="1"/>
  <c r="A136" i="4" s="1"/>
  <c r="A138" i="4" s="1"/>
  <c r="A139" i="4" s="1"/>
  <c r="A140" i="4" s="1"/>
  <c r="A141" i="4" s="1"/>
  <c r="A142" i="4" s="1"/>
  <c r="A144" i="4" s="1"/>
  <c r="A145" i="4" s="1"/>
  <c r="A146" i="4" s="1"/>
  <c r="A147" i="4" s="1"/>
  <c r="A148" i="4" s="1"/>
  <c r="A149" i="4" s="1"/>
  <c r="A152" i="4" s="1"/>
  <c r="A153" i="4" s="1"/>
  <c r="A154" i="4" s="1"/>
  <c r="A155" i="4" s="1"/>
  <c r="A156" i="4" s="1"/>
  <c r="A157" i="4" s="1"/>
  <c r="A158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1" i="4" s="1"/>
  <c r="A183" i="4" s="1"/>
  <c r="A184" i="4" s="1"/>
  <c r="A185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1" i="4" s="1"/>
  <c r="A202" i="4" s="1"/>
  <c r="A203" i="4" s="1"/>
  <c r="A204" i="4" s="1"/>
  <c r="A207" i="4" s="1"/>
  <c r="A208" i="4" s="1"/>
  <c r="A209" i="4" s="1"/>
  <c r="A210" i="4" s="1"/>
  <c r="A211" i="4" s="1"/>
  <c r="A213" i="4" s="1"/>
  <c r="R156" i="3"/>
  <c r="Y156" i="3"/>
  <c r="I135" i="3" l="1"/>
  <c r="S135" i="3"/>
  <c r="T135" i="3"/>
  <c r="W135" i="3"/>
  <c r="X135" i="3"/>
  <c r="AB135" i="3"/>
  <c r="AD135" i="3"/>
  <c r="AD151" i="3" s="1"/>
  <c r="AE135" i="3"/>
  <c r="AF135" i="3"/>
  <c r="AF151" i="3" s="1"/>
  <c r="AG135" i="3"/>
  <c r="AH135" i="3"/>
  <c r="AI135" i="3"/>
  <c r="AJ135" i="3"/>
  <c r="AK135" i="3"/>
  <c r="AL135" i="3"/>
  <c r="U109" i="3"/>
  <c r="V109" i="3" s="1"/>
  <c r="G109" i="3"/>
  <c r="K200" i="3"/>
  <c r="Q76" i="3"/>
  <c r="O91" i="3"/>
  <c r="O47" i="3"/>
  <c r="O34" i="3"/>
  <c r="O31" i="3"/>
  <c r="O151" i="3" s="1"/>
  <c r="Q109" i="3" l="1"/>
  <c r="Y109" i="3"/>
  <c r="P23" i="3"/>
  <c r="P119" i="3"/>
  <c r="A230" i="4" l="1"/>
  <c r="A231" i="4" s="1"/>
  <c r="A232" i="4" s="1"/>
  <c r="I31" i="3"/>
  <c r="I150" i="3"/>
  <c r="I137" i="3"/>
  <c r="I107" i="3"/>
  <c r="I98" i="3"/>
  <c r="AA57" i="3"/>
  <c r="V57" i="3"/>
  <c r="J57" i="3"/>
  <c r="G57" i="3"/>
  <c r="A233" i="4" l="1"/>
  <c r="A234" i="4" s="1"/>
  <c r="A236" i="4" s="1"/>
  <c r="A237" i="4" s="1"/>
  <c r="A238" i="4" s="1"/>
  <c r="A240" i="4" s="1"/>
  <c r="A241" i="4" s="1"/>
  <c r="A242" i="4" s="1"/>
  <c r="A243" i="4" s="1"/>
  <c r="A244" i="4" s="1"/>
  <c r="A246" i="4" s="1"/>
  <c r="A247" i="4" s="1"/>
  <c r="A248" i="4" s="1"/>
  <c r="A249" i="4" s="1"/>
  <c r="A251" i="4" s="1"/>
  <c r="AL291" i="3"/>
  <c r="AK291" i="3"/>
  <c r="AJ291" i="3"/>
  <c r="AI291" i="3"/>
  <c r="AH291" i="3"/>
  <c r="AG291" i="3"/>
  <c r="AF291" i="3"/>
  <c r="AE291" i="3"/>
  <c r="AD291" i="3"/>
  <c r="AC291" i="3"/>
  <c r="AB291" i="3"/>
  <c r="F371" i="3"/>
  <c r="F372" i="3"/>
  <c r="F46" i="3"/>
  <c r="F422" i="3"/>
  <c r="F421" i="3"/>
  <c r="F419" i="3"/>
  <c r="F418" i="3"/>
  <c r="F417" i="3"/>
  <c r="F416" i="3"/>
  <c r="F415" i="3"/>
  <c r="F414" i="3"/>
  <c r="F413" i="3"/>
  <c r="F410" i="3"/>
  <c r="F408" i="3"/>
  <c r="F407" i="3"/>
  <c r="F403" i="3"/>
  <c r="F401" i="3"/>
  <c r="F397" i="3"/>
  <c r="F393" i="3"/>
  <c r="F386" i="3"/>
  <c r="P386" i="3" s="1"/>
  <c r="R386" i="3" s="1"/>
  <c r="F385" i="3"/>
  <c r="P385" i="3" s="1"/>
  <c r="R385" i="3" s="1"/>
  <c r="F218" i="3"/>
  <c r="F381" i="3"/>
  <c r="F387" i="3"/>
  <c r="F365" i="3"/>
  <c r="F364" i="3"/>
  <c r="P364" i="3" s="1"/>
  <c r="R364" i="3" s="1"/>
  <c r="F363" i="3"/>
  <c r="F367" i="3"/>
  <c r="F366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10" i="3"/>
  <c r="F350" i="3"/>
  <c r="F349" i="3"/>
  <c r="F384" i="3"/>
  <c r="F334" i="3"/>
  <c r="F333" i="3"/>
  <c r="F332" i="3"/>
  <c r="F331" i="3"/>
  <c r="F330" i="3"/>
  <c r="F329" i="3"/>
  <c r="F328" i="3"/>
  <c r="F327" i="3"/>
  <c r="F326" i="3"/>
  <c r="F325" i="3"/>
  <c r="F324" i="3"/>
  <c r="F322" i="3"/>
  <c r="F321" i="3"/>
  <c r="F320" i="3"/>
  <c r="F319" i="3"/>
  <c r="F318" i="3"/>
  <c r="F315" i="3"/>
  <c r="F311" i="3"/>
  <c r="F308" i="3"/>
  <c r="F307" i="3"/>
  <c r="F306" i="3"/>
  <c r="F305" i="3"/>
  <c r="F303" i="3"/>
  <c r="F302" i="3"/>
  <c r="F301" i="3"/>
  <c r="F300" i="3"/>
  <c r="F299" i="3"/>
  <c r="F296" i="3"/>
  <c r="F286" i="3"/>
  <c r="F284" i="3"/>
  <c r="F282" i="3"/>
  <c r="F277" i="3"/>
  <c r="F424" i="3"/>
  <c r="F275" i="3"/>
  <c r="P275" i="3" s="1"/>
  <c r="R275" i="3" s="1"/>
  <c r="F274" i="3"/>
  <c r="F269" i="3"/>
  <c r="F258" i="3"/>
  <c r="F222" i="3"/>
  <c r="F221" i="3"/>
  <c r="F220" i="3"/>
  <c r="F217" i="3"/>
  <c r="F216" i="3"/>
  <c r="F199" i="3"/>
  <c r="F197" i="3"/>
  <c r="F195" i="3"/>
  <c r="F188" i="3"/>
  <c r="F177" i="3"/>
  <c r="F176" i="3"/>
  <c r="F175" i="3"/>
  <c r="F174" i="3"/>
  <c r="F173" i="3"/>
  <c r="F171" i="3"/>
  <c r="F169" i="3"/>
  <c r="F167" i="3"/>
  <c r="F166" i="3"/>
  <c r="F162" i="3"/>
  <c r="F148" i="3"/>
  <c r="F145" i="3"/>
  <c r="F141" i="3"/>
  <c r="F139" i="3"/>
  <c r="P139" i="3" s="1"/>
  <c r="Q139" i="3" s="1"/>
  <c r="F136" i="3"/>
  <c r="F276" i="3"/>
  <c r="F243" i="3"/>
  <c r="F128" i="3"/>
  <c r="F127" i="3"/>
  <c r="F126" i="3"/>
  <c r="F211" i="3"/>
  <c r="F212" i="3" s="1"/>
  <c r="F125" i="3"/>
  <c r="F101" i="3"/>
  <c r="F100" i="3"/>
  <c r="F104" i="3" s="1"/>
  <c r="F75" i="3"/>
  <c r="F74" i="3"/>
  <c r="F73" i="3"/>
  <c r="F72" i="3"/>
  <c r="F71" i="3"/>
  <c r="F69" i="3"/>
  <c r="F59" i="3"/>
  <c r="F68" i="3"/>
  <c r="F67" i="3"/>
  <c r="P67" i="3" s="1"/>
  <c r="R67" i="3" s="1"/>
  <c r="F66" i="3"/>
  <c r="F65" i="3"/>
  <c r="F64" i="3"/>
  <c r="F63" i="3"/>
  <c r="F61" i="3"/>
  <c r="F60" i="3"/>
  <c r="F58" i="3"/>
  <c r="F62" i="3"/>
  <c r="F54" i="3"/>
  <c r="F53" i="3"/>
  <c r="F52" i="3"/>
  <c r="F124" i="3"/>
  <c r="F36" i="3"/>
  <c r="F30" i="3"/>
  <c r="A252" i="4" l="1"/>
  <c r="A254" i="4" s="1"/>
  <c r="A255" i="4" s="1"/>
  <c r="A257" i="4" s="1"/>
  <c r="A258" i="4" s="1"/>
  <c r="A259" i="4" s="1"/>
  <c r="F135" i="3"/>
  <c r="F229" i="3"/>
  <c r="U101" i="3"/>
  <c r="V101" i="3" s="1"/>
  <c r="Z101" i="3"/>
  <c r="AA101" i="3" s="1"/>
  <c r="P101" i="3"/>
  <c r="P104" i="3" s="1"/>
  <c r="J101" i="3"/>
  <c r="Z124" i="3"/>
  <c r="P124" i="3"/>
  <c r="U124" i="3"/>
  <c r="F91" i="3"/>
  <c r="Z63" i="3"/>
  <c r="P63" i="3"/>
  <c r="U63" i="3"/>
  <c r="F112" i="3"/>
  <c r="Z110" i="3"/>
  <c r="P110" i="3"/>
  <c r="P112" i="3" s="1"/>
  <c r="U110" i="3"/>
  <c r="Z276" i="3"/>
  <c r="P276" i="3"/>
  <c r="U276" i="3"/>
  <c r="Z166" i="3"/>
  <c r="U166" i="3"/>
  <c r="P166" i="3"/>
  <c r="Z177" i="3"/>
  <c r="U177" i="3"/>
  <c r="P177" i="3"/>
  <c r="Z217" i="3"/>
  <c r="U217" i="3"/>
  <c r="P217" i="3"/>
  <c r="S277" i="3"/>
  <c r="Z277" i="3"/>
  <c r="U277" i="3"/>
  <c r="Z300" i="3"/>
  <c r="U300" i="3"/>
  <c r="P300" i="3"/>
  <c r="Z311" i="3"/>
  <c r="U311" i="3"/>
  <c r="P311" i="3"/>
  <c r="Z325" i="3"/>
  <c r="U325" i="3"/>
  <c r="P325" i="3"/>
  <c r="Z332" i="3"/>
  <c r="U332" i="3"/>
  <c r="P332" i="3"/>
  <c r="Z352" i="3"/>
  <c r="U352" i="3"/>
  <c r="P352" i="3"/>
  <c r="Z360" i="3"/>
  <c r="U360" i="3"/>
  <c r="P360" i="3"/>
  <c r="Z387" i="3"/>
  <c r="U387" i="3"/>
  <c r="P387" i="3"/>
  <c r="Z385" i="3"/>
  <c r="U385" i="3"/>
  <c r="Z407" i="3"/>
  <c r="U407" i="3"/>
  <c r="P407" i="3"/>
  <c r="Z417" i="3"/>
  <c r="U417" i="3"/>
  <c r="P417" i="3"/>
  <c r="Z369" i="3"/>
  <c r="AA369" i="3" s="1"/>
  <c r="U369" i="3"/>
  <c r="V369" i="3" s="1"/>
  <c r="P369" i="3"/>
  <c r="Z52" i="3"/>
  <c r="U52" i="3"/>
  <c r="P52" i="3"/>
  <c r="Z64" i="3"/>
  <c r="P64" i="3"/>
  <c r="U64" i="3"/>
  <c r="Z71" i="3"/>
  <c r="P71" i="3"/>
  <c r="U71" i="3"/>
  <c r="Z125" i="3"/>
  <c r="U125" i="3"/>
  <c r="P125" i="3"/>
  <c r="Z425" i="3"/>
  <c r="P425" i="3"/>
  <c r="U425" i="3"/>
  <c r="Z167" i="3"/>
  <c r="P167" i="3"/>
  <c r="U167" i="3"/>
  <c r="Z184" i="3"/>
  <c r="U184" i="3"/>
  <c r="P184" i="3"/>
  <c r="Z220" i="3"/>
  <c r="U220" i="3"/>
  <c r="P220" i="3"/>
  <c r="Z274" i="3"/>
  <c r="U274" i="3"/>
  <c r="P274" i="3"/>
  <c r="Z295" i="3"/>
  <c r="U295" i="3"/>
  <c r="P295" i="3"/>
  <c r="R295" i="3" s="1"/>
  <c r="Z306" i="3"/>
  <c r="U306" i="3"/>
  <c r="P306" i="3"/>
  <c r="Z321" i="3"/>
  <c r="P321" i="3"/>
  <c r="U321" i="3"/>
  <c r="Z329" i="3"/>
  <c r="P329" i="3"/>
  <c r="U329" i="3"/>
  <c r="Z350" i="3"/>
  <c r="P350" i="3"/>
  <c r="U350" i="3"/>
  <c r="Z357" i="3"/>
  <c r="P357" i="3"/>
  <c r="U357" i="3"/>
  <c r="Z363" i="3"/>
  <c r="U363" i="3"/>
  <c r="P363" i="3"/>
  <c r="Z400" i="3"/>
  <c r="U400" i="3"/>
  <c r="P400" i="3"/>
  <c r="Z414" i="3"/>
  <c r="U414" i="3"/>
  <c r="P414" i="3"/>
  <c r="U36" i="3"/>
  <c r="Z36" i="3"/>
  <c r="P36" i="3"/>
  <c r="Q36" i="3" s="1"/>
  <c r="Q37" i="3" s="1"/>
  <c r="Z53" i="3"/>
  <c r="U53" i="3"/>
  <c r="Z60" i="3"/>
  <c r="U60" i="3"/>
  <c r="Z65" i="3"/>
  <c r="U65" i="3"/>
  <c r="P65" i="3"/>
  <c r="Z59" i="3"/>
  <c r="P59" i="3"/>
  <c r="U59" i="3"/>
  <c r="Z72" i="3"/>
  <c r="U72" i="3"/>
  <c r="Z100" i="3"/>
  <c r="Z104" i="3" s="1"/>
  <c r="U100" i="3"/>
  <c r="U104" i="3" s="1"/>
  <c r="Z211" i="3"/>
  <c r="Z212" i="3" s="1"/>
  <c r="P211" i="3"/>
  <c r="P212" i="3" s="1"/>
  <c r="U211" i="3"/>
  <c r="U212" i="3" s="1"/>
  <c r="Z129" i="3"/>
  <c r="U129" i="3"/>
  <c r="P129" i="3"/>
  <c r="Z136" i="3"/>
  <c r="U136" i="3"/>
  <c r="P136" i="3"/>
  <c r="Z148" i="3"/>
  <c r="P148" i="3"/>
  <c r="U148" i="3"/>
  <c r="Z169" i="3"/>
  <c r="U169" i="3"/>
  <c r="P169" i="3"/>
  <c r="Z175" i="3"/>
  <c r="U175" i="3"/>
  <c r="P175" i="3"/>
  <c r="Z185" i="3"/>
  <c r="P185" i="3"/>
  <c r="U185" i="3"/>
  <c r="Z199" i="3"/>
  <c r="U199" i="3"/>
  <c r="P199" i="3"/>
  <c r="Z221" i="3"/>
  <c r="U221" i="3"/>
  <c r="P221" i="3"/>
  <c r="F260" i="3"/>
  <c r="Z258" i="3"/>
  <c r="P258" i="3"/>
  <c r="P260" i="3" s="1"/>
  <c r="U258" i="3"/>
  <c r="U260" i="3" s="1"/>
  <c r="Z275" i="3"/>
  <c r="U275" i="3"/>
  <c r="Z296" i="3"/>
  <c r="P296" i="3"/>
  <c r="U296" i="3"/>
  <c r="Z302" i="3"/>
  <c r="U302" i="3"/>
  <c r="P302" i="3"/>
  <c r="Z307" i="3"/>
  <c r="U307" i="3"/>
  <c r="P307" i="3"/>
  <c r="Z318" i="3"/>
  <c r="U318" i="3"/>
  <c r="P318" i="3"/>
  <c r="Z322" i="3"/>
  <c r="P322" i="3"/>
  <c r="U322" i="3"/>
  <c r="Z326" i="3"/>
  <c r="U326" i="3"/>
  <c r="P326" i="3"/>
  <c r="Z330" i="3"/>
  <c r="U330" i="3"/>
  <c r="P330" i="3"/>
  <c r="Z334" i="3"/>
  <c r="P334" i="3"/>
  <c r="U334" i="3"/>
  <c r="Z310" i="3"/>
  <c r="U310" i="3"/>
  <c r="P310" i="3"/>
  <c r="Z354" i="3"/>
  <c r="P354" i="3"/>
  <c r="U354" i="3"/>
  <c r="Z358" i="3"/>
  <c r="P358" i="3"/>
  <c r="U358" i="3"/>
  <c r="Z362" i="3"/>
  <c r="P362" i="3"/>
  <c r="U362" i="3"/>
  <c r="Z364" i="3"/>
  <c r="U364" i="3"/>
  <c r="Z382" i="3"/>
  <c r="U382" i="3"/>
  <c r="Z393" i="3"/>
  <c r="P393" i="3"/>
  <c r="U393" i="3"/>
  <c r="Z401" i="3"/>
  <c r="U401" i="3"/>
  <c r="P401" i="3"/>
  <c r="Z410" i="3"/>
  <c r="U410" i="3"/>
  <c r="P410" i="3"/>
  <c r="Z415" i="3"/>
  <c r="U415" i="3"/>
  <c r="P415" i="3"/>
  <c r="Z419" i="3"/>
  <c r="P419" i="3"/>
  <c r="U419" i="3"/>
  <c r="Z372" i="3"/>
  <c r="AA372" i="3" s="1"/>
  <c r="P372" i="3"/>
  <c r="Q372" i="3" s="1"/>
  <c r="U372" i="3"/>
  <c r="V372" i="3" s="1"/>
  <c r="Z62" i="3"/>
  <c r="U62" i="3"/>
  <c r="P62" i="3"/>
  <c r="Z67" i="3"/>
  <c r="U67" i="3"/>
  <c r="Z74" i="3"/>
  <c r="U74" i="3"/>
  <c r="P74" i="3"/>
  <c r="Z127" i="3"/>
  <c r="U127" i="3"/>
  <c r="P127" i="3"/>
  <c r="Z141" i="3"/>
  <c r="U141" i="3"/>
  <c r="P141" i="3"/>
  <c r="Z173" i="3"/>
  <c r="U173" i="3"/>
  <c r="P173" i="3"/>
  <c r="Z195" i="3"/>
  <c r="U195" i="3"/>
  <c r="P195" i="3"/>
  <c r="Z269" i="3"/>
  <c r="P269" i="3"/>
  <c r="U269" i="3"/>
  <c r="Z286" i="3"/>
  <c r="P286" i="3"/>
  <c r="U286" i="3"/>
  <c r="Z305" i="3"/>
  <c r="P305" i="3"/>
  <c r="U305" i="3"/>
  <c r="Z320" i="3"/>
  <c r="U320" i="3"/>
  <c r="P320" i="3"/>
  <c r="Z328" i="3"/>
  <c r="U328" i="3"/>
  <c r="P328" i="3"/>
  <c r="Z349" i="3"/>
  <c r="P349" i="3"/>
  <c r="U349" i="3"/>
  <c r="Z356" i="3"/>
  <c r="U356" i="3"/>
  <c r="P356" i="3"/>
  <c r="Z367" i="3"/>
  <c r="U367" i="3"/>
  <c r="P367" i="3"/>
  <c r="Z397" i="3"/>
  <c r="U397" i="3"/>
  <c r="P397" i="3"/>
  <c r="Z413" i="3"/>
  <c r="U413" i="3"/>
  <c r="P413" i="3"/>
  <c r="Z422" i="3"/>
  <c r="P422" i="3"/>
  <c r="U422" i="3"/>
  <c r="Z30" i="3"/>
  <c r="P30" i="3"/>
  <c r="Q30" i="3" s="1"/>
  <c r="U30" i="3"/>
  <c r="Z58" i="3"/>
  <c r="U58" i="3"/>
  <c r="P58" i="3"/>
  <c r="Z68" i="3"/>
  <c r="U68" i="3"/>
  <c r="Z75" i="3"/>
  <c r="U75" i="3"/>
  <c r="P75" i="3"/>
  <c r="Z128" i="3"/>
  <c r="U128" i="3"/>
  <c r="P128" i="3"/>
  <c r="R128" i="3" s="1"/>
  <c r="Z145" i="3"/>
  <c r="U145" i="3"/>
  <c r="P145" i="3"/>
  <c r="Z174" i="3"/>
  <c r="U174" i="3"/>
  <c r="P174" i="3"/>
  <c r="Z197" i="3"/>
  <c r="P197" i="3"/>
  <c r="U197" i="3"/>
  <c r="F235" i="3"/>
  <c r="Z232" i="3"/>
  <c r="P232" i="3"/>
  <c r="P235" i="3" s="1"/>
  <c r="U232" i="3"/>
  <c r="U235" i="3" s="1"/>
  <c r="Z282" i="3"/>
  <c r="P282" i="3"/>
  <c r="U282" i="3"/>
  <c r="Z301" i="3"/>
  <c r="U301" i="3"/>
  <c r="P301" i="3"/>
  <c r="Z315" i="3"/>
  <c r="U315" i="3"/>
  <c r="P315" i="3"/>
  <c r="Z323" i="3"/>
  <c r="U323" i="3"/>
  <c r="P323" i="3"/>
  <c r="Z333" i="3"/>
  <c r="U333" i="3"/>
  <c r="P333" i="3"/>
  <c r="Z353" i="3"/>
  <c r="P353" i="3"/>
  <c r="U353" i="3"/>
  <c r="Z361" i="3"/>
  <c r="P361" i="3"/>
  <c r="U361" i="3"/>
  <c r="Z381" i="3"/>
  <c r="U381" i="3"/>
  <c r="Z386" i="3"/>
  <c r="U386" i="3"/>
  <c r="Z408" i="3"/>
  <c r="U408" i="3"/>
  <c r="P408" i="3"/>
  <c r="Z418" i="3"/>
  <c r="U418" i="3"/>
  <c r="P418" i="3"/>
  <c r="F47" i="3"/>
  <c r="Z46" i="3"/>
  <c r="AA46" i="3" s="1"/>
  <c r="P46" i="3"/>
  <c r="U46" i="3"/>
  <c r="V46" i="3" s="1"/>
  <c r="U43" i="3"/>
  <c r="Z43" i="3"/>
  <c r="P43" i="3"/>
  <c r="P44" i="3" s="1"/>
  <c r="Z54" i="3"/>
  <c r="U54" i="3"/>
  <c r="P54" i="3"/>
  <c r="Z61" i="3"/>
  <c r="U61" i="3"/>
  <c r="P61" i="3"/>
  <c r="Z66" i="3"/>
  <c r="U66" i="3"/>
  <c r="P66" i="3"/>
  <c r="Z69" i="3"/>
  <c r="U69" i="3"/>
  <c r="P69" i="3"/>
  <c r="Z73" i="3"/>
  <c r="U73" i="3"/>
  <c r="P73" i="3"/>
  <c r="Z126" i="3"/>
  <c r="U126" i="3"/>
  <c r="P126" i="3"/>
  <c r="Z243" i="3"/>
  <c r="U243" i="3"/>
  <c r="P243" i="3"/>
  <c r="Z139" i="3"/>
  <c r="U139" i="3"/>
  <c r="Z162" i="3"/>
  <c r="U162" i="3"/>
  <c r="P162" i="3"/>
  <c r="R162" i="3" s="1"/>
  <c r="Z171" i="3"/>
  <c r="P171" i="3"/>
  <c r="U171" i="3"/>
  <c r="Z176" i="3"/>
  <c r="U176" i="3"/>
  <c r="P176" i="3"/>
  <c r="R176" i="3" s="1"/>
  <c r="Z188" i="3"/>
  <c r="P188" i="3"/>
  <c r="U188" i="3"/>
  <c r="Z216" i="3"/>
  <c r="U216" i="3"/>
  <c r="Z222" i="3"/>
  <c r="P222" i="3"/>
  <c r="U222" i="3"/>
  <c r="F268" i="3"/>
  <c r="Z262" i="3"/>
  <c r="U262" i="3"/>
  <c r="U268" i="3" s="1"/>
  <c r="P262" i="3"/>
  <c r="Z424" i="3"/>
  <c r="U424" i="3"/>
  <c r="P424" i="3"/>
  <c r="Z284" i="3"/>
  <c r="P284" i="3"/>
  <c r="U284" i="3"/>
  <c r="Z299" i="3"/>
  <c r="U299" i="3"/>
  <c r="P299" i="3"/>
  <c r="Z303" i="3"/>
  <c r="U303" i="3"/>
  <c r="P303" i="3"/>
  <c r="Z308" i="3"/>
  <c r="U308" i="3"/>
  <c r="P308" i="3"/>
  <c r="Z319" i="3"/>
  <c r="U319" i="3"/>
  <c r="P319" i="3"/>
  <c r="Z324" i="3"/>
  <c r="U324" i="3"/>
  <c r="P324" i="3"/>
  <c r="Z327" i="3"/>
  <c r="U327" i="3"/>
  <c r="P327" i="3"/>
  <c r="Z331" i="3"/>
  <c r="P331" i="3"/>
  <c r="U331" i="3"/>
  <c r="Z384" i="3"/>
  <c r="U384" i="3"/>
  <c r="P384" i="3"/>
  <c r="Z351" i="3"/>
  <c r="U351" i="3"/>
  <c r="P351" i="3"/>
  <c r="Z355" i="3"/>
  <c r="U355" i="3"/>
  <c r="P355" i="3"/>
  <c r="Z359" i="3"/>
  <c r="U359" i="3"/>
  <c r="P359" i="3"/>
  <c r="Z366" i="3"/>
  <c r="U366" i="3"/>
  <c r="P366" i="3"/>
  <c r="Z365" i="3"/>
  <c r="P365" i="3"/>
  <c r="U365" i="3"/>
  <c r="Z218" i="3"/>
  <c r="P218" i="3"/>
  <c r="R218" i="3" s="1"/>
  <c r="U218" i="3"/>
  <c r="Z394" i="3"/>
  <c r="P394" i="3"/>
  <c r="U394" i="3"/>
  <c r="Z403" i="3"/>
  <c r="U403" i="3"/>
  <c r="P403" i="3"/>
  <c r="Z412" i="3"/>
  <c r="U412" i="3"/>
  <c r="P412" i="3"/>
  <c r="Z416" i="3"/>
  <c r="U416" i="3"/>
  <c r="P416" i="3"/>
  <c r="Z421" i="3"/>
  <c r="P421" i="3"/>
  <c r="U421" i="3"/>
  <c r="Z371" i="3"/>
  <c r="AA371" i="3" s="1"/>
  <c r="P371" i="3"/>
  <c r="Q371" i="3" s="1"/>
  <c r="U371" i="3"/>
  <c r="V371" i="3" s="1"/>
  <c r="J216" i="3"/>
  <c r="J195" i="3"/>
  <c r="J217" i="3"/>
  <c r="J43" i="3"/>
  <c r="J184" i="3"/>
  <c r="J197" i="3"/>
  <c r="J220" i="3"/>
  <c r="J30" i="3"/>
  <c r="J185" i="3"/>
  <c r="J199" i="3"/>
  <c r="J221" i="3"/>
  <c r="J218" i="3"/>
  <c r="J188" i="3"/>
  <c r="J222" i="3"/>
  <c r="F278" i="3"/>
  <c r="AB425" i="3"/>
  <c r="AB424" i="3"/>
  <c r="F150" i="3"/>
  <c r="F137" i="3"/>
  <c r="F427" i="3"/>
  <c r="F37" i="3"/>
  <c r="F34" i="3"/>
  <c r="G46" i="3"/>
  <c r="G369" i="3"/>
  <c r="J369" i="3"/>
  <c r="AB369" i="3"/>
  <c r="G371" i="3"/>
  <c r="J371" i="3"/>
  <c r="AB371" i="3"/>
  <c r="G372" i="3"/>
  <c r="J372" i="3"/>
  <c r="AB372" i="3"/>
  <c r="J46" i="3"/>
  <c r="A261" i="4" l="1"/>
  <c r="A262" i="4" s="1"/>
  <c r="A263" i="4" s="1"/>
  <c r="A264" i="4" s="1"/>
  <c r="A265" i="4" s="1"/>
  <c r="A266" i="4" s="1"/>
  <c r="A267" i="4" s="1"/>
  <c r="A269" i="4" s="1"/>
  <c r="A272" i="4" s="1"/>
  <c r="A273" i="4" s="1"/>
  <c r="A274" i="4" s="1"/>
  <c r="A275" i="4" s="1"/>
  <c r="A276" i="4" s="1"/>
  <c r="A277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2" i="4" s="1"/>
  <c r="A293" i="4" s="1"/>
  <c r="A294" i="4" s="1"/>
  <c r="A295" i="4" s="1"/>
  <c r="A296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9" i="4" s="1"/>
  <c r="A380" i="4" s="1"/>
  <c r="P37" i="3"/>
  <c r="Y413" i="3"/>
  <c r="Y318" i="3"/>
  <c r="Y363" i="3"/>
  <c r="Y369" i="3"/>
  <c r="Y101" i="3"/>
  <c r="R101" i="3"/>
  <c r="R104" i="3" s="1"/>
  <c r="Y71" i="3"/>
  <c r="R43" i="3"/>
  <c r="Y301" i="3"/>
  <c r="Y141" i="3"/>
  <c r="Y358" i="3"/>
  <c r="Y75" i="3"/>
  <c r="Y320" i="3"/>
  <c r="Y74" i="3"/>
  <c r="Y326" i="3"/>
  <c r="Y414" i="3"/>
  <c r="Y311" i="3"/>
  <c r="Y357" i="3"/>
  <c r="Y61" i="3"/>
  <c r="Y408" i="3"/>
  <c r="Y323" i="3"/>
  <c r="Y367" i="3"/>
  <c r="Y195" i="3"/>
  <c r="Y401" i="3"/>
  <c r="Y302" i="3"/>
  <c r="Y175" i="3"/>
  <c r="Y360" i="3"/>
  <c r="Y69" i="3"/>
  <c r="Y416" i="3"/>
  <c r="Y355" i="3"/>
  <c r="Y327" i="3"/>
  <c r="Y303" i="3"/>
  <c r="Y176" i="3"/>
  <c r="Y403" i="3"/>
  <c r="Y366" i="3"/>
  <c r="Y384" i="3"/>
  <c r="Y319" i="3"/>
  <c r="Y162" i="3"/>
  <c r="Y46" i="3"/>
  <c r="Y365" i="3"/>
  <c r="Y171" i="3"/>
  <c r="P290" i="3"/>
  <c r="Y415" i="3"/>
  <c r="Y65" i="3"/>
  <c r="Y332" i="3"/>
  <c r="Y166" i="3"/>
  <c r="P135" i="3"/>
  <c r="Y276" i="3"/>
  <c r="Y359" i="3"/>
  <c r="Y308" i="3"/>
  <c r="Y424" i="3"/>
  <c r="Y73" i="3"/>
  <c r="Y54" i="3"/>
  <c r="Y315" i="3"/>
  <c r="Y174" i="3"/>
  <c r="Y356" i="3"/>
  <c r="Y173" i="3"/>
  <c r="Y310" i="3"/>
  <c r="Y169" i="3"/>
  <c r="Y400" i="3"/>
  <c r="Y352" i="3"/>
  <c r="Y300" i="3"/>
  <c r="Y177" i="3"/>
  <c r="AE371" i="3"/>
  <c r="AC371" i="3"/>
  <c r="Y262" i="3"/>
  <c r="P268" i="3"/>
  <c r="Y353" i="3"/>
  <c r="U150" i="3"/>
  <c r="Y349" i="3"/>
  <c r="Y286" i="3"/>
  <c r="Y362" i="3"/>
  <c r="Y334" i="3"/>
  <c r="Y321" i="3"/>
  <c r="Y274" i="3"/>
  <c r="P278" i="3"/>
  <c r="U135" i="3"/>
  <c r="Y331" i="3"/>
  <c r="Y361" i="3"/>
  <c r="Y422" i="3"/>
  <c r="Y305" i="3"/>
  <c r="Y419" i="3"/>
  <c r="Y393" i="3"/>
  <c r="Y322" i="3"/>
  <c r="Y296" i="3"/>
  <c r="Y59" i="3"/>
  <c r="Y329" i="3"/>
  <c r="Y295" i="3"/>
  <c r="Y425" i="3"/>
  <c r="Y407" i="3"/>
  <c r="P427" i="3"/>
  <c r="Y277" i="3"/>
  <c r="P229" i="3"/>
  <c r="Y63" i="3"/>
  <c r="P91" i="3"/>
  <c r="AE372" i="3"/>
  <c r="AC372" i="3"/>
  <c r="AC369" i="3"/>
  <c r="AE369" i="3"/>
  <c r="Q46" i="3"/>
  <c r="AE424" i="3"/>
  <c r="AC424" i="3"/>
  <c r="Y421" i="3"/>
  <c r="Y394" i="3"/>
  <c r="AE425" i="3"/>
  <c r="AC425" i="3"/>
  <c r="Y371" i="3"/>
  <c r="Y412" i="3"/>
  <c r="Y351" i="3"/>
  <c r="Y324" i="3"/>
  <c r="Y299" i="3"/>
  <c r="U229" i="3"/>
  <c r="Y243" i="3"/>
  <c r="Y66" i="3"/>
  <c r="Y418" i="3"/>
  <c r="Y333" i="3"/>
  <c r="U290" i="3"/>
  <c r="Y58" i="3"/>
  <c r="Y397" i="3"/>
  <c r="Y328" i="3"/>
  <c r="Y62" i="3"/>
  <c r="Y372" i="3"/>
  <c r="Y410" i="3"/>
  <c r="Y354" i="3"/>
  <c r="Y330" i="3"/>
  <c r="Y307" i="3"/>
  <c r="Y36" i="3"/>
  <c r="Y350" i="3"/>
  <c r="Y306" i="3"/>
  <c r="Y184" i="3"/>
  <c r="Y167" i="3"/>
  <c r="Y64" i="3"/>
  <c r="Y417" i="3"/>
  <c r="U427" i="3"/>
  <c r="Y387" i="3"/>
  <c r="Y325" i="3"/>
  <c r="Y110" i="3"/>
  <c r="AH425" i="3"/>
  <c r="AH424" i="3"/>
  <c r="P150" i="3"/>
  <c r="Q369" i="3"/>
  <c r="AH369" i="3"/>
  <c r="AH371" i="3"/>
  <c r="AH372" i="3"/>
  <c r="I159" i="3"/>
  <c r="L159" i="3"/>
  <c r="S159" i="3"/>
  <c r="T159" i="3"/>
  <c r="W159" i="3"/>
  <c r="X159" i="3"/>
  <c r="AB159" i="3"/>
  <c r="AC159" i="3"/>
  <c r="AD159" i="3"/>
  <c r="AE159" i="3"/>
  <c r="AF159" i="3"/>
  <c r="AG159" i="3"/>
  <c r="AH159" i="3"/>
  <c r="AI159" i="3"/>
  <c r="AI206" i="3" s="1"/>
  <c r="AJ159" i="3"/>
  <c r="AJ206" i="3" s="1"/>
  <c r="AK159" i="3"/>
  <c r="AK206" i="3" s="1"/>
  <c r="AL159" i="3"/>
  <c r="AL206" i="3" s="1"/>
  <c r="AL6" i="3"/>
  <c r="P6" i="3" s="1"/>
  <c r="X47" i="3"/>
  <c r="W47" i="3"/>
  <c r="T47" i="3"/>
  <c r="S47" i="3"/>
  <c r="M47" i="3"/>
  <c r="I47" i="3"/>
  <c r="A381" i="4" l="1"/>
  <c r="A382" i="4" s="1"/>
  <c r="A383" i="4" s="1"/>
  <c r="A384" i="4" s="1"/>
  <c r="A385" i="4" s="1"/>
  <c r="A386" i="4" s="1"/>
  <c r="A387" i="4" s="1"/>
  <c r="A388" i="4" s="1"/>
  <c r="A389" i="4" s="1"/>
  <c r="A391" i="4" s="1"/>
  <c r="A392" i="4" s="1"/>
  <c r="A393" i="4" s="1"/>
  <c r="A394" i="4" s="1"/>
  <c r="A396" i="4" s="1"/>
  <c r="A397" i="4" s="1"/>
  <c r="A399" i="4" s="1"/>
  <c r="A400" i="4" s="1"/>
  <c r="A401" i="4" s="1"/>
  <c r="A402" i="4" s="1"/>
  <c r="A403" i="4" s="1"/>
  <c r="A404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P291" i="3"/>
  <c r="AG372" i="3"/>
  <c r="AG425" i="3"/>
  <c r="AG424" i="3"/>
  <c r="AG369" i="3"/>
  <c r="AG371" i="3"/>
  <c r="I20" i="3"/>
  <c r="H91" i="4" l="1"/>
  <c r="H151" i="4" s="1"/>
  <c r="I91" i="4"/>
  <c r="I151" i="4" s="1"/>
  <c r="M49" i="4"/>
  <c r="M48" i="4"/>
  <c r="M91" i="4" l="1"/>
  <c r="M151" i="4" s="1"/>
  <c r="I429" i="4"/>
  <c r="H429" i="4"/>
  <c r="L91" i="4"/>
  <c r="L151" i="4" s="1"/>
  <c r="K91" i="4"/>
  <c r="K151" i="4" s="1"/>
  <c r="L429" i="4" l="1"/>
  <c r="M429" i="4"/>
  <c r="K429" i="4"/>
  <c r="AB416" i="3"/>
  <c r="AB415" i="3"/>
  <c r="AH415" i="3" l="1"/>
  <c r="AC415" i="3"/>
  <c r="AE415" i="3"/>
  <c r="AH416" i="3"/>
  <c r="AE416" i="3"/>
  <c r="AC416" i="3"/>
  <c r="AL19" i="3"/>
  <c r="P19" i="3" s="1"/>
  <c r="AL18" i="3"/>
  <c r="P18" i="3" s="1"/>
  <c r="AL17" i="3"/>
  <c r="P17" i="3" s="1"/>
  <c r="AL16" i="3"/>
  <c r="P16" i="3" s="1"/>
  <c r="AL15" i="3"/>
  <c r="P15" i="3" s="1"/>
  <c r="AL14" i="3"/>
  <c r="P14" i="3" s="1"/>
  <c r="AL13" i="3"/>
  <c r="P13" i="3" s="1"/>
  <c r="AL12" i="3"/>
  <c r="P12" i="3" s="1"/>
  <c r="AL11" i="3"/>
  <c r="P11" i="3" s="1"/>
  <c r="AL10" i="3"/>
  <c r="P10" i="3" s="1"/>
  <c r="AL9" i="3"/>
  <c r="P9" i="3" s="1"/>
  <c r="AL8" i="3"/>
  <c r="P8" i="3" s="1"/>
  <c r="AL7" i="3"/>
  <c r="P7" i="3" s="1"/>
  <c r="AG416" i="3" l="1"/>
  <c r="AG415" i="3"/>
  <c r="AL20" i="3"/>
  <c r="AL151" i="3" s="1"/>
  <c r="AB403" i="3"/>
  <c r="AB392" i="3"/>
  <c r="AA392" i="3"/>
  <c r="V392" i="3"/>
  <c r="J392" i="3"/>
  <c r="G392" i="3"/>
  <c r="F383" i="3"/>
  <c r="F345" i="3"/>
  <c r="F344" i="3"/>
  <c r="F343" i="3"/>
  <c r="F342" i="3"/>
  <c r="F341" i="3"/>
  <c r="F340" i="3"/>
  <c r="F339" i="3"/>
  <c r="F338" i="3"/>
  <c r="F337" i="3"/>
  <c r="F336" i="3"/>
  <c r="AB363" i="3"/>
  <c r="AA363" i="3"/>
  <c r="V363" i="3"/>
  <c r="Q363" i="3"/>
  <c r="J363" i="3"/>
  <c r="G363" i="3"/>
  <c r="AB295" i="3"/>
  <c r="AA295" i="3"/>
  <c r="V295" i="3"/>
  <c r="J295" i="3"/>
  <c r="G295" i="3"/>
  <c r="AA265" i="3"/>
  <c r="V265" i="3"/>
  <c r="J265" i="3"/>
  <c r="G265" i="3"/>
  <c r="AL253" i="3"/>
  <c r="AK253" i="3"/>
  <c r="AJ253" i="3"/>
  <c r="AI253" i="3"/>
  <c r="AH253" i="3"/>
  <c r="AG253" i="3"/>
  <c r="AF253" i="3"/>
  <c r="AE253" i="3"/>
  <c r="AD253" i="3"/>
  <c r="AC253" i="3"/>
  <c r="AB253" i="3"/>
  <c r="X253" i="3"/>
  <c r="T253" i="3"/>
  <c r="S253" i="3"/>
  <c r="Q253" i="3"/>
  <c r="L253" i="3"/>
  <c r="K253" i="3"/>
  <c r="I253" i="3"/>
  <c r="H253" i="3"/>
  <c r="AA252" i="3"/>
  <c r="V252" i="3"/>
  <c r="J252" i="3"/>
  <c r="G252" i="3"/>
  <c r="AL239" i="3"/>
  <c r="AK239" i="3"/>
  <c r="AJ239" i="3"/>
  <c r="AI239" i="3"/>
  <c r="AH239" i="3"/>
  <c r="AG239" i="3"/>
  <c r="AF239" i="3"/>
  <c r="AE239" i="3"/>
  <c r="AD239" i="3"/>
  <c r="AC239" i="3"/>
  <c r="AB239" i="3"/>
  <c r="X239" i="3"/>
  <c r="W239" i="3"/>
  <c r="T239" i="3"/>
  <c r="S239" i="3"/>
  <c r="L239" i="3"/>
  <c r="I239" i="3"/>
  <c r="AL235" i="3"/>
  <c r="AK235" i="3"/>
  <c r="AJ235" i="3"/>
  <c r="AI235" i="3"/>
  <c r="AH235" i="3"/>
  <c r="AG235" i="3"/>
  <c r="AF235" i="3"/>
  <c r="AE235" i="3"/>
  <c r="AD235" i="3"/>
  <c r="AC235" i="3"/>
  <c r="AB235" i="3"/>
  <c r="AA404" i="3"/>
  <c r="V404" i="3"/>
  <c r="J404" i="3"/>
  <c r="G404" i="3"/>
  <c r="AA224" i="3"/>
  <c r="V224" i="3"/>
  <c r="G224" i="3"/>
  <c r="AC363" i="3" l="1"/>
  <c r="AE363" i="3"/>
  <c r="Z339" i="3"/>
  <c r="AA339" i="3" s="1"/>
  <c r="P339" i="3"/>
  <c r="U339" i="3"/>
  <c r="V339" i="3" s="1"/>
  <c r="Z343" i="3"/>
  <c r="AA343" i="3" s="1"/>
  <c r="U343" i="3"/>
  <c r="V343" i="3" s="1"/>
  <c r="P343" i="3"/>
  <c r="AC392" i="3"/>
  <c r="AE392" i="3"/>
  <c r="Z336" i="3"/>
  <c r="AA336" i="3" s="1"/>
  <c r="U336" i="3"/>
  <c r="V336" i="3" s="1"/>
  <c r="P336" i="3"/>
  <c r="Z340" i="3"/>
  <c r="AA340" i="3" s="1"/>
  <c r="U340" i="3"/>
  <c r="V340" i="3" s="1"/>
  <c r="P340" i="3"/>
  <c r="Z344" i="3"/>
  <c r="AA344" i="3" s="1"/>
  <c r="U344" i="3"/>
  <c r="V344" i="3" s="1"/>
  <c r="P344" i="3"/>
  <c r="AE403" i="3"/>
  <c r="AC403" i="3"/>
  <c r="AE295" i="3"/>
  <c r="AC295" i="3"/>
  <c r="Z337" i="3"/>
  <c r="AA337" i="3" s="1"/>
  <c r="U337" i="3"/>
  <c r="V337" i="3" s="1"/>
  <c r="P337" i="3"/>
  <c r="Z341" i="3"/>
  <c r="AA341" i="3" s="1"/>
  <c r="P341" i="3"/>
  <c r="U341" i="3"/>
  <c r="V341" i="3" s="1"/>
  <c r="Z345" i="3"/>
  <c r="P345" i="3"/>
  <c r="U345" i="3"/>
  <c r="Z338" i="3"/>
  <c r="AA338" i="3" s="1"/>
  <c r="U338" i="3"/>
  <c r="V338" i="3" s="1"/>
  <c r="P338" i="3"/>
  <c r="Z342" i="3"/>
  <c r="AA342" i="3" s="1"/>
  <c r="P342" i="3"/>
  <c r="R342" i="3" s="1"/>
  <c r="U342" i="3"/>
  <c r="V342" i="3" s="1"/>
  <c r="Z383" i="3"/>
  <c r="AA383" i="3" s="1"/>
  <c r="U383" i="3"/>
  <c r="V383" i="3" s="1"/>
  <c r="P383" i="3"/>
  <c r="Q383" i="3" s="1"/>
  <c r="AH295" i="3"/>
  <c r="AH363" i="3"/>
  <c r="AH392" i="3"/>
  <c r="AB337" i="3"/>
  <c r="AB336" i="3"/>
  <c r="AB344" i="3"/>
  <c r="AF271" i="3"/>
  <c r="AG271" i="3"/>
  <c r="AH271" i="3"/>
  <c r="AI271" i="3"/>
  <c r="AJ271" i="3"/>
  <c r="AK271" i="3"/>
  <c r="AL271" i="3"/>
  <c r="AB271" i="3"/>
  <c r="AC271" i="3"/>
  <c r="AD271" i="3"/>
  <c r="AE271" i="3"/>
  <c r="Q403" i="3"/>
  <c r="AH403" i="3"/>
  <c r="AA403" i="3"/>
  <c r="G403" i="3"/>
  <c r="J403" i="3"/>
  <c r="AB383" i="3"/>
  <c r="G383" i="3"/>
  <c r="J383" i="3"/>
  <c r="R392" i="3"/>
  <c r="G336" i="3"/>
  <c r="AB341" i="3"/>
  <c r="J339" i="3"/>
  <c r="AB343" i="3"/>
  <c r="AB339" i="3"/>
  <c r="J343" i="3"/>
  <c r="G337" i="3"/>
  <c r="J341" i="3"/>
  <c r="G338" i="3"/>
  <c r="J336" i="3"/>
  <c r="J337" i="3"/>
  <c r="J338" i="3"/>
  <c r="G340" i="3"/>
  <c r="G342" i="3"/>
  <c r="AB338" i="3"/>
  <c r="J340" i="3"/>
  <c r="AB340" i="3"/>
  <c r="J342" i="3"/>
  <c r="AB342" i="3"/>
  <c r="G344" i="3"/>
  <c r="G339" i="3"/>
  <c r="G341" i="3"/>
  <c r="G343" i="3"/>
  <c r="J344" i="3"/>
  <c r="Y224" i="3"/>
  <c r="R265" i="3"/>
  <c r="R224" i="3"/>
  <c r="Y340" i="3" l="1"/>
  <c r="Y343" i="3"/>
  <c r="Y338" i="3"/>
  <c r="Y344" i="3"/>
  <c r="Y341" i="3"/>
  <c r="Y339" i="3"/>
  <c r="R344" i="3"/>
  <c r="Y342" i="3"/>
  <c r="AG392" i="3"/>
  <c r="R343" i="3"/>
  <c r="R338" i="3"/>
  <c r="R341" i="3"/>
  <c r="AC383" i="3"/>
  <c r="AE383" i="3"/>
  <c r="AC342" i="3"/>
  <c r="AE342" i="3"/>
  <c r="AC343" i="3"/>
  <c r="AE343" i="3"/>
  <c r="Y345" i="3"/>
  <c r="AE344" i="3"/>
  <c r="AC344" i="3"/>
  <c r="AH337" i="3"/>
  <c r="AE337" i="3"/>
  <c r="AC337" i="3"/>
  <c r="R339" i="3"/>
  <c r="Y337" i="3"/>
  <c r="AE340" i="3"/>
  <c r="AC340" i="3"/>
  <c r="AC338" i="3"/>
  <c r="AE338" i="3"/>
  <c r="AC339" i="3"/>
  <c r="AE339" i="3"/>
  <c r="AE341" i="3"/>
  <c r="AC341" i="3"/>
  <c r="AE336" i="3"/>
  <c r="AC336" i="3"/>
  <c r="R340" i="3"/>
  <c r="Y383" i="3"/>
  <c r="AG403" i="3"/>
  <c r="Y336" i="3"/>
  <c r="AG363" i="3"/>
  <c r="AH338" i="3"/>
  <c r="AH344" i="3"/>
  <c r="AH340" i="3"/>
  <c r="AH342" i="3"/>
  <c r="AH336" i="3"/>
  <c r="AH383" i="3"/>
  <c r="AH341" i="3"/>
  <c r="V403" i="3"/>
  <c r="AH339" i="3"/>
  <c r="AH343" i="3"/>
  <c r="R336" i="3"/>
  <c r="R337" i="3"/>
  <c r="AG295" i="3"/>
  <c r="AG338" i="3" l="1"/>
  <c r="AG343" i="3"/>
  <c r="AG336" i="3"/>
  <c r="AG340" i="3"/>
  <c r="AG337" i="3"/>
  <c r="AG339" i="3"/>
  <c r="AG342" i="3"/>
  <c r="AG341" i="3"/>
  <c r="AG344" i="3"/>
  <c r="AG383" i="3"/>
  <c r="AA425" i="3"/>
  <c r="V425" i="3"/>
  <c r="R425" i="3"/>
  <c r="J425" i="3"/>
  <c r="G425" i="3"/>
  <c r="AA276" i="3"/>
  <c r="V276" i="3"/>
  <c r="J276" i="3"/>
  <c r="G276" i="3"/>
  <c r="J120" i="3"/>
  <c r="G120" i="3"/>
  <c r="F28" i="3"/>
  <c r="P28" i="3" s="1"/>
  <c r="P31" i="3" l="1"/>
  <c r="F31" i="3"/>
  <c r="AA120" i="3"/>
  <c r="V120" i="3"/>
  <c r="R276" i="3"/>
  <c r="Y120" i="3"/>
  <c r="AA79" i="3" l="1"/>
  <c r="V79" i="3"/>
  <c r="J79" i="3"/>
  <c r="G79" i="3"/>
  <c r="AA78" i="3"/>
  <c r="V78" i="3"/>
  <c r="J78" i="3"/>
  <c r="G78" i="3"/>
  <c r="AA49" i="3"/>
  <c r="V49" i="3"/>
  <c r="J49" i="3"/>
  <c r="G49" i="3"/>
  <c r="AA80" i="3"/>
  <c r="V80" i="3"/>
  <c r="J80" i="3"/>
  <c r="G80" i="3"/>
  <c r="Q80" i="3" l="1"/>
  <c r="AB422" i="3" l="1"/>
  <c r="AA422" i="3"/>
  <c r="V422" i="3"/>
  <c r="R422" i="3"/>
  <c r="J422" i="3"/>
  <c r="G422" i="3"/>
  <c r="V419" i="3"/>
  <c r="V418" i="3"/>
  <c r="V417" i="3"/>
  <c r="AB411" i="3"/>
  <c r="AA411" i="3"/>
  <c r="V411" i="3"/>
  <c r="Q411" i="3"/>
  <c r="J411" i="3"/>
  <c r="G411" i="3"/>
  <c r="AA416" i="3"/>
  <c r="V416" i="3"/>
  <c r="J416" i="3"/>
  <c r="G416" i="3"/>
  <c r="AA415" i="3"/>
  <c r="V415" i="3"/>
  <c r="J415" i="3"/>
  <c r="G415" i="3"/>
  <c r="G414" i="3"/>
  <c r="G413" i="3"/>
  <c r="G412" i="3"/>
  <c r="AB410" i="3"/>
  <c r="AA408" i="3"/>
  <c r="AB406" i="3"/>
  <c r="Z406" i="3"/>
  <c r="J406" i="3"/>
  <c r="G406" i="3"/>
  <c r="AA400" i="3"/>
  <c r="AB399" i="3"/>
  <c r="AA399" i="3"/>
  <c r="V399" i="3"/>
  <c r="J399" i="3"/>
  <c r="G399" i="3"/>
  <c r="G394" i="3"/>
  <c r="G393" i="3"/>
  <c r="AB391" i="3"/>
  <c r="AA391" i="3"/>
  <c r="J391" i="3"/>
  <c r="G391" i="3"/>
  <c r="AA388" i="3"/>
  <c r="AA386" i="3"/>
  <c r="J381" i="3"/>
  <c r="J365" i="3"/>
  <c r="AB370" i="3"/>
  <c r="G366" i="3"/>
  <c r="J309" i="3"/>
  <c r="G361" i="3"/>
  <c r="J327" i="3"/>
  <c r="G358" i="3"/>
  <c r="R357" i="3"/>
  <c r="G354" i="3"/>
  <c r="G353" i="3"/>
  <c r="AB322" i="3"/>
  <c r="AB352" i="3"/>
  <c r="AB351" i="3"/>
  <c r="AB350" i="3"/>
  <c r="AB349" i="3"/>
  <c r="AB318" i="3"/>
  <c r="AB348" i="3"/>
  <c r="AA348" i="3"/>
  <c r="V348" i="3"/>
  <c r="J348" i="3"/>
  <c r="G348" i="3"/>
  <c r="AB345" i="3"/>
  <c r="AA345" i="3"/>
  <c r="V345" i="3"/>
  <c r="J345" i="3"/>
  <c r="G345" i="3"/>
  <c r="AB334" i="3"/>
  <c r="AA334" i="3"/>
  <c r="R334" i="3"/>
  <c r="J334" i="3"/>
  <c r="G334" i="3"/>
  <c r="V333" i="3"/>
  <c r="V332" i="3"/>
  <c r="V331" i="3"/>
  <c r="V330" i="3"/>
  <c r="V329" i="3"/>
  <c r="V328" i="3"/>
  <c r="V389" i="3"/>
  <c r="AB384" i="3"/>
  <c r="AA384" i="3"/>
  <c r="V384" i="3"/>
  <c r="J384" i="3"/>
  <c r="G384" i="3"/>
  <c r="R326" i="3"/>
  <c r="AB335" i="3"/>
  <c r="AA323" i="3"/>
  <c r="AB325" i="3"/>
  <c r="G321" i="3"/>
  <c r="G387" i="3"/>
  <c r="G320" i="3"/>
  <c r="G319" i="3"/>
  <c r="AA315" i="3"/>
  <c r="AA306" i="3"/>
  <c r="AA359" i="3"/>
  <c r="AB305" i="3"/>
  <c r="AB312" i="3"/>
  <c r="AB311" i="3"/>
  <c r="AB307" i="3"/>
  <c r="F304" i="3"/>
  <c r="AB302" i="3"/>
  <c r="AB301" i="3"/>
  <c r="AB300" i="3"/>
  <c r="AB298" i="3"/>
  <c r="AA298" i="3"/>
  <c r="V298" i="3"/>
  <c r="J298" i="3"/>
  <c r="G298" i="3"/>
  <c r="AB296" i="3"/>
  <c r="AA296" i="3"/>
  <c r="V296" i="3"/>
  <c r="J296" i="3"/>
  <c r="G296" i="3"/>
  <c r="AA33" i="3"/>
  <c r="V33" i="3"/>
  <c r="Q33" i="3"/>
  <c r="J33" i="3"/>
  <c r="G33" i="3"/>
  <c r="AB292" i="3"/>
  <c r="Z292" i="3"/>
  <c r="J292" i="3"/>
  <c r="G292" i="3"/>
  <c r="X290" i="3"/>
  <c r="W290" i="3"/>
  <c r="T290" i="3"/>
  <c r="S290" i="3"/>
  <c r="K290" i="3"/>
  <c r="H290" i="3"/>
  <c r="AA289" i="3"/>
  <c r="V289" i="3"/>
  <c r="J289" i="3"/>
  <c r="G289" i="3"/>
  <c r="AA286" i="3"/>
  <c r="V286" i="3"/>
  <c r="Q286" i="3"/>
  <c r="J286" i="3"/>
  <c r="G286" i="3"/>
  <c r="AA285" i="3"/>
  <c r="V285" i="3"/>
  <c r="J285" i="3"/>
  <c r="G285" i="3"/>
  <c r="Q284" i="3"/>
  <c r="AA283" i="3"/>
  <c r="AA282" i="3"/>
  <c r="V282" i="3"/>
  <c r="J282" i="3"/>
  <c r="G282" i="3"/>
  <c r="AA281" i="3"/>
  <c r="V281" i="3"/>
  <c r="J281" i="3"/>
  <c r="G281" i="3"/>
  <c r="V280" i="3"/>
  <c r="J280" i="3"/>
  <c r="G280" i="3"/>
  <c r="Z279" i="3"/>
  <c r="AA279" i="3" s="1"/>
  <c r="J279" i="3"/>
  <c r="G279" i="3"/>
  <c r="M278" i="3"/>
  <c r="L278" i="3"/>
  <c r="L291" i="3" s="1"/>
  <c r="K278" i="3"/>
  <c r="I278" i="3"/>
  <c r="I291" i="3" s="1"/>
  <c r="H278" i="3"/>
  <c r="AA273" i="3"/>
  <c r="V273" i="3"/>
  <c r="J273" i="3"/>
  <c r="G273" i="3"/>
  <c r="G274" i="3"/>
  <c r="Z272" i="3"/>
  <c r="U272" i="3"/>
  <c r="S270" i="3"/>
  <c r="R270" i="3"/>
  <c r="M270" i="3"/>
  <c r="K270" i="3"/>
  <c r="H270" i="3"/>
  <c r="F270" i="3"/>
  <c r="AA266" i="3"/>
  <c r="V266" i="3"/>
  <c r="J266" i="3"/>
  <c r="G266" i="3"/>
  <c r="AA264" i="3"/>
  <c r="J264" i="3"/>
  <c r="G264" i="3"/>
  <c r="AA263" i="3"/>
  <c r="V263" i="3"/>
  <c r="J263" i="3"/>
  <c r="G263" i="3"/>
  <c r="J261" i="3"/>
  <c r="G261" i="3"/>
  <c r="X260" i="3"/>
  <c r="W260" i="3"/>
  <c r="T260" i="3"/>
  <c r="S260" i="3"/>
  <c r="L260" i="3"/>
  <c r="I260" i="3"/>
  <c r="R234" i="3"/>
  <c r="J234" i="3"/>
  <c r="G234" i="3"/>
  <c r="AA258" i="3"/>
  <c r="V258" i="3"/>
  <c r="J258" i="3"/>
  <c r="G258" i="3"/>
  <c r="AA257" i="3"/>
  <c r="J257" i="3"/>
  <c r="G257" i="3"/>
  <c r="AA255" i="3"/>
  <c r="V255" i="3"/>
  <c r="J255" i="3"/>
  <c r="G255" i="3"/>
  <c r="G256" i="3" s="1"/>
  <c r="J251" i="3"/>
  <c r="G251" i="3"/>
  <c r="X250" i="3"/>
  <c r="W250" i="3"/>
  <c r="T250" i="3"/>
  <c r="S250" i="3"/>
  <c r="Q250" i="3"/>
  <c r="M250" i="3"/>
  <c r="L250" i="3"/>
  <c r="K250" i="3"/>
  <c r="I250" i="3"/>
  <c r="H250" i="3"/>
  <c r="AA249" i="3"/>
  <c r="V249" i="3"/>
  <c r="J249" i="3"/>
  <c r="G249" i="3"/>
  <c r="J246" i="3"/>
  <c r="G246" i="3"/>
  <c r="AA244" i="3"/>
  <c r="V244" i="3"/>
  <c r="R244" i="3"/>
  <c r="J244" i="3"/>
  <c r="G244" i="3"/>
  <c r="AA242" i="3"/>
  <c r="V242" i="3"/>
  <c r="J242" i="3"/>
  <c r="G242" i="3"/>
  <c r="F241" i="3"/>
  <c r="Z240" i="3"/>
  <c r="J240" i="3"/>
  <c r="G240" i="3"/>
  <c r="J236" i="3"/>
  <c r="J239" i="3" s="1"/>
  <c r="G236" i="3"/>
  <c r="G239" i="3" s="1"/>
  <c r="J230" i="3"/>
  <c r="G230" i="3"/>
  <c r="AA142" i="3"/>
  <c r="V142" i="3"/>
  <c r="J142" i="3"/>
  <c r="G142" i="3"/>
  <c r="G223" i="3"/>
  <c r="AA225" i="3"/>
  <c r="V225" i="3"/>
  <c r="G225" i="3"/>
  <c r="G221" i="3"/>
  <c r="AA214" i="3"/>
  <c r="V214" i="3"/>
  <c r="G214" i="3"/>
  <c r="AA213" i="3"/>
  <c r="J213" i="3"/>
  <c r="G213" i="3"/>
  <c r="AA209" i="3"/>
  <c r="V209" i="3"/>
  <c r="J209" i="3"/>
  <c r="G209" i="3"/>
  <c r="J207" i="3"/>
  <c r="X205" i="3"/>
  <c r="W205" i="3"/>
  <c r="T205" i="3"/>
  <c r="S205" i="3"/>
  <c r="M205" i="3"/>
  <c r="M206" i="3" s="1"/>
  <c r="L205" i="3"/>
  <c r="K205" i="3"/>
  <c r="I205" i="3"/>
  <c r="H205" i="3"/>
  <c r="AA204" i="3"/>
  <c r="V204" i="3"/>
  <c r="G204" i="3"/>
  <c r="AA201" i="3"/>
  <c r="V201" i="3"/>
  <c r="G201" i="3"/>
  <c r="AF200" i="3"/>
  <c r="AF206" i="3" s="1"/>
  <c r="AD200" i="3"/>
  <c r="AD206" i="3" s="1"/>
  <c r="X200" i="3"/>
  <c r="W200" i="3"/>
  <c r="T200" i="3"/>
  <c r="S200" i="3"/>
  <c r="L200" i="3"/>
  <c r="I200" i="3"/>
  <c r="H200" i="3"/>
  <c r="AA199" i="3"/>
  <c r="V199" i="3"/>
  <c r="G199" i="3"/>
  <c r="AA198" i="3"/>
  <c r="V198" i="3"/>
  <c r="G198" i="3"/>
  <c r="F196" i="3"/>
  <c r="AA197" i="3"/>
  <c r="R195" i="3"/>
  <c r="Q153" i="3"/>
  <c r="AA191" i="3"/>
  <c r="V191" i="3"/>
  <c r="G191" i="3"/>
  <c r="AA190" i="3"/>
  <c r="V190" i="3"/>
  <c r="G190" i="3"/>
  <c r="Z187" i="3"/>
  <c r="U187" i="3"/>
  <c r="G187" i="3"/>
  <c r="X186" i="3"/>
  <c r="W186" i="3"/>
  <c r="T186" i="3"/>
  <c r="S186" i="3"/>
  <c r="L186" i="3"/>
  <c r="K186" i="3"/>
  <c r="I186" i="3"/>
  <c r="H186" i="3"/>
  <c r="AA185" i="3"/>
  <c r="Q185" i="3"/>
  <c r="G185" i="3"/>
  <c r="G184" i="3"/>
  <c r="Z183" i="3"/>
  <c r="AA183" i="3" s="1"/>
  <c r="U183" i="3"/>
  <c r="U186" i="3" s="1"/>
  <c r="P186" i="3"/>
  <c r="AA111" i="3"/>
  <c r="V111" i="3"/>
  <c r="J111" i="3"/>
  <c r="G111" i="3"/>
  <c r="AA179" i="3"/>
  <c r="V179" i="3"/>
  <c r="J179" i="3"/>
  <c r="G179" i="3"/>
  <c r="G177" i="3"/>
  <c r="AA176" i="3"/>
  <c r="AA175" i="3"/>
  <c r="V175" i="3"/>
  <c r="R175" i="3"/>
  <c r="J175" i="3"/>
  <c r="G175" i="3"/>
  <c r="AA45" i="3"/>
  <c r="V45" i="3"/>
  <c r="J45" i="3"/>
  <c r="J47" i="3" s="1"/>
  <c r="G45" i="3"/>
  <c r="G47" i="3" s="1"/>
  <c r="R174" i="3"/>
  <c r="V173" i="3"/>
  <c r="G172" i="3"/>
  <c r="R171" i="3"/>
  <c r="AA169" i="3"/>
  <c r="AA170" i="3"/>
  <c r="V170" i="3"/>
  <c r="R170" i="3"/>
  <c r="J170" i="3"/>
  <c r="G170" i="3"/>
  <c r="Q167" i="3"/>
  <c r="G165" i="3"/>
  <c r="AA164" i="3"/>
  <c r="R164" i="3"/>
  <c r="J164" i="3"/>
  <c r="G164" i="3"/>
  <c r="F163" i="3"/>
  <c r="G162" i="3"/>
  <c r="AA160" i="3"/>
  <c r="J160" i="3"/>
  <c r="G160" i="3"/>
  <c r="AA158" i="3"/>
  <c r="V158" i="3"/>
  <c r="G158" i="3"/>
  <c r="R154" i="3"/>
  <c r="AA152" i="3"/>
  <c r="V152" i="3"/>
  <c r="G152" i="3"/>
  <c r="M150" i="3"/>
  <c r="AA149" i="3"/>
  <c r="V149" i="3"/>
  <c r="J149" i="3"/>
  <c r="G149" i="3"/>
  <c r="AA148" i="3"/>
  <c r="V148" i="3"/>
  <c r="J148" i="3"/>
  <c r="G148" i="3"/>
  <c r="AA147" i="3"/>
  <c r="V147" i="3"/>
  <c r="J147" i="3"/>
  <c r="G147" i="3"/>
  <c r="AA146" i="3"/>
  <c r="V146" i="3"/>
  <c r="J146" i="3"/>
  <c r="G146" i="3"/>
  <c r="Z144" i="3"/>
  <c r="J144" i="3"/>
  <c r="G144" i="3"/>
  <c r="AA141" i="3"/>
  <c r="AA139" i="3"/>
  <c r="F138" i="3"/>
  <c r="T137" i="3"/>
  <c r="S137" i="3"/>
  <c r="Q137" i="3"/>
  <c r="M137" i="3"/>
  <c r="AA136" i="3"/>
  <c r="AA137" i="3" s="1"/>
  <c r="U137" i="3"/>
  <c r="R136" i="3"/>
  <c r="R137" i="3" s="1"/>
  <c r="J136" i="3"/>
  <c r="J137" i="3" s="1"/>
  <c r="G136" i="3"/>
  <c r="G137" i="3" s="1"/>
  <c r="AA134" i="3"/>
  <c r="V134" i="3"/>
  <c r="R134" i="3"/>
  <c r="J134" i="3"/>
  <c r="G134" i="3"/>
  <c r="AA132" i="3"/>
  <c r="R132" i="3"/>
  <c r="J132" i="3"/>
  <c r="G132" i="3"/>
  <c r="AA131" i="3"/>
  <c r="V131" i="3"/>
  <c r="J131" i="3"/>
  <c r="G131" i="3"/>
  <c r="G243" i="3"/>
  <c r="AA130" i="3"/>
  <c r="R129" i="3"/>
  <c r="V128" i="3"/>
  <c r="AA127" i="3"/>
  <c r="G211" i="3"/>
  <c r="J121" i="3"/>
  <c r="G121" i="3"/>
  <c r="AA114" i="3"/>
  <c r="V114" i="3"/>
  <c r="J114" i="3"/>
  <c r="G114" i="3"/>
  <c r="AB110" i="3"/>
  <c r="AA110" i="3"/>
  <c r="J110" i="3"/>
  <c r="G110" i="3"/>
  <c r="Z108" i="3"/>
  <c r="U108" i="3"/>
  <c r="J108" i="3"/>
  <c r="G108" i="3"/>
  <c r="T107" i="3"/>
  <c r="S107" i="3"/>
  <c r="M107" i="3"/>
  <c r="F107" i="3"/>
  <c r="AA106" i="3"/>
  <c r="V106" i="3"/>
  <c r="J106" i="3"/>
  <c r="G106" i="3"/>
  <c r="J105" i="3"/>
  <c r="G105" i="3"/>
  <c r="W100" i="3"/>
  <c r="W104" i="3" s="1"/>
  <c r="J99" i="3"/>
  <c r="G99" i="3"/>
  <c r="X98" i="3"/>
  <c r="W98" i="3"/>
  <c r="T98" i="3"/>
  <c r="S98" i="3"/>
  <c r="F98" i="3"/>
  <c r="AA97" i="3"/>
  <c r="V97" i="3"/>
  <c r="Q97" i="3"/>
  <c r="J97" i="3"/>
  <c r="G97" i="3"/>
  <c r="AA96" i="3"/>
  <c r="J96" i="3"/>
  <c r="G96" i="3"/>
  <c r="AA95" i="3"/>
  <c r="V95" i="3"/>
  <c r="J95" i="3"/>
  <c r="G95" i="3"/>
  <c r="AA94" i="3"/>
  <c r="V94" i="3"/>
  <c r="J94" i="3"/>
  <c r="G94" i="3"/>
  <c r="U92" i="3"/>
  <c r="U98" i="3" s="1"/>
  <c r="R92" i="3"/>
  <c r="J92" i="3"/>
  <c r="G92" i="3"/>
  <c r="T91" i="3"/>
  <c r="S91" i="3"/>
  <c r="I91" i="3"/>
  <c r="AA84" i="3"/>
  <c r="V84" i="3"/>
  <c r="J84" i="3"/>
  <c r="G84" i="3"/>
  <c r="AA83" i="3"/>
  <c r="V83" i="3"/>
  <c r="J83" i="3"/>
  <c r="G83" i="3"/>
  <c r="AA82" i="3"/>
  <c r="V82" i="3"/>
  <c r="Q82" i="3"/>
  <c r="J82" i="3"/>
  <c r="G82" i="3"/>
  <c r="AA81" i="3"/>
  <c r="V81" i="3"/>
  <c r="J81" i="3"/>
  <c r="G81" i="3"/>
  <c r="AA77" i="3"/>
  <c r="V77" i="3"/>
  <c r="J77" i="3"/>
  <c r="G77" i="3"/>
  <c r="AA76" i="3"/>
  <c r="V76" i="3"/>
  <c r="J76" i="3"/>
  <c r="G76" i="3"/>
  <c r="AA75" i="3"/>
  <c r="V75" i="3"/>
  <c r="J75" i="3"/>
  <c r="G75" i="3"/>
  <c r="AA74" i="3"/>
  <c r="W72" i="3"/>
  <c r="Y72" i="3" s="1"/>
  <c r="AA71" i="3"/>
  <c r="AA70" i="3"/>
  <c r="J69" i="3"/>
  <c r="V59" i="3"/>
  <c r="AA68" i="3"/>
  <c r="AA66" i="3"/>
  <c r="AA64" i="3"/>
  <c r="J63" i="3"/>
  <c r="V61" i="3"/>
  <c r="AA60" i="3"/>
  <c r="AA56" i="3"/>
  <c r="V56" i="3"/>
  <c r="R56" i="3"/>
  <c r="J56" i="3"/>
  <c r="G56" i="3"/>
  <c r="AA55" i="3"/>
  <c r="V55" i="3"/>
  <c r="J55" i="3"/>
  <c r="G55" i="3"/>
  <c r="V54" i="3"/>
  <c r="AA53" i="3"/>
  <c r="Z48" i="3"/>
  <c r="U48" i="3"/>
  <c r="U91" i="3" s="1"/>
  <c r="J48" i="3"/>
  <c r="G48" i="3"/>
  <c r="AA36" i="3"/>
  <c r="V36" i="3"/>
  <c r="J36" i="3"/>
  <c r="G36" i="3"/>
  <c r="Z38" i="3"/>
  <c r="Z44" i="3" s="1"/>
  <c r="U38" i="3"/>
  <c r="U44" i="3" s="1"/>
  <c r="J38" i="3"/>
  <c r="J44" i="3" s="1"/>
  <c r="G38" i="3"/>
  <c r="Z35" i="3"/>
  <c r="U35" i="3"/>
  <c r="U37" i="3" s="1"/>
  <c r="J35" i="3"/>
  <c r="G35" i="3"/>
  <c r="T34" i="3"/>
  <c r="S34" i="3"/>
  <c r="M34" i="3"/>
  <c r="I34" i="3"/>
  <c r="I151" i="3" s="1"/>
  <c r="Q119" i="3"/>
  <c r="V115" i="3"/>
  <c r="J115" i="3"/>
  <c r="G115" i="3"/>
  <c r="AA32" i="3"/>
  <c r="U32" i="3"/>
  <c r="V32" i="3" s="1"/>
  <c r="J32" i="3"/>
  <c r="G32" i="3"/>
  <c r="X31" i="3"/>
  <c r="W31" i="3"/>
  <c r="T31" i="3"/>
  <c r="S31" i="3"/>
  <c r="M31" i="3"/>
  <c r="G29" i="3"/>
  <c r="Z28" i="3"/>
  <c r="AA28" i="3" s="1"/>
  <c r="U28" i="3"/>
  <c r="U31" i="3" s="1"/>
  <c r="G28" i="3"/>
  <c r="AA26" i="3"/>
  <c r="V26" i="3"/>
  <c r="G26" i="3"/>
  <c r="Z24" i="3"/>
  <c r="Z27" i="3" s="1"/>
  <c r="U24" i="3"/>
  <c r="U27" i="3" s="1"/>
  <c r="J24" i="3"/>
  <c r="J27" i="3" s="1"/>
  <c r="G24" i="3"/>
  <c r="AA22" i="3"/>
  <c r="V22" i="3"/>
  <c r="R22" i="3"/>
  <c r="R23" i="3" s="1"/>
  <c r="G22" i="3"/>
  <c r="A22" i="3"/>
  <c r="A24" i="3" s="1"/>
  <c r="A25" i="3" s="1"/>
  <c r="A26" i="3" s="1"/>
  <c r="Z21" i="3"/>
  <c r="U21" i="3"/>
  <c r="J21" i="3"/>
  <c r="G21" i="3"/>
  <c r="AK20" i="3"/>
  <c r="AK151" i="3" s="1"/>
  <c r="AI20" i="3"/>
  <c r="AI151" i="3" s="1"/>
  <c r="Z20" i="3"/>
  <c r="U20" i="3"/>
  <c r="T20" i="3"/>
  <c r="S20" i="3"/>
  <c r="J20" i="3"/>
  <c r="AA19" i="3"/>
  <c r="V19" i="3"/>
  <c r="Y18" i="3"/>
  <c r="AA18" i="3"/>
  <c r="V18" i="3"/>
  <c r="AA17" i="3"/>
  <c r="V17" i="3"/>
  <c r="Y16" i="3"/>
  <c r="AA16" i="3"/>
  <c r="V16" i="3"/>
  <c r="AA15" i="3"/>
  <c r="V15" i="3"/>
  <c r="Y14" i="3"/>
  <c r="AA14" i="3"/>
  <c r="V14" i="3"/>
  <c r="AA13" i="3"/>
  <c r="V13" i="3"/>
  <c r="Y12" i="3"/>
  <c r="AA12" i="3"/>
  <c r="V12" i="3"/>
  <c r="AA11" i="3"/>
  <c r="V11" i="3"/>
  <c r="Y10" i="3"/>
  <c r="AA10" i="3"/>
  <c r="V10" i="3"/>
  <c r="AA9" i="3"/>
  <c r="V9" i="3"/>
  <c r="Y8" i="3"/>
  <c r="AA8" i="3"/>
  <c r="V8" i="3"/>
  <c r="AA7" i="3"/>
  <c r="V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J20" i="3"/>
  <c r="AJ151" i="3" s="1"/>
  <c r="AA6" i="3"/>
  <c r="V6" i="3"/>
  <c r="S151" i="3" l="1"/>
  <c r="T151" i="3"/>
  <c r="M151" i="3"/>
  <c r="G27" i="3"/>
  <c r="J37" i="3"/>
  <c r="AA187" i="3"/>
  <c r="W206" i="3"/>
  <c r="X206" i="3"/>
  <c r="AC110" i="3"/>
  <c r="AE110" i="3"/>
  <c r="J196" i="3"/>
  <c r="Z196" i="3"/>
  <c r="AA196" i="3" s="1"/>
  <c r="U196" i="3"/>
  <c r="U200" i="3" s="1"/>
  <c r="P196" i="3"/>
  <c r="AE301" i="3"/>
  <c r="AC301" i="3"/>
  <c r="AE311" i="3"/>
  <c r="AC311" i="3"/>
  <c r="AC335" i="3"/>
  <c r="AE335" i="3"/>
  <c r="AE348" i="3"/>
  <c r="AC348" i="3"/>
  <c r="AC351" i="3"/>
  <c r="AE351" i="3"/>
  <c r="AE391" i="3"/>
  <c r="AC391" i="3"/>
  <c r="AE399" i="3"/>
  <c r="AC399" i="3"/>
  <c r="AH411" i="3"/>
  <c r="AE411" i="3"/>
  <c r="AC411" i="3"/>
  <c r="F245" i="3"/>
  <c r="Z241" i="3"/>
  <c r="AA241" i="3" s="1"/>
  <c r="U241" i="3"/>
  <c r="V241" i="3" s="1"/>
  <c r="P241" i="3"/>
  <c r="AE307" i="3"/>
  <c r="AC307" i="3"/>
  <c r="AE345" i="3"/>
  <c r="AC345" i="3"/>
  <c r="Z396" i="3"/>
  <c r="AA396" i="3" s="1"/>
  <c r="U396" i="3"/>
  <c r="P396" i="3"/>
  <c r="Y100" i="3"/>
  <c r="Y104" i="3" s="1"/>
  <c r="Z163" i="3"/>
  <c r="AA163" i="3" s="1"/>
  <c r="U163" i="3"/>
  <c r="U180" i="3" s="1"/>
  <c r="P163" i="3"/>
  <c r="G250" i="3"/>
  <c r="U278" i="3"/>
  <c r="Y272" i="3"/>
  <c r="AE296" i="3"/>
  <c r="AC296" i="3"/>
  <c r="AC302" i="3"/>
  <c r="AE302" i="3"/>
  <c r="AC312" i="3"/>
  <c r="AE312" i="3"/>
  <c r="AC318" i="3"/>
  <c r="AE318" i="3"/>
  <c r="AE352" i="3"/>
  <c r="AC352" i="3"/>
  <c r="AC406" i="3"/>
  <c r="AE406" i="3"/>
  <c r="AH422" i="3"/>
  <c r="AC422" i="3"/>
  <c r="AE422" i="3"/>
  <c r="AE292" i="3"/>
  <c r="AC292" i="3"/>
  <c r="AC300" i="3"/>
  <c r="AE300" i="3"/>
  <c r="AC350" i="3"/>
  <c r="AE350" i="3"/>
  <c r="AC370" i="3"/>
  <c r="AE370" i="3"/>
  <c r="AC410" i="3"/>
  <c r="AE410" i="3"/>
  <c r="F143" i="3"/>
  <c r="F151" i="3" s="1"/>
  <c r="Z138" i="3"/>
  <c r="Z143" i="3" s="1"/>
  <c r="P138" i="3"/>
  <c r="P143" i="3" s="1"/>
  <c r="U138" i="3"/>
  <c r="AE298" i="3"/>
  <c r="AC298" i="3"/>
  <c r="Z304" i="3"/>
  <c r="AA304" i="3" s="1"/>
  <c r="P304" i="3"/>
  <c r="U304" i="3"/>
  <c r="V304" i="3" s="1"/>
  <c r="AC305" i="3"/>
  <c r="AE305" i="3"/>
  <c r="AE325" i="3"/>
  <c r="AC325" i="3"/>
  <c r="AC384" i="3"/>
  <c r="AE384" i="3"/>
  <c r="AC334" i="3"/>
  <c r="AE334" i="3"/>
  <c r="AE349" i="3"/>
  <c r="AC349" i="3"/>
  <c r="AC322" i="3"/>
  <c r="AE322" i="3"/>
  <c r="G260" i="3"/>
  <c r="G37" i="3"/>
  <c r="A28" i="3"/>
  <c r="A29" i="3" s="1"/>
  <c r="A30" i="3" s="1"/>
  <c r="A32" i="3" s="1"/>
  <c r="A33" i="3" s="1"/>
  <c r="A35" i="3" s="1"/>
  <c r="K206" i="3"/>
  <c r="Z23" i="3"/>
  <c r="AH345" i="3"/>
  <c r="AH298" i="3"/>
  <c r="AH348" i="3"/>
  <c r="Z37" i="3"/>
  <c r="J23" i="3"/>
  <c r="J107" i="3"/>
  <c r="V240" i="3"/>
  <c r="AH318" i="3"/>
  <c r="AA240" i="3"/>
  <c r="AH334" i="3"/>
  <c r="F405" i="3"/>
  <c r="F428" i="3" s="1"/>
  <c r="G112" i="3"/>
  <c r="H206" i="3"/>
  <c r="U23" i="3"/>
  <c r="G23" i="3"/>
  <c r="G98" i="3"/>
  <c r="G107" i="3"/>
  <c r="J98" i="3"/>
  <c r="J112" i="3"/>
  <c r="V21" i="3"/>
  <c r="V23" i="3" s="1"/>
  <c r="Y21" i="3"/>
  <c r="V406" i="3"/>
  <c r="AA406" i="3"/>
  <c r="AH406" i="3"/>
  <c r="AB304" i="3"/>
  <c r="J256" i="3"/>
  <c r="P256" i="3"/>
  <c r="V256" i="3"/>
  <c r="AA256" i="3"/>
  <c r="Z256" i="3"/>
  <c r="AA261" i="3"/>
  <c r="AA223" i="3"/>
  <c r="V223" i="3"/>
  <c r="AA99" i="3"/>
  <c r="V99" i="3"/>
  <c r="U119" i="3"/>
  <c r="AB112" i="3"/>
  <c r="U112" i="3"/>
  <c r="V113" i="3"/>
  <c r="V119" i="3" s="1"/>
  <c r="Z112" i="3"/>
  <c r="T206" i="3"/>
  <c r="S206" i="3"/>
  <c r="AA144" i="3"/>
  <c r="F180" i="3"/>
  <c r="V160" i="3"/>
  <c r="J138" i="3"/>
  <c r="V213" i="3"/>
  <c r="V28" i="3"/>
  <c r="H291" i="3"/>
  <c r="K291" i="3"/>
  <c r="M291" i="3"/>
  <c r="AA47" i="3"/>
  <c r="Z47" i="3"/>
  <c r="Q47" i="3"/>
  <c r="P47" i="3"/>
  <c r="V47" i="3"/>
  <c r="U47" i="3"/>
  <c r="Y190" i="3"/>
  <c r="Y242" i="3"/>
  <c r="Y258" i="3"/>
  <c r="Y213" i="3"/>
  <c r="Y146" i="3"/>
  <c r="Y191" i="3"/>
  <c r="V183" i="3"/>
  <c r="V279" i="3"/>
  <c r="Q110" i="3"/>
  <c r="Y148" i="3"/>
  <c r="R263" i="3"/>
  <c r="AH410" i="3"/>
  <c r="R225" i="3"/>
  <c r="R266" i="3"/>
  <c r="R384" i="3"/>
  <c r="V92" i="3"/>
  <c r="Y292" i="3"/>
  <c r="R348" i="3"/>
  <c r="V187" i="3"/>
  <c r="Y207" i="3"/>
  <c r="V207" i="3"/>
  <c r="R264" i="3"/>
  <c r="V48" i="3"/>
  <c r="Y201" i="3"/>
  <c r="R298" i="3"/>
  <c r="R391" i="3"/>
  <c r="Q96" i="3"/>
  <c r="R149" i="3"/>
  <c r="Y149" i="3"/>
  <c r="Y147" i="3"/>
  <c r="V292" i="3"/>
  <c r="AA230" i="3"/>
  <c r="J232" i="3"/>
  <c r="J235" i="3" s="1"/>
  <c r="R251" i="3"/>
  <c r="P253" i="3"/>
  <c r="V230" i="3"/>
  <c r="Y223" i="3"/>
  <c r="V108" i="3"/>
  <c r="AA108" i="3"/>
  <c r="AA112" i="3" s="1"/>
  <c r="V121" i="3"/>
  <c r="AA121" i="3"/>
  <c r="V125" i="3"/>
  <c r="V38" i="3"/>
  <c r="AA38" i="3"/>
  <c r="AA44" i="3" s="1"/>
  <c r="AA43" i="3"/>
  <c r="Q152" i="3"/>
  <c r="AA157" i="3"/>
  <c r="Y115" i="3"/>
  <c r="G174" i="3"/>
  <c r="Y160" i="3"/>
  <c r="Y204" i="3"/>
  <c r="Y29" i="3"/>
  <c r="Y32" i="3"/>
  <c r="Y48" i="3"/>
  <c r="J169" i="3"/>
  <c r="Y35" i="3"/>
  <c r="F186" i="3"/>
  <c r="Y55" i="3"/>
  <c r="Y199" i="3"/>
  <c r="Y45" i="3"/>
  <c r="Y47" i="3" s="1"/>
  <c r="Q69" i="3"/>
  <c r="J250" i="3"/>
  <c r="V277" i="3"/>
  <c r="G141" i="3"/>
  <c r="V145" i="3"/>
  <c r="Q199" i="3"/>
  <c r="G71" i="3"/>
  <c r="Y108" i="3"/>
  <c r="R415" i="3"/>
  <c r="Q124" i="3"/>
  <c r="G202" i="3"/>
  <c r="AA284" i="3"/>
  <c r="V412" i="3"/>
  <c r="Y38" i="3"/>
  <c r="Z98" i="3"/>
  <c r="J100" i="3"/>
  <c r="J104" i="3" s="1"/>
  <c r="J141" i="3"/>
  <c r="G157" i="3"/>
  <c r="G305" i="3"/>
  <c r="AB361" i="3"/>
  <c r="V413" i="3"/>
  <c r="Y56" i="3"/>
  <c r="J377" i="3"/>
  <c r="AB413" i="3"/>
  <c r="R55" i="3"/>
  <c r="V65" i="3"/>
  <c r="V69" i="3"/>
  <c r="G388" i="3"/>
  <c r="R160" i="3"/>
  <c r="Y261" i="3"/>
  <c r="G269" i="3"/>
  <c r="G270" i="3" s="1"/>
  <c r="Q274" i="3"/>
  <c r="J284" i="3"/>
  <c r="AB309" i="3"/>
  <c r="J70" i="3"/>
  <c r="AH110" i="3"/>
  <c r="U270" i="3"/>
  <c r="R311" i="3"/>
  <c r="AA325" i="3"/>
  <c r="Q75" i="3"/>
  <c r="Q108" i="3"/>
  <c r="G139" i="3"/>
  <c r="V246" i="3"/>
  <c r="V250" i="3" s="1"/>
  <c r="Y282" i="3"/>
  <c r="Q296" i="3"/>
  <c r="G300" i="3"/>
  <c r="G307" i="3"/>
  <c r="V312" i="3"/>
  <c r="AA387" i="3"/>
  <c r="AB326" i="3"/>
  <c r="G330" i="3"/>
  <c r="R388" i="3"/>
  <c r="AH391" i="3"/>
  <c r="G417" i="3"/>
  <c r="G52" i="3"/>
  <c r="G72" i="3"/>
  <c r="R81" i="3"/>
  <c r="G127" i="3"/>
  <c r="V176" i="3"/>
  <c r="G153" i="3"/>
  <c r="R282" i="3"/>
  <c r="Q300" i="3"/>
  <c r="J323" i="3"/>
  <c r="G352" i="3"/>
  <c r="AA381" i="3"/>
  <c r="AA417" i="3"/>
  <c r="J277" i="3"/>
  <c r="Y33" i="3"/>
  <c r="G304" i="3"/>
  <c r="R323" i="3"/>
  <c r="G389" i="3"/>
  <c r="AA358" i="3"/>
  <c r="R393" i="3"/>
  <c r="G73" i="3"/>
  <c r="G125" i="3"/>
  <c r="R146" i="3"/>
  <c r="J319" i="3"/>
  <c r="AB323" i="3"/>
  <c r="G332" i="3"/>
  <c r="V318" i="3"/>
  <c r="J414" i="3"/>
  <c r="W68" i="3"/>
  <c r="Q141" i="3"/>
  <c r="G195" i="3"/>
  <c r="AH292" i="3"/>
  <c r="V301" i="3"/>
  <c r="G311" i="3"/>
  <c r="AA319" i="3"/>
  <c r="J353" i="3"/>
  <c r="AA377" i="3"/>
  <c r="J394" i="3"/>
  <c r="G408" i="3"/>
  <c r="V20" i="3"/>
  <c r="R12" i="3"/>
  <c r="G60" i="3"/>
  <c r="G66" i="3"/>
  <c r="V136" i="3"/>
  <c r="V137" i="3" s="1"/>
  <c r="V195" i="3"/>
  <c r="AH296" i="3"/>
  <c r="R335" i="3"/>
  <c r="J386" i="3"/>
  <c r="AH399" i="3"/>
  <c r="J413" i="3"/>
  <c r="AA24" i="3"/>
  <c r="AA27" i="3" s="1"/>
  <c r="G30" i="3"/>
  <c r="G31" i="3" s="1"/>
  <c r="W60" i="3"/>
  <c r="X60" i="3" s="1"/>
  <c r="J66" i="3"/>
  <c r="V71" i="3"/>
  <c r="U107" i="3"/>
  <c r="R142" i="3"/>
  <c r="R143" i="3" s="1"/>
  <c r="Q269" i="3"/>
  <c r="Q270" i="3" s="1"/>
  <c r="G302" i="3"/>
  <c r="AA320" i="3"/>
  <c r="J325" i="3"/>
  <c r="G350" i="3"/>
  <c r="R413" i="3"/>
  <c r="Y17" i="3"/>
  <c r="Q17" i="3"/>
  <c r="V24" i="3"/>
  <c r="V27" i="3" s="1"/>
  <c r="Y26" i="3"/>
  <c r="V43" i="3"/>
  <c r="G58" i="3"/>
  <c r="Q63" i="3"/>
  <c r="G68" i="3"/>
  <c r="J71" i="3"/>
  <c r="Y95" i="3"/>
  <c r="AA409" i="3"/>
  <c r="Q211" i="3"/>
  <c r="V127" i="3"/>
  <c r="G130" i="3"/>
  <c r="J243" i="3"/>
  <c r="J145" i="3"/>
  <c r="J150" i="3" s="1"/>
  <c r="J167" i="3"/>
  <c r="J176" i="3"/>
  <c r="AA189" i="3"/>
  <c r="V189" i="3"/>
  <c r="Q189" i="3"/>
  <c r="G189" i="3"/>
  <c r="V30" i="3"/>
  <c r="V63" i="3"/>
  <c r="V68" i="3"/>
  <c r="Q95" i="3"/>
  <c r="R243" i="3"/>
  <c r="V141" i="3"/>
  <c r="R145" i="3"/>
  <c r="V167" i="3"/>
  <c r="G173" i="3"/>
  <c r="V261" i="3"/>
  <c r="AB310" i="3"/>
  <c r="V310" i="3"/>
  <c r="G310" i="3"/>
  <c r="G317" i="3"/>
  <c r="V317" i="3"/>
  <c r="J317" i="3"/>
  <c r="AA317" i="3"/>
  <c r="J376" i="3"/>
  <c r="J293" i="3"/>
  <c r="AA20" i="3"/>
  <c r="R29" i="3"/>
  <c r="G62" i="3"/>
  <c r="V60" i="3"/>
  <c r="J64" i="3"/>
  <c r="G74" i="3"/>
  <c r="V96" i="3"/>
  <c r="G101" i="3"/>
  <c r="J113" i="3"/>
  <c r="J119" i="3" s="1"/>
  <c r="J125" i="3"/>
  <c r="G122" i="3"/>
  <c r="J128" i="3"/>
  <c r="G426" i="3"/>
  <c r="J165" i="3"/>
  <c r="G171" i="3"/>
  <c r="R45" i="3"/>
  <c r="R47" i="3" s="1"/>
  <c r="Y187" i="3"/>
  <c r="Q187" i="3"/>
  <c r="R190" i="3"/>
  <c r="AB299" i="3"/>
  <c r="V299" i="3"/>
  <c r="G299" i="3"/>
  <c r="AA385" i="3"/>
  <c r="AB385" i="3"/>
  <c r="V385" i="3"/>
  <c r="J385" i="3"/>
  <c r="G385" i="3"/>
  <c r="J28" i="3"/>
  <c r="R115" i="3"/>
  <c r="R34" i="3" s="1"/>
  <c r="AA35" i="3"/>
  <c r="AA37" i="3" s="1"/>
  <c r="G53" i="3"/>
  <c r="J62" i="3"/>
  <c r="R74" i="3"/>
  <c r="V122" i="3"/>
  <c r="J426" i="3"/>
  <c r="Q165" i="3"/>
  <c r="J171" i="3"/>
  <c r="V236" i="3"/>
  <c r="V239" i="3" s="1"/>
  <c r="R258" i="3"/>
  <c r="R260" i="3" s="1"/>
  <c r="G424" i="3"/>
  <c r="Q424" i="3"/>
  <c r="J424" i="3"/>
  <c r="AB324" i="3"/>
  <c r="AA324" i="3"/>
  <c r="Q324" i="3"/>
  <c r="J324" i="3"/>
  <c r="AB367" i="3"/>
  <c r="R367" i="3"/>
  <c r="J367" i="3"/>
  <c r="G124" i="3"/>
  <c r="V53" i="3"/>
  <c r="Q62" i="3"/>
  <c r="G65" i="3"/>
  <c r="V66" i="3"/>
  <c r="J72" i="3"/>
  <c r="V74" i="3"/>
  <c r="AA100" i="3"/>
  <c r="V110" i="3"/>
  <c r="V426" i="3"/>
  <c r="R131" i="3"/>
  <c r="V132" i="3"/>
  <c r="Y136" i="3"/>
  <c r="Y137" i="3" s="1"/>
  <c r="V144" i="3"/>
  <c r="Y158" i="3"/>
  <c r="V171" i="3"/>
  <c r="J177" i="3"/>
  <c r="V222" i="3"/>
  <c r="G360" i="3"/>
  <c r="AB360" i="3"/>
  <c r="V360" i="3"/>
  <c r="G397" i="3"/>
  <c r="AB397" i="3"/>
  <c r="R397" i="3"/>
  <c r="J397" i="3"/>
  <c r="AA407" i="3"/>
  <c r="V407" i="3"/>
  <c r="J407" i="3"/>
  <c r="G407" i="3"/>
  <c r="AB407" i="3"/>
  <c r="Y24" i="3"/>
  <c r="V34" i="3"/>
  <c r="G43" i="3"/>
  <c r="G44" i="3" s="1"/>
  <c r="J124" i="3"/>
  <c r="W53" i="3"/>
  <c r="X53" i="3" s="1"/>
  <c r="J65" i="3"/>
  <c r="G67" i="3"/>
  <c r="V72" i="3"/>
  <c r="AB303" i="3"/>
  <c r="V303" i="3"/>
  <c r="G303" i="3"/>
  <c r="G396" i="3"/>
  <c r="AB396" i="3"/>
  <c r="J396" i="3"/>
  <c r="Q23" i="3"/>
  <c r="J211" i="3"/>
  <c r="J127" i="3"/>
  <c r="G145" i="3"/>
  <c r="G150" i="3" s="1"/>
  <c r="R147" i="3"/>
  <c r="Y152" i="3"/>
  <c r="J162" i="3"/>
  <c r="V164" i="3"/>
  <c r="G167" i="3"/>
  <c r="G176" i="3"/>
  <c r="G183" i="3"/>
  <c r="G186" i="3" s="1"/>
  <c r="G356" i="3"/>
  <c r="AB356" i="3"/>
  <c r="AA356" i="3"/>
  <c r="V356" i="3"/>
  <c r="AB380" i="3"/>
  <c r="V380" i="3"/>
  <c r="AA401" i="3"/>
  <c r="V401" i="3"/>
  <c r="G196" i="3"/>
  <c r="R242" i="3"/>
  <c r="J268" i="3"/>
  <c r="Y279" i="3"/>
  <c r="G283" i="3"/>
  <c r="R289" i="3"/>
  <c r="Q320" i="3"/>
  <c r="J335" i="3"/>
  <c r="AH384" i="3"/>
  <c r="V349" i="3"/>
  <c r="V351" i="3"/>
  <c r="V322" i="3"/>
  <c r="AB327" i="3"/>
  <c r="V361" i="3"/>
  <c r="AB366" i="3"/>
  <c r="V365" i="3"/>
  <c r="V218" i="3"/>
  <c r="J412" i="3"/>
  <c r="AB414" i="3"/>
  <c r="G418" i="3"/>
  <c r="G419" i="3"/>
  <c r="G188" i="3"/>
  <c r="J260" i="3"/>
  <c r="R261" i="3"/>
  <c r="J274" i="3"/>
  <c r="AA321" i="3"/>
  <c r="AA326" i="3"/>
  <c r="V358" i="3"/>
  <c r="AA361" i="3"/>
  <c r="V377" i="3"/>
  <c r="AA365" i="3"/>
  <c r="W381" i="3"/>
  <c r="AA218" i="3"/>
  <c r="G386" i="3"/>
  <c r="J388" i="3"/>
  <c r="J393" i="3"/>
  <c r="Q412" i="3"/>
  <c r="J418" i="3"/>
  <c r="J419" i="3"/>
  <c r="V262" i="3"/>
  <c r="V300" i="3"/>
  <c r="V311" i="3"/>
  <c r="V319" i="3"/>
  <c r="R325" i="3"/>
  <c r="AA335" i="3"/>
  <c r="AA389" i="3"/>
  <c r="AA330" i="3"/>
  <c r="AA332" i="3"/>
  <c r="Q350" i="3"/>
  <c r="V353" i="3"/>
  <c r="AB358" i="3"/>
  <c r="V386" i="3"/>
  <c r="V388" i="3"/>
  <c r="J408" i="3"/>
  <c r="AB419" i="3"/>
  <c r="G241" i="3"/>
  <c r="G245" i="3" s="1"/>
  <c r="Q256" i="3"/>
  <c r="Q257" i="3"/>
  <c r="Q260" i="3" s="1"/>
  <c r="J387" i="3"/>
  <c r="V350" i="3"/>
  <c r="V352" i="3"/>
  <c r="V393" i="3"/>
  <c r="V394" i="3"/>
  <c r="AB412" i="3"/>
  <c r="AA418" i="3"/>
  <c r="R201" i="3"/>
  <c r="Y208" i="3"/>
  <c r="V354" i="3"/>
  <c r="G365" i="3"/>
  <c r="G218" i="3"/>
  <c r="AB388" i="3"/>
  <c r="V408" i="3"/>
  <c r="V414" i="3"/>
  <c r="AB418" i="3"/>
  <c r="J321" i="3"/>
  <c r="J326" i="3"/>
  <c r="G328" i="3"/>
  <c r="G329" i="3"/>
  <c r="G331" i="3"/>
  <c r="G333" i="3"/>
  <c r="V334" i="3"/>
  <c r="G349" i="3"/>
  <c r="G351" i="3"/>
  <c r="G322" i="3"/>
  <c r="AA354" i="3"/>
  <c r="J361" i="3"/>
  <c r="G381" i="3"/>
  <c r="AB386" i="3"/>
  <c r="AB394" i="3"/>
  <c r="AB408" i="3"/>
  <c r="AB417" i="3"/>
  <c r="G217" i="3"/>
  <c r="AA251" i="3"/>
  <c r="G262" i="3"/>
  <c r="G268" i="3" s="1"/>
  <c r="Y280" i="3"/>
  <c r="G301" i="3"/>
  <c r="V302" i="3"/>
  <c r="V307" i="3"/>
  <c r="G312" i="3"/>
  <c r="V305" i="3"/>
  <c r="J320" i="3"/>
  <c r="V321" i="3"/>
  <c r="AA328" i="3"/>
  <c r="AA329" i="3"/>
  <c r="AA331" i="3"/>
  <c r="AA333" i="3"/>
  <c r="G318" i="3"/>
  <c r="R349" i="3"/>
  <c r="Q322" i="3"/>
  <c r="AB354" i="3"/>
  <c r="R361" i="3"/>
  <c r="V366" i="3"/>
  <c r="AB393" i="3"/>
  <c r="Y15" i="3"/>
  <c r="Q15" i="3"/>
  <c r="R58" i="3"/>
  <c r="Q13" i="3"/>
  <c r="Y13" i="3"/>
  <c r="Y19" i="3"/>
  <c r="R19" i="3"/>
  <c r="R73" i="3"/>
  <c r="V67" i="3"/>
  <c r="Q11" i="3"/>
  <c r="Y11" i="3"/>
  <c r="Y9" i="3"/>
  <c r="R9" i="3"/>
  <c r="R52" i="3"/>
  <c r="V62" i="3"/>
  <c r="X72" i="3"/>
  <c r="V124" i="3"/>
  <c r="Q65" i="3"/>
  <c r="R10" i="3"/>
  <c r="Q18" i="3"/>
  <c r="AA21" i="3"/>
  <c r="AA23" i="3" s="1"/>
  <c r="Y22" i="3"/>
  <c r="AA29" i="3"/>
  <c r="AA115" i="3"/>
  <c r="V35" i="3"/>
  <c r="V37" i="3" s="1"/>
  <c r="R38" i="3"/>
  <c r="R44" i="3" s="1"/>
  <c r="AA48" i="3"/>
  <c r="AA124" i="3"/>
  <c r="V52" i="3"/>
  <c r="J53" i="3"/>
  <c r="AA62" i="3"/>
  <c r="V58" i="3"/>
  <c r="J60" i="3"/>
  <c r="G64" i="3"/>
  <c r="J68" i="3"/>
  <c r="G70" i="3"/>
  <c r="AA72" i="3"/>
  <c r="V73" i="3"/>
  <c r="J74" i="3"/>
  <c r="Q77" i="3"/>
  <c r="AA92" i="3"/>
  <c r="AA98" i="3" s="1"/>
  <c r="Y94" i="3"/>
  <c r="P107" i="3"/>
  <c r="Y105" i="3"/>
  <c r="J409" i="3"/>
  <c r="G409" i="3"/>
  <c r="V409" i="3"/>
  <c r="Q426" i="3"/>
  <c r="R6" i="3"/>
  <c r="P20" i="3"/>
  <c r="R8" i="3"/>
  <c r="R16" i="3"/>
  <c r="AA30" i="3"/>
  <c r="G54" i="3"/>
  <c r="G61" i="3"/>
  <c r="AA65" i="3"/>
  <c r="G59" i="3"/>
  <c r="R409" i="3"/>
  <c r="V203" i="3"/>
  <c r="G203" i="3"/>
  <c r="AA203" i="3"/>
  <c r="Q217" i="3"/>
  <c r="AA52" i="3"/>
  <c r="J54" i="3"/>
  <c r="AA58" i="3"/>
  <c r="J61" i="3"/>
  <c r="AA67" i="3"/>
  <c r="J59" i="3"/>
  <c r="AA73" i="3"/>
  <c r="Z107" i="3"/>
  <c r="AA105" i="3"/>
  <c r="AA107" i="3" s="1"/>
  <c r="AA63" i="3"/>
  <c r="V64" i="3"/>
  <c r="AA69" i="3"/>
  <c r="V126" i="3"/>
  <c r="J126" i="3"/>
  <c r="G126" i="3"/>
  <c r="G220" i="3"/>
  <c r="AA220" i="3"/>
  <c r="V220" i="3"/>
  <c r="V29" i="3"/>
  <c r="G34" i="3"/>
  <c r="J52" i="3"/>
  <c r="J58" i="3"/>
  <c r="G63" i="3"/>
  <c r="J67" i="3"/>
  <c r="G69" i="3"/>
  <c r="J73" i="3"/>
  <c r="R98" i="3"/>
  <c r="AA126" i="3"/>
  <c r="Y144" i="3"/>
  <c r="R144" i="3"/>
  <c r="J163" i="3"/>
  <c r="G163" i="3"/>
  <c r="AA54" i="3"/>
  <c r="AA61" i="3"/>
  <c r="AA59" i="3"/>
  <c r="G166" i="3"/>
  <c r="AA166" i="3"/>
  <c r="V166" i="3"/>
  <c r="J166" i="3"/>
  <c r="Y6" i="3"/>
  <c r="Q14" i="3"/>
  <c r="J34" i="3"/>
  <c r="R35" i="3"/>
  <c r="Y92" i="3"/>
  <c r="Q122" i="3"/>
  <c r="Y121" i="3"/>
  <c r="Q121" i="3"/>
  <c r="Z119" i="3"/>
  <c r="AA128" i="3"/>
  <c r="V129" i="3"/>
  <c r="J130" i="3"/>
  <c r="P137" i="3"/>
  <c r="Z137" i="3"/>
  <c r="J139" i="3"/>
  <c r="V154" i="3"/>
  <c r="Q188" i="3"/>
  <c r="Y209" i="3"/>
  <c r="Q99" i="3"/>
  <c r="Q104" i="3" s="1"/>
  <c r="G100" i="3"/>
  <c r="G104" i="3" s="1"/>
  <c r="V105" i="3"/>
  <c r="V107" i="3" s="1"/>
  <c r="Q106" i="3"/>
  <c r="Q107" i="3" s="1"/>
  <c r="G113" i="3"/>
  <c r="G119" i="3" s="1"/>
  <c r="V211" i="3"/>
  <c r="G128" i="3"/>
  <c r="AA426" i="3"/>
  <c r="V243" i="3"/>
  <c r="AA145" i="3"/>
  <c r="R148" i="3"/>
  <c r="V162" i="3"/>
  <c r="V165" i="3"/>
  <c r="AA122" i="3"/>
  <c r="G169" i="3"/>
  <c r="R198" i="3"/>
  <c r="AA202" i="3"/>
  <c r="AA129" i="3"/>
  <c r="V130" i="3"/>
  <c r="W143" i="3"/>
  <c r="AA154" i="3"/>
  <c r="Y185" i="3"/>
  <c r="V185" i="3"/>
  <c r="AA207" i="3"/>
  <c r="AA211" i="3"/>
  <c r="J122" i="3"/>
  <c r="G129" i="3"/>
  <c r="AA243" i="3"/>
  <c r="G138" i="3"/>
  <c r="G154" i="3"/>
  <c r="AA162" i="3"/>
  <c r="AA165" i="3"/>
  <c r="W216" i="3"/>
  <c r="W229" i="3" s="1"/>
  <c r="G216" i="3"/>
  <c r="AA216" i="3"/>
  <c r="V169" i="3"/>
  <c r="AH186" i="3"/>
  <c r="AB186" i="3"/>
  <c r="AE186" i="3"/>
  <c r="W253" i="3"/>
  <c r="J253" i="3"/>
  <c r="G253" i="3"/>
  <c r="Y111" i="3"/>
  <c r="R112" i="3"/>
  <c r="Y275" i="3"/>
  <c r="J275" i="3"/>
  <c r="G275" i="3"/>
  <c r="AA275" i="3"/>
  <c r="AA173" i="3"/>
  <c r="V174" i="3"/>
  <c r="AB189" i="3"/>
  <c r="G197" i="3"/>
  <c r="F205" i="3"/>
  <c r="V217" i="3"/>
  <c r="AA221" i="3"/>
  <c r="V221" i="3"/>
  <c r="Y236" i="3"/>
  <c r="Y239" i="3" s="1"/>
  <c r="R239" i="3"/>
  <c r="Y251" i="3"/>
  <c r="AA167" i="3"/>
  <c r="AA171" i="3"/>
  <c r="V172" i="3"/>
  <c r="J173" i="3"/>
  <c r="V177" i="3"/>
  <c r="AA153" i="3"/>
  <c r="AA195" i="3"/>
  <c r="F200" i="3"/>
  <c r="Y244" i="3"/>
  <c r="Z260" i="3"/>
  <c r="AA234" i="3"/>
  <c r="AA260" i="3" s="1"/>
  <c r="AA280" i="3"/>
  <c r="AA174" i="3"/>
  <c r="AA217" i="3"/>
  <c r="G232" i="3"/>
  <c r="G235" i="3" s="1"/>
  <c r="AA236" i="3"/>
  <c r="AA239" i="3" s="1"/>
  <c r="J241" i="3"/>
  <c r="V197" i="3"/>
  <c r="AA208" i="3"/>
  <c r="Y246" i="3"/>
  <c r="Y250" i="3" s="1"/>
  <c r="R246" i="3"/>
  <c r="AA172" i="3"/>
  <c r="J174" i="3"/>
  <c r="AA177" i="3"/>
  <c r="G208" i="3"/>
  <c r="G212" i="3" s="1"/>
  <c r="Y240" i="3"/>
  <c r="G272" i="3"/>
  <c r="J208" i="3"/>
  <c r="R230" i="3"/>
  <c r="R235" i="3" s="1"/>
  <c r="Y230" i="3"/>
  <c r="AA232" i="3"/>
  <c r="R255" i="3"/>
  <c r="T277" i="3"/>
  <c r="T278" i="3" s="1"/>
  <c r="T291" i="3" s="1"/>
  <c r="S278" i="3"/>
  <c r="S291" i="3" s="1"/>
  <c r="AA246" i="3"/>
  <c r="AA250" i="3" s="1"/>
  <c r="Z250" i="3"/>
  <c r="AA272" i="3"/>
  <c r="AA222" i="3"/>
  <c r="Y281" i="3"/>
  <c r="J283" i="3"/>
  <c r="G293" i="3"/>
  <c r="AH325" i="3"/>
  <c r="R308" i="3"/>
  <c r="G222" i="3"/>
  <c r="V251" i="3"/>
  <c r="V257" i="3"/>
  <c r="V260" i="3" s="1"/>
  <c r="V274" i="3"/>
  <c r="V424" i="3"/>
  <c r="V315" i="3"/>
  <c r="J315" i="3"/>
  <c r="AB315" i="3"/>
  <c r="G315" i="3"/>
  <c r="AH335" i="3"/>
  <c r="Y257" i="3"/>
  <c r="AA277" i="3"/>
  <c r="AH350" i="3"/>
  <c r="AH352" i="3"/>
  <c r="Z268" i="3"/>
  <c r="J269" i="3"/>
  <c r="J270" i="3" s="1"/>
  <c r="G277" i="3"/>
  <c r="G284" i="3"/>
  <c r="AH300" i="3"/>
  <c r="AH301" i="3"/>
  <c r="AH302" i="3"/>
  <c r="AH307" i="3"/>
  <c r="AH311" i="3"/>
  <c r="AH312" i="3"/>
  <c r="AH305" i="3"/>
  <c r="V306" i="3"/>
  <c r="AB306" i="3"/>
  <c r="J306" i="3"/>
  <c r="G306" i="3"/>
  <c r="AA274" i="3"/>
  <c r="AA424" i="3"/>
  <c r="AA292" i="3"/>
  <c r="V234" i="3"/>
  <c r="V264" i="3"/>
  <c r="V272" i="3"/>
  <c r="F290" i="3"/>
  <c r="AB293" i="3"/>
  <c r="V359" i="3"/>
  <c r="AB359" i="3"/>
  <c r="J359" i="3"/>
  <c r="G359" i="3"/>
  <c r="AH349" i="3"/>
  <c r="AH351" i="3"/>
  <c r="AH322" i="3"/>
  <c r="AB317" i="3"/>
  <c r="G325" i="3"/>
  <c r="G335" i="3"/>
  <c r="G308" i="3"/>
  <c r="J308" i="3"/>
  <c r="AB308" i="3"/>
  <c r="AA308" i="3"/>
  <c r="V308" i="3"/>
  <c r="AA299" i="3"/>
  <c r="AA300" i="3"/>
  <c r="AA301" i="3"/>
  <c r="AA302" i="3"/>
  <c r="AA303" i="3"/>
  <c r="AA307" i="3"/>
  <c r="AA310" i="3"/>
  <c r="AA311" i="3"/>
  <c r="AA312" i="3"/>
  <c r="AA305" i="3"/>
  <c r="AB387" i="3"/>
  <c r="G362" i="3"/>
  <c r="J362" i="3"/>
  <c r="AB362" i="3"/>
  <c r="AA362" i="3"/>
  <c r="V362" i="3"/>
  <c r="V410" i="3"/>
  <c r="AA410" i="3"/>
  <c r="J410" i="3"/>
  <c r="G410" i="3"/>
  <c r="J299" i="3"/>
  <c r="J300" i="3"/>
  <c r="J301" i="3"/>
  <c r="J302" i="3"/>
  <c r="J303" i="3"/>
  <c r="J304" i="3"/>
  <c r="J307" i="3"/>
  <c r="J310" i="3"/>
  <c r="J311" i="3"/>
  <c r="J312" i="3"/>
  <c r="J305" i="3"/>
  <c r="AB320" i="3"/>
  <c r="G324" i="3"/>
  <c r="G323" i="3"/>
  <c r="G326" i="3"/>
  <c r="G355" i="3"/>
  <c r="J355" i="3"/>
  <c r="AB355" i="3"/>
  <c r="AA355" i="3"/>
  <c r="V355" i="3"/>
  <c r="G327" i="3"/>
  <c r="AA327" i="3"/>
  <c r="V327" i="3"/>
  <c r="AB319" i="3"/>
  <c r="V387" i="3"/>
  <c r="AB321" i="3"/>
  <c r="AB389" i="3"/>
  <c r="J389" i="3"/>
  <c r="AB328" i="3"/>
  <c r="J328" i="3"/>
  <c r="AB329" i="3"/>
  <c r="J329" i="3"/>
  <c r="AB330" i="3"/>
  <c r="J330" i="3"/>
  <c r="AB331" i="3"/>
  <c r="J331" i="3"/>
  <c r="AB332" i="3"/>
  <c r="J332" i="3"/>
  <c r="AB333" i="3"/>
  <c r="J333" i="3"/>
  <c r="R345" i="3"/>
  <c r="R355" i="3"/>
  <c r="G357" i="3"/>
  <c r="J357" i="3"/>
  <c r="AB357" i="3"/>
  <c r="AA357" i="3"/>
  <c r="V357" i="3"/>
  <c r="AH370" i="3"/>
  <c r="AA364" i="3"/>
  <c r="J364" i="3"/>
  <c r="G364" i="3"/>
  <c r="AB364" i="3"/>
  <c r="AE364" i="3" s="1"/>
  <c r="Y364" i="3"/>
  <c r="G309" i="3"/>
  <c r="AA309" i="3"/>
  <c r="V309" i="3"/>
  <c r="AA382" i="3"/>
  <c r="J382" i="3"/>
  <c r="G382" i="3"/>
  <c r="AB382" i="3"/>
  <c r="AE382" i="3" s="1"/>
  <c r="V391" i="3"/>
  <c r="G370" i="3"/>
  <c r="V370" i="3"/>
  <c r="AB402" i="3"/>
  <c r="J402" i="3"/>
  <c r="G402" i="3"/>
  <c r="AA402" i="3"/>
  <c r="V402" i="3"/>
  <c r="J354" i="3"/>
  <c r="J356" i="3"/>
  <c r="J358" i="3"/>
  <c r="J360" i="3"/>
  <c r="J366" i="3"/>
  <c r="J370" i="3"/>
  <c r="AA353" i="3"/>
  <c r="G367" i="3"/>
  <c r="V367" i="3"/>
  <c r="AB376" i="3"/>
  <c r="G376" i="3"/>
  <c r="AA376" i="3"/>
  <c r="V376" i="3"/>
  <c r="Q377" i="3"/>
  <c r="V421" i="3"/>
  <c r="AB421" i="3"/>
  <c r="AA421" i="3"/>
  <c r="J421" i="3"/>
  <c r="G421" i="3"/>
  <c r="AA318" i="3"/>
  <c r="AA349" i="3"/>
  <c r="AA350" i="3"/>
  <c r="AA351" i="3"/>
  <c r="AA352" i="3"/>
  <c r="AA322" i="3"/>
  <c r="AB353" i="3"/>
  <c r="AA370" i="3"/>
  <c r="AA380" i="3"/>
  <c r="J380" i="3"/>
  <c r="G380" i="3"/>
  <c r="Q399" i="3"/>
  <c r="J318" i="3"/>
  <c r="J349" i="3"/>
  <c r="J350" i="3"/>
  <c r="J351" i="3"/>
  <c r="J352" i="3"/>
  <c r="J322" i="3"/>
  <c r="AA360" i="3"/>
  <c r="AA366" i="3"/>
  <c r="AA367" i="3"/>
  <c r="R406" i="3"/>
  <c r="R416" i="3"/>
  <c r="AA419" i="3"/>
  <c r="G377" i="3"/>
  <c r="AB377" i="3"/>
  <c r="AB365" i="3"/>
  <c r="AB381" i="3"/>
  <c r="AE381" i="3" s="1"/>
  <c r="AB400" i="3"/>
  <c r="J400" i="3"/>
  <c r="G400" i="3"/>
  <c r="J417" i="3"/>
  <c r="V400" i="3"/>
  <c r="AB401" i="3"/>
  <c r="J401" i="3"/>
  <c r="G401" i="3"/>
  <c r="AA393" i="3"/>
  <c r="AA394" i="3"/>
  <c r="AA397" i="3"/>
  <c r="AA412" i="3"/>
  <c r="AA413" i="3"/>
  <c r="AA414" i="3"/>
  <c r="Y27" i="3" l="1"/>
  <c r="AA104" i="3"/>
  <c r="P151" i="3"/>
  <c r="V44" i="3"/>
  <c r="U206" i="3"/>
  <c r="J245" i="3"/>
  <c r="J212" i="3"/>
  <c r="Q212" i="3"/>
  <c r="AA212" i="3"/>
  <c r="P200" i="3"/>
  <c r="Q196" i="3"/>
  <c r="AG411" i="3"/>
  <c r="Y260" i="3"/>
  <c r="V163" i="3"/>
  <c r="V180" i="3" s="1"/>
  <c r="AG348" i="3"/>
  <c r="AB405" i="3"/>
  <c r="V196" i="3"/>
  <c r="AG349" i="3"/>
  <c r="AG292" i="3"/>
  <c r="R250" i="3"/>
  <c r="AB427" i="3"/>
  <c r="AG296" i="3"/>
  <c r="AG345" i="3"/>
  <c r="AG311" i="3"/>
  <c r="Z200" i="3"/>
  <c r="AG298" i="3"/>
  <c r="Y163" i="3"/>
  <c r="Y180" i="3" s="1"/>
  <c r="AG399" i="3"/>
  <c r="V31" i="3"/>
  <c r="Y278" i="3"/>
  <c r="AG351" i="3"/>
  <c r="AG335" i="3"/>
  <c r="AG322" i="3"/>
  <c r="AG334" i="3"/>
  <c r="AG370" i="3"/>
  <c r="AG300" i="3"/>
  <c r="AG352" i="3"/>
  <c r="Y396" i="3"/>
  <c r="AG391" i="3"/>
  <c r="AC400" i="3"/>
  <c r="AE400" i="3"/>
  <c r="AE394" i="3"/>
  <c r="AC394" i="3"/>
  <c r="Y386" i="3"/>
  <c r="AH419" i="3"/>
  <c r="AC419" i="3"/>
  <c r="AE419" i="3"/>
  <c r="AE361" i="3"/>
  <c r="AC361" i="3"/>
  <c r="Y304" i="3"/>
  <c r="P405" i="3"/>
  <c r="AC308" i="3"/>
  <c r="AE308" i="3"/>
  <c r="AC306" i="3"/>
  <c r="AE306" i="3"/>
  <c r="AG302" i="3"/>
  <c r="AE365" i="3"/>
  <c r="AC365" i="3"/>
  <c r="AC319" i="3"/>
  <c r="AE319" i="3"/>
  <c r="AE320" i="3"/>
  <c r="AC320" i="3"/>
  <c r="AE317" i="3"/>
  <c r="AC317" i="3"/>
  <c r="AE315" i="3"/>
  <c r="AC315" i="3"/>
  <c r="Y98" i="3"/>
  <c r="Y67" i="3"/>
  <c r="AH417" i="3"/>
  <c r="AE417" i="3"/>
  <c r="AC417" i="3"/>
  <c r="AC380" i="3"/>
  <c r="AE380" i="3"/>
  <c r="AE360" i="3"/>
  <c r="AC360" i="3"/>
  <c r="AC367" i="3"/>
  <c r="AE367" i="3"/>
  <c r="AC324" i="3"/>
  <c r="AE324" i="3"/>
  <c r="AC310" i="3"/>
  <c r="AE310" i="3"/>
  <c r="AG384" i="3"/>
  <c r="AG305" i="3"/>
  <c r="AG410" i="3"/>
  <c r="AG350" i="3"/>
  <c r="AG422" i="3"/>
  <c r="AG110" i="3"/>
  <c r="AE321" i="3"/>
  <c r="AC321" i="3"/>
  <c r="AC355" i="3"/>
  <c r="AE355" i="3"/>
  <c r="AC362" i="3"/>
  <c r="AE362" i="3"/>
  <c r="AC359" i="3"/>
  <c r="AE359" i="3"/>
  <c r="AE393" i="3"/>
  <c r="AC393" i="3"/>
  <c r="AC358" i="3"/>
  <c r="AE358" i="3"/>
  <c r="X381" i="3"/>
  <c r="Y381" i="3"/>
  <c r="AH407" i="3"/>
  <c r="AC407" i="3"/>
  <c r="AE407" i="3"/>
  <c r="Y385" i="3"/>
  <c r="AC326" i="3"/>
  <c r="AE326" i="3"/>
  <c r="AH413" i="3"/>
  <c r="AE413" i="3"/>
  <c r="AC413" i="3"/>
  <c r="AE421" i="3"/>
  <c r="AC421" i="3"/>
  <c r="AE402" i="3"/>
  <c r="AC402" i="3"/>
  <c r="Y382" i="3"/>
  <c r="AE357" i="3"/>
  <c r="AC357" i="3"/>
  <c r="AE332" i="3"/>
  <c r="AC332" i="3"/>
  <c r="AE330" i="3"/>
  <c r="AC330" i="3"/>
  <c r="AE328" i="3"/>
  <c r="AC328" i="3"/>
  <c r="AH386" i="3"/>
  <c r="AE386" i="3"/>
  <c r="AE412" i="3"/>
  <c r="AC412" i="3"/>
  <c r="AC327" i="3"/>
  <c r="AE327" i="3"/>
  <c r="AE356" i="3"/>
  <c r="AC356" i="3"/>
  <c r="AF385" i="3"/>
  <c r="AE385" i="3"/>
  <c r="AE299" i="3"/>
  <c r="AC299" i="3"/>
  <c r="AC309" i="3"/>
  <c r="AE309" i="3"/>
  <c r="AC304" i="3"/>
  <c r="AE304" i="3"/>
  <c r="R304" i="3"/>
  <c r="AG318" i="3"/>
  <c r="Y241" i="3"/>
  <c r="Y245" i="3" s="1"/>
  <c r="P245" i="3"/>
  <c r="AC401" i="3"/>
  <c r="AE401" i="3"/>
  <c r="AE377" i="3"/>
  <c r="AC377" i="3"/>
  <c r="AE353" i="3"/>
  <c r="AC353" i="3"/>
  <c r="AE376" i="3"/>
  <c r="AC376" i="3"/>
  <c r="AE333" i="3"/>
  <c r="AC333" i="3"/>
  <c r="AC331" i="3"/>
  <c r="AE331" i="3"/>
  <c r="AE329" i="3"/>
  <c r="AC329" i="3"/>
  <c r="AC389" i="3"/>
  <c r="AE389" i="3"/>
  <c r="AC387" i="3"/>
  <c r="AE387" i="3"/>
  <c r="AC293" i="3"/>
  <c r="AE293" i="3"/>
  <c r="AB200" i="3"/>
  <c r="AB206" i="3" s="1"/>
  <c r="AE189" i="3"/>
  <c r="AE200" i="3" s="1"/>
  <c r="AE206" i="3" s="1"/>
  <c r="AC189" i="3"/>
  <c r="Y70" i="3"/>
  <c r="AE354" i="3"/>
  <c r="AC354" i="3"/>
  <c r="AE408" i="3"/>
  <c r="AC408" i="3"/>
  <c r="AC418" i="3"/>
  <c r="AE418" i="3"/>
  <c r="AC414" i="3"/>
  <c r="AE414" i="3"/>
  <c r="AE366" i="3"/>
  <c r="AC366" i="3"/>
  <c r="AE396" i="3"/>
  <c r="AC396" i="3"/>
  <c r="AE303" i="3"/>
  <c r="AC303" i="3"/>
  <c r="AE397" i="3"/>
  <c r="AC397" i="3"/>
  <c r="X68" i="3"/>
  <c r="Y68" i="3"/>
  <c r="AE323" i="3"/>
  <c r="AC323" i="3"/>
  <c r="Y205" i="3"/>
  <c r="AG325" i="3"/>
  <c r="U405" i="3"/>
  <c r="U428" i="3" s="1"/>
  <c r="AG312" i="3"/>
  <c r="AG307" i="3"/>
  <c r="AG301" i="3"/>
  <c r="AC388" i="3"/>
  <c r="AE388" i="3"/>
  <c r="AA91" i="3"/>
  <c r="V268" i="3"/>
  <c r="V135" i="3"/>
  <c r="V427" i="3"/>
  <c r="G229" i="3"/>
  <c r="G427" i="3"/>
  <c r="F206" i="3"/>
  <c r="G91" i="3"/>
  <c r="AH304" i="3"/>
  <c r="G143" i="3"/>
  <c r="AH354" i="3"/>
  <c r="AH358" i="3"/>
  <c r="AH396" i="3"/>
  <c r="AH323" i="3"/>
  <c r="AH361" i="3"/>
  <c r="Z245" i="3"/>
  <c r="U245" i="3"/>
  <c r="AA245" i="3"/>
  <c r="V245" i="3"/>
  <c r="G405" i="3"/>
  <c r="J31" i="3"/>
  <c r="J151" i="3" s="1"/>
  <c r="AC112" i="3"/>
  <c r="J91" i="3"/>
  <c r="J135" i="3"/>
  <c r="G135" i="3"/>
  <c r="J143" i="3"/>
  <c r="Y23" i="3"/>
  <c r="W405" i="3"/>
  <c r="W428" i="3" s="1"/>
  <c r="J427" i="3"/>
  <c r="J405" i="3"/>
  <c r="Z405" i="3"/>
  <c r="R150" i="3"/>
  <c r="Z427" i="3"/>
  <c r="AA427" i="3"/>
  <c r="R256" i="3"/>
  <c r="Y256" i="3"/>
  <c r="J229" i="3"/>
  <c r="V293" i="3"/>
  <c r="AA293" i="3"/>
  <c r="AA405" i="3" s="1"/>
  <c r="AA235" i="3"/>
  <c r="Z229" i="3"/>
  <c r="AA229" i="3"/>
  <c r="Z235" i="3"/>
  <c r="U143" i="3"/>
  <c r="Y37" i="3"/>
  <c r="R37" i="3"/>
  <c r="Q112" i="3"/>
  <c r="AH112" i="3"/>
  <c r="AE112" i="3"/>
  <c r="Y112" i="3"/>
  <c r="V112" i="3"/>
  <c r="J180" i="3"/>
  <c r="V150" i="3"/>
  <c r="AA180" i="3"/>
  <c r="G180" i="3"/>
  <c r="P180" i="3"/>
  <c r="Z180" i="3"/>
  <c r="Z150" i="3"/>
  <c r="AA150" i="3"/>
  <c r="Z135" i="3"/>
  <c r="Q98" i="3"/>
  <c r="R31" i="3"/>
  <c r="R290" i="3"/>
  <c r="P205" i="3"/>
  <c r="J159" i="3"/>
  <c r="F291" i="3"/>
  <c r="G159" i="3"/>
  <c r="AA159" i="3"/>
  <c r="Z159" i="3"/>
  <c r="R159" i="3"/>
  <c r="P159" i="3"/>
  <c r="V98" i="3"/>
  <c r="Q396" i="3"/>
  <c r="Q376" i="3"/>
  <c r="X143" i="3"/>
  <c r="V202" i="3"/>
  <c r="V205" i="3" s="1"/>
  <c r="Q138" i="3"/>
  <c r="Q143" i="3" s="1"/>
  <c r="AH380" i="3"/>
  <c r="AH309" i="3"/>
  <c r="Q173" i="3"/>
  <c r="AH327" i="3"/>
  <c r="R253" i="3"/>
  <c r="AA253" i="3"/>
  <c r="Z253" i="3"/>
  <c r="Y145" i="3"/>
  <c r="Y150" i="3" s="1"/>
  <c r="AF386" i="3"/>
  <c r="Y30" i="3"/>
  <c r="AH303" i="3"/>
  <c r="AH299" i="3"/>
  <c r="AH326" i="3"/>
  <c r="Y122" i="3"/>
  <c r="V157" i="3"/>
  <c r="V208" i="3"/>
  <c r="V212" i="3" s="1"/>
  <c r="Y189" i="3"/>
  <c r="Y124" i="3"/>
  <c r="Q417" i="3"/>
  <c r="V397" i="3"/>
  <c r="AA290" i="3"/>
  <c r="Y196" i="3"/>
  <c r="AG406" i="3"/>
  <c r="Q418" i="3"/>
  <c r="AH360" i="3"/>
  <c r="U34" i="3"/>
  <c r="U151" i="3" s="1"/>
  <c r="G205" i="3"/>
  <c r="Y43" i="3"/>
  <c r="Y44" i="3" s="1"/>
  <c r="Y34" i="3"/>
  <c r="AH385" i="3"/>
  <c r="J205" i="3"/>
  <c r="J278" i="3"/>
  <c r="Q34" i="3"/>
  <c r="Q419" i="3"/>
  <c r="AH367" i="3"/>
  <c r="AA205" i="3"/>
  <c r="Y107" i="3"/>
  <c r="R351" i="3"/>
  <c r="V269" i="3"/>
  <c r="V270" i="3" s="1"/>
  <c r="V100" i="3"/>
  <c r="V104" i="3" s="1"/>
  <c r="Y269" i="3"/>
  <c r="Y270" i="3" s="1"/>
  <c r="G290" i="3"/>
  <c r="P270" i="3"/>
  <c r="Y60" i="3"/>
  <c r="AH356" i="3"/>
  <c r="J200" i="3"/>
  <c r="Q407" i="3"/>
  <c r="Y268" i="3"/>
  <c r="Q408" i="3"/>
  <c r="G200" i="3"/>
  <c r="AA31" i="3"/>
  <c r="J290" i="3"/>
  <c r="AH394" i="3"/>
  <c r="AH414" i="3"/>
  <c r="J186" i="3"/>
  <c r="V153" i="3"/>
  <c r="Y153" i="3"/>
  <c r="R113" i="3"/>
  <c r="R119" i="3" s="1"/>
  <c r="Y113" i="3"/>
  <c r="Y119" i="3" s="1"/>
  <c r="R317" i="3"/>
  <c r="AH388" i="3"/>
  <c r="R394" i="3"/>
  <c r="V396" i="3"/>
  <c r="AH366" i="3"/>
  <c r="R352" i="3"/>
  <c r="Y218" i="3"/>
  <c r="R262" i="3"/>
  <c r="R268" i="3" s="1"/>
  <c r="R303" i="3"/>
  <c r="AH408" i="3"/>
  <c r="AA278" i="3"/>
  <c r="R200" i="3"/>
  <c r="Q305" i="3"/>
  <c r="R66" i="3"/>
  <c r="Q186" i="3"/>
  <c r="Y183" i="3"/>
  <c r="Y186" i="3" s="1"/>
  <c r="AH397" i="3"/>
  <c r="AH310" i="3"/>
  <c r="Z278" i="3"/>
  <c r="Q202" i="3"/>
  <c r="R205" i="3"/>
  <c r="AH393" i="3"/>
  <c r="R365" i="3"/>
  <c r="R307" i="3"/>
  <c r="AH418" i="3"/>
  <c r="AH412" i="3"/>
  <c r="R318" i="3"/>
  <c r="R301" i="3"/>
  <c r="AH324" i="3"/>
  <c r="R310" i="3"/>
  <c r="Y129" i="3"/>
  <c r="Y128" i="3"/>
  <c r="V381" i="3"/>
  <c r="Q302" i="3"/>
  <c r="Q414" i="3"/>
  <c r="Y222" i="3"/>
  <c r="R222" i="3"/>
  <c r="Y53" i="3"/>
  <c r="Q299" i="3"/>
  <c r="R333" i="3"/>
  <c r="R410" i="3"/>
  <c r="R427" i="3" s="1"/>
  <c r="AH315" i="3"/>
  <c r="AA125" i="3"/>
  <c r="AA135" i="3" s="1"/>
  <c r="Q64" i="3"/>
  <c r="W91" i="3"/>
  <c r="W151" i="3" s="1"/>
  <c r="R330" i="3"/>
  <c r="AH328" i="3"/>
  <c r="AH308" i="3"/>
  <c r="V325" i="3"/>
  <c r="Q359" i="3"/>
  <c r="AH306" i="3"/>
  <c r="Q283" i="3"/>
  <c r="AA184" i="3"/>
  <c r="AA186" i="3" s="1"/>
  <c r="Z186" i="3"/>
  <c r="V232" i="3"/>
  <c r="V235" i="3" s="1"/>
  <c r="AA188" i="3"/>
  <c r="AA200" i="3" s="1"/>
  <c r="AC186" i="3"/>
  <c r="AG186" i="3"/>
  <c r="Q157" i="3"/>
  <c r="Q159" i="3" s="1"/>
  <c r="AC34" i="3"/>
  <c r="AC151" i="3" s="1"/>
  <c r="AB34" i="3"/>
  <c r="AB151" i="3" s="1"/>
  <c r="AH34" i="3"/>
  <c r="AH151" i="3" s="1"/>
  <c r="AE34" i="3"/>
  <c r="AE151" i="3" s="1"/>
  <c r="R54" i="3"/>
  <c r="AA34" i="3"/>
  <c r="R366" i="3"/>
  <c r="Q272" i="3"/>
  <c r="Q278" i="3" s="1"/>
  <c r="Q61" i="3"/>
  <c r="AH381" i="3"/>
  <c r="AF381" i="3"/>
  <c r="AG381" i="3" s="1"/>
  <c r="Q360" i="3"/>
  <c r="AH382" i="3"/>
  <c r="AF382" i="3"/>
  <c r="AG382" i="3" s="1"/>
  <c r="AH332" i="3"/>
  <c r="Q328" i="3"/>
  <c r="R362" i="3"/>
  <c r="AH355" i="3"/>
  <c r="Q321" i="3"/>
  <c r="R306" i="3"/>
  <c r="V283" i="3"/>
  <c r="R315" i="3"/>
  <c r="Q293" i="3"/>
  <c r="V184" i="3"/>
  <c r="V186" i="3" s="1"/>
  <c r="AH189" i="3"/>
  <c r="Y139" i="3"/>
  <c r="V139" i="3"/>
  <c r="Z31" i="3"/>
  <c r="Q20" i="3"/>
  <c r="Z34" i="3"/>
  <c r="Y253" i="3"/>
  <c r="V253" i="3"/>
  <c r="Q358" i="3"/>
  <c r="R241" i="3"/>
  <c r="R245" i="3" s="1"/>
  <c r="Q221" i="3"/>
  <c r="Y221" i="3"/>
  <c r="Y216" i="3"/>
  <c r="V216" i="3"/>
  <c r="V229" i="3" s="1"/>
  <c r="Q203" i="3"/>
  <c r="Y28" i="3"/>
  <c r="Q28" i="3"/>
  <c r="Q31" i="3" s="1"/>
  <c r="Y52" i="3"/>
  <c r="Q402" i="3"/>
  <c r="V364" i="3"/>
  <c r="AH319" i="3"/>
  <c r="AH329" i="3"/>
  <c r="AH377" i="3"/>
  <c r="R329" i="3"/>
  <c r="R387" i="3"/>
  <c r="V320" i="3"/>
  <c r="AH293" i="3"/>
  <c r="Z290" i="3"/>
  <c r="R184" i="3"/>
  <c r="R186" i="3" s="1"/>
  <c r="Y127" i="3"/>
  <c r="Q127" i="3"/>
  <c r="Q166" i="3"/>
  <c r="V70" i="3"/>
  <c r="V91" i="3" s="1"/>
  <c r="R71" i="3"/>
  <c r="AH330" i="3"/>
  <c r="V323" i="3"/>
  <c r="AH387" i="3"/>
  <c r="Q125" i="3"/>
  <c r="Y125" i="3"/>
  <c r="AH365" i="3"/>
  <c r="AH401" i="3"/>
  <c r="Q356" i="3"/>
  <c r="X364" i="3"/>
  <c r="AH389" i="3"/>
  <c r="R401" i="3"/>
  <c r="R370" i="3"/>
  <c r="R354" i="3"/>
  <c r="V382" i="3"/>
  <c r="AH364" i="3"/>
  <c r="AF364" i="3"/>
  <c r="AH331" i="3"/>
  <c r="Q389" i="3"/>
  <c r="V326" i="3"/>
  <c r="AH320" i="3"/>
  <c r="Q319" i="3"/>
  <c r="AA262" i="3"/>
  <c r="AA268" i="3" s="1"/>
  <c r="AA269" i="3"/>
  <c r="AA270" i="3" s="1"/>
  <c r="Z270" i="3"/>
  <c r="G278" i="3"/>
  <c r="V275" i="3"/>
  <c r="V278" i="3" s="1"/>
  <c r="R130" i="3"/>
  <c r="R135" i="3" s="1"/>
  <c r="R163" i="3"/>
  <c r="Y220" i="3"/>
  <c r="R220" i="3"/>
  <c r="Y126" i="3"/>
  <c r="Q126" i="3"/>
  <c r="R59" i="3"/>
  <c r="Y211" i="3"/>
  <c r="Y212" i="3" s="1"/>
  <c r="AH359" i="3"/>
  <c r="R332" i="3"/>
  <c r="V324" i="3"/>
  <c r="V188" i="3"/>
  <c r="R353" i="3"/>
  <c r="Q421" i="3"/>
  <c r="AH376" i="3"/>
  <c r="R327" i="3"/>
  <c r="AH400" i="3"/>
  <c r="AH421" i="3"/>
  <c r="Q331" i="3"/>
  <c r="AH321" i="3"/>
  <c r="AH362" i="3"/>
  <c r="AH317" i="3"/>
  <c r="Y232" i="3"/>
  <c r="Y235" i="3" s="1"/>
  <c r="Q232" i="3"/>
  <c r="Q235" i="3" s="1"/>
  <c r="Q177" i="3"/>
  <c r="X275" i="3"/>
  <c r="X278" i="3" s="1"/>
  <c r="X291" i="3" s="1"/>
  <c r="W278" i="3"/>
  <c r="W291" i="3" s="1"/>
  <c r="Z205" i="3"/>
  <c r="R169" i="3"/>
  <c r="Y188" i="3"/>
  <c r="V138" i="3"/>
  <c r="AA113" i="3"/>
  <c r="AA119" i="3" s="1"/>
  <c r="Y138" i="3"/>
  <c r="Y217" i="3"/>
  <c r="Y7" i="3"/>
  <c r="Y20" i="3" s="1"/>
  <c r="R7" i="3"/>
  <c r="R20" i="3" s="1"/>
  <c r="Z91" i="3"/>
  <c r="AH353" i="3"/>
  <c r="R400" i="3"/>
  <c r="Q380" i="3"/>
  <c r="AH402" i="3"/>
  <c r="AH357" i="3"/>
  <c r="AH333" i="3"/>
  <c r="V335" i="3"/>
  <c r="Y284" i="3"/>
  <c r="V284" i="3"/>
  <c r="R278" i="3"/>
  <c r="Y197" i="3"/>
  <c r="Q197" i="3"/>
  <c r="AA138" i="3"/>
  <c r="AA143" i="3" s="1"/>
  <c r="Y154" i="3"/>
  <c r="AA151" i="3" l="1"/>
  <c r="G151" i="3"/>
  <c r="Z151" i="3"/>
  <c r="Q200" i="3"/>
  <c r="J206" i="3"/>
  <c r="AG329" i="3"/>
  <c r="AG408" i="3"/>
  <c r="AG397" i="3"/>
  <c r="Y159" i="3"/>
  <c r="AH405" i="3"/>
  <c r="AH427" i="3"/>
  <c r="AG323" i="3"/>
  <c r="X91" i="3"/>
  <c r="X151" i="3" s="1"/>
  <c r="Z206" i="3"/>
  <c r="AG364" i="3"/>
  <c r="AF405" i="3"/>
  <c r="AF428" i="3" s="1"/>
  <c r="AG396" i="3"/>
  <c r="AG418" i="3"/>
  <c r="AG333" i="3"/>
  <c r="AG376" i="3"/>
  <c r="AG377" i="3"/>
  <c r="AG299" i="3"/>
  <c r="AG356" i="3"/>
  <c r="AG412" i="3"/>
  <c r="AG317" i="3"/>
  <c r="AG361" i="3"/>
  <c r="AG315" i="3"/>
  <c r="AG320" i="3"/>
  <c r="AG365" i="3"/>
  <c r="Y135" i="3"/>
  <c r="AG324" i="3"/>
  <c r="Q91" i="3"/>
  <c r="Q151" i="3" s="1"/>
  <c r="Y91" i="3"/>
  <c r="Y200" i="3"/>
  <c r="AG362" i="3"/>
  <c r="AG400" i="3"/>
  <c r="Q229" i="3"/>
  <c r="AG389" i="3"/>
  <c r="AG331" i="3"/>
  <c r="AG401" i="3"/>
  <c r="AG309" i="3"/>
  <c r="AG327" i="3"/>
  <c r="AG330" i="3"/>
  <c r="AG357" i="3"/>
  <c r="AG402" i="3"/>
  <c r="AG326" i="3"/>
  <c r="AG407" i="3"/>
  <c r="AG419" i="3"/>
  <c r="AG394" i="3"/>
  <c r="R180" i="3"/>
  <c r="R206" i="3" s="1"/>
  <c r="AG358" i="3"/>
  <c r="AG359" i="3"/>
  <c r="AG355" i="3"/>
  <c r="AG310" i="3"/>
  <c r="AG367" i="3"/>
  <c r="AG380" i="3"/>
  <c r="Q135" i="3"/>
  <c r="AG189" i="3"/>
  <c r="AG200" i="3" s="1"/>
  <c r="Q427" i="3"/>
  <c r="P206" i="3"/>
  <c r="AG414" i="3"/>
  <c r="AG387" i="3"/>
  <c r="AG304" i="3"/>
  <c r="AG393" i="3"/>
  <c r="AG321" i="3"/>
  <c r="AG360" i="3"/>
  <c r="AG417" i="3"/>
  <c r="AG308" i="3"/>
  <c r="AG303" i="3"/>
  <c r="AG366" i="3"/>
  <c r="AG354" i="3"/>
  <c r="AG293" i="3"/>
  <c r="AG353" i="3"/>
  <c r="AG385" i="3"/>
  <c r="AG386" i="3"/>
  <c r="AG328" i="3"/>
  <c r="AG332" i="3"/>
  <c r="AG421" i="3"/>
  <c r="AG413" i="3"/>
  <c r="AG319" i="3"/>
  <c r="AG306" i="3"/>
  <c r="AG388" i="3"/>
  <c r="AA206" i="3"/>
  <c r="V405" i="3"/>
  <c r="V428" i="3" s="1"/>
  <c r="V290" i="3"/>
  <c r="V291" i="3" s="1"/>
  <c r="V159" i="3"/>
  <c r="Q405" i="3"/>
  <c r="R91" i="3"/>
  <c r="R151" i="3" s="1"/>
  <c r="G206" i="3"/>
  <c r="P428" i="3"/>
  <c r="G428" i="3"/>
  <c r="J428" i="3"/>
  <c r="AC427" i="3"/>
  <c r="Z428" i="3"/>
  <c r="AE427" i="3"/>
  <c r="AA428" i="3"/>
  <c r="AB428" i="3"/>
  <c r="Y427" i="3"/>
  <c r="AC405" i="3"/>
  <c r="AE405" i="3"/>
  <c r="R405" i="3"/>
  <c r="R428" i="3" s="1"/>
  <c r="Y405" i="3"/>
  <c r="R229" i="3"/>
  <c r="X405" i="3"/>
  <c r="X428" i="3" s="1"/>
  <c r="V143" i="3"/>
  <c r="V151" i="3" s="1"/>
  <c r="Y229" i="3"/>
  <c r="Y143" i="3"/>
  <c r="AG112" i="3"/>
  <c r="Q180" i="3"/>
  <c r="Z291" i="3"/>
  <c r="U291" i="3"/>
  <c r="Q290" i="3"/>
  <c r="Q291" i="3" s="1"/>
  <c r="R291" i="3"/>
  <c r="J291" i="3"/>
  <c r="AA291" i="3"/>
  <c r="G291" i="3"/>
  <c r="Q205" i="3"/>
  <c r="Y31" i="3"/>
  <c r="Y151" i="3" s="1"/>
  <c r="AH200" i="3"/>
  <c r="AH206" i="3" s="1"/>
  <c r="V200" i="3"/>
  <c r="Y290" i="3"/>
  <c r="AC200" i="3"/>
  <c r="AC206" i="3" s="1"/>
  <c r="AG34" i="3"/>
  <c r="AG151" i="3" l="1"/>
  <c r="Y206" i="3"/>
  <c r="Q428" i="3"/>
  <c r="AG206" i="3"/>
  <c r="V206" i="3"/>
  <c r="AG427" i="3"/>
  <c r="Y428" i="3"/>
  <c r="AE428" i="3"/>
  <c r="AH428" i="3"/>
  <c r="AC428" i="3"/>
  <c r="AG405" i="3"/>
  <c r="Y291" i="3"/>
  <c r="AG428" i="3" l="1"/>
  <c r="AG429" i="3" s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X35" i="1"/>
  <c r="W35" i="1"/>
  <c r="T35" i="1"/>
  <c r="S35" i="1"/>
  <c r="O35" i="1"/>
  <c r="N35" i="1"/>
  <c r="M35" i="1"/>
  <c r="L35" i="1"/>
  <c r="J35" i="1"/>
  <c r="I35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X37" i="1"/>
  <c r="W37" i="1"/>
  <c r="T37" i="1"/>
  <c r="S37" i="1"/>
  <c r="Q37" i="1"/>
  <c r="O37" i="1"/>
  <c r="N37" i="1"/>
  <c r="M37" i="1"/>
  <c r="L37" i="1"/>
  <c r="J37" i="1"/>
  <c r="I37" i="1"/>
  <c r="G37" i="1"/>
  <c r="AH363" i="1"/>
  <c r="AF363" i="1"/>
  <c r="AC363" i="1"/>
  <c r="X363" i="1"/>
  <c r="W363" i="1"/>
  <c r="T363" i="1"/>
  <c r="S363" i="1"/>
  <c r="N363" i="1"/>
  <c r="L363" i="1"/>
  <c r="I363" i="1"/>
  <c r="AB362" i="1"/>
  <c r="Z362" i="1"/>
  <c r="AA362" i="1" s="1"/>
  <c r="U362" i="1"/>
  <c r="P362" i="1"/>
  <c r="R362" i="1" s="1"/>
  <c r="K362" i="1"/>
  <c r="H362" i="1"/>
  <c r="AB361" i="1"/>
  <c r="Z361" i="1"/>
  <c r="AA361" i="1" s="1"/>
  <c r="U361" i="1"/>
  <c r="P361" i="1"/>
  <c r="R361" i="1" s="1"/>
  <c r="K361" i="1"/>
  <c r="H361" i="1"/>
  <c r="G360" i="1"/>
  <c r="P360" i="1" s="1"/>
  <c r="G359" i="1"/>
  <c r="G358" i="1"/>
  <c r="U358" i="1" s="1"/>
  <c r="V358" i="1" s="1"/>
  <c r="G357" i="1"/>
  <c r="AB356" i="1"/>
  <c r="AJ356" i="1" s="1"/>
  <c r="Z356" i="1"/>
  <c r="AA356" i="1" s="1"/>
  <c r="U356" i="1"/>
  <c r="V356" i="1" s="1"/>
  <c r="P356" i="1"/>
  <c r="K356" i="1"/>
  <c r="H356" i="1"/>
  <c r="Z355" i="1"/>
  <c r="AA355" i="1" s="1"/>
  <c r="U355" i="1"/>
  <c r="V355" i="1" s="1"/>
  <c r="P355" i="1"/>
  <c r="K355" i="1"/>
  <c r="H355" i="1"/>
  <c r="Z354" i="1"/>
  <c r="AA354" i="1" s="1"/>
  <c r="U354" i="1"/>
  <c r="P354" i="1"/>
  <c r="R354" i="1" s="1"/>
  <c r="K354" i="1"/>
  <c r="H354" i="1"/>
  <c r="G353" i="1"/>
  <c r="G352" i="1"/>
  <c r="U352" i="1" s="1"/>
  <c r="V352" i="1" s="1"/>
  <c r="G351" i="1"/>
  <c r="U351" i="1" s="1"/>
  <c r="V351" i="1" s="1"/>
  <c r="G350" i="1"/>
  <c r="G349" i="1"/>
  <c r="Z349" i="1" s="1"/>
  <c r="AA349" i="1" s="1"/>
  <c r="G348" i="1"/>
  <c r="Z348" i="1" s="1"/>
  <c r="AA348" i="1" s="1"/>
  <c r="G347" i="1"/>
  <c r="Z347" i="1" s="1"/>
  <c r="AA347" i="1" s="1"/>
  <c r="AQ346" i="1"/>
  <c r="AQ364" i="1" s="1"/>
  <c r="AP346" i="1"/>
  <c r="AP364" i="1" s="1"/>
  <c r="AO346" i="1"/>
  <c r="AN346" i="1"/>
  <c r="AM346" i="1"/>
  <c r="AM364" i="1" s="1"/>
  <c r="AL346" i="1"/>
  <c r="AL364" i="1" s="1"/>
  <c r="AK346" i="1"/>
  <c r="AK364" i="1" s="1"/>
  <c r="AC346" i="1"/>
  <c r="O346" i="1"/>
  <c r="N346" i="1"/>
  <c r="M346" i="1"/>
  <c r="M363" i="1" s="1"/>
  <c r="L346" i="1"/>
  <c r="J346" i="1"/>
  <c r="J363" i="1" s="1"/>
  <c r="I346" i="1"/>
  <c r="G345" i="1"/>
  <c r="U345" i="1" s="1"/>
  <c r="V345" i="1" s="1"/>
  <c r="G344" i="1"/>
  <c r="U344" i="1" s="1"/>
  <c r="V344" i="1" s="1"/>
  <c r="G343" i="1"/>
  <c r="Z343" i="1" s="1"/>
  <c r="AA343" i="1" s="1"/>
  <c r="G342" i="1"/>
  <c r="Z342" i="1" s="1"/>
  <c r="AA342" i="1" s="1"/>
  <c r="G340" i="1"/>
  <c r="G339" i="1"/>
  <c r="H339" i="1" s="1"/>
  <c r="G337" i="1"/>
  <c r="H337" i="1" s="1"/>
  <c r="G336" i="1"/>
  <c r="H336" i="1" s="1"/>
  <c r="G334" i="1"/>
  <c r="Z334" i="1" s="1"/>
  <c r="AA334" i="1" s="1"/>
  <c r="G333" i="1"/>
  <c r="G332" i="1"/>
  <c r="Z332" i="1" s="1"/>
  <c r="AA332" i="1" s="1"/>
  <c r="G331" i="1"/>
  <c r="Z331" i="1" s="1"/>
  <c r="AA331" i="1" s="1"/>
  <c r="G330" i="1"/>
  <c r="H330" i="1" s="1"/>
  <c r="G329" i="1"/>
  <c r="H329" i="1" s="1"/>
  <c r="G328" i="1"/>
  <c r="Z328" i="1" s="1"/>
  <c r="AA328" i="1" s="1"/>
  <c r="G327" i="1"/>
  <c r="Z327" i="1" s="1"/>
  <c r="AA327" i="1" s="1"/>
  <c r="G325" i="1"/>
  <c r="Z325" i="1" s="1"/>
  <c r="AA325" i="1" s="1"/>
  <c r="G324" i="1"/>
  <c r="H324" i="1" s="1"/>
  <c r="G323" i="1"/>
  <c r="H323" i="1" s="1"/>
  <c r="G322" i="1"/>
  <c r="H322" i="1" s="1"/>
  <c r="G321" i="1"/>
  <c r="U321" i="1" s="1"/>
  <c r="V321" i="1" s="1"/>
  <c r="G320" i="1"/>
  <c r="U320" i="1" s="1"/>
  <c r="V320" i="1" s="1"/>
  <c r="G319" i="1"/>
  <c r="Z319" i="1" s="1"/>
  <c r="AA319" i="1" s="1"/>
  <c r="G318" i="1"/>
  <c r="H318" i="1" s="1"/>
  <c r="G317" i="1"/>
  <c r="P317" i="1" s="1"/>
  <c r="Q317" i="1" s="1"/>
  <c r="G316" i="1"/>
  <c r="P316" i="1" s="1"/>
  <c r="G315" i="1"/>
  <c r="Z315" i="1" s="1"/>
  <c r="AA315" i="1" s="1"/>
  <c r="G314" i="1"/>
  <c r="U314" i="1" s="1"/>
  <c r="V314" i="1" s="1"/>
  <c r="G313" i="1"/>
  <c r="U313" i="1" s="1"/>
  <c r="V313" i="1" s="1"/>
  <c r="G312" i="1"/>
  <c r="U312" i="1" s="1"/>
  <c r="V312" i="1" s="1"/>
  <c r="G311" i="1"/>
  <c r="Z311" i="1" s="1"/>
  <c r="AA311" i="1" s="1"/>
  <c r="G310" i="1"/>
  <c r="G309" i="1"/>
  <c r="Z309" i="1" s="1"/>
  <c r="AA309" i="1" s="1"/>
  <c r="G308" i="1"/>
  <c r="Z308" i="1" s="1"/>
  <c r="AA308" i="1" s="1"/>
  <c r="G307" i="1"/>
  <c r="Z307" i="1" s="1"/>
  <c r="AA307" i="1" s="1"/>
  <c r="G306" i="1"/>
  <c r="G305" i="1"/>
  <c r="Z305" i="1" s="1"/>
  <c r="AA305" i="1" s="1"/>
  <c r="G304" i="1"/>
  <c r="Z304" i="1" s="1"/>
  <c r="AA304" i="1" s="1"/>
  <c r="G303" i="1"/>
  <c r="Z303" i="1" s="1"/>
  <c r="AA303" i="1" s="1"/>
  <c r="G302" i="1"/>
  <c r="P302" i="1" s="1"/>
  <c r="G301" i="1"/>
  <c r="Z301" i="1" s="1"/>
  <c r="AA301" i="1" s="1"/>
  <c r="G300" i="1"/>
  <c r="Z300" i="1" s="1"/>
  <c r="AA300" i="1" s="1"/>
  <c r="G299" i="1"/>
  <c r="Z299" i="1" s="1"/>
  <c r="AA299" i="1" s="1"/>
  <c r="G298" i="1"/>
  <c r="U298" i="1" s="1"/>
  <c r="V298" i="1" s="1"/>
  <c r="G297" i="1"/>
  <c r="Z297" i="1" s="1"/>
  <c r="AA297" i="1" s="1"/>
  <c r="G296" i="1"/>
  <c r="AB295" i="1"/>
  <c r="AE295" i="1" s="1"/>
  <c r="Z295" i="1"/>
  <c r="AA295" i="1" s="1"/>
  <c r="U295" i="1"/>
  <c r="V295" i="1" s="1"/>
  <c r="P295" i="1"/>
  <c r="K295" i="1"/>
  <c r="H295" i="1"/>
  <c r="AB294" i="1"/>
  <c r="AJ294" i="1" s="1"/>
  <c r="Z294" i="1"/>
  <c r="AA294" i="1" s="1"/>
  <c r="U294" i="1"/>
  <c r="V294" i="1" s="1"/>
  <c r="P294" i="1"/>
  <c r="R294" i="1" s="1"/>
  <c r="K294" i="1"/>
  <c r="H294" i="1"/>
  <c r="AB293" i="1"/>
  <c r="AJ293" i="1" s="1"/>
  <c r="Z293" i="1"/>
  <c r="AA293" i="1" s="1"/>
  <c r="U293" i="1"/>
  <c r="V293" i="1" s="1"/>
  <c r="P293" i="1"/>
  <c r="R293" i="1" s="1"/>
  <c r="K293" i="1"/>
  <c r="H293" i="1"/>
  <c r="G292" i="1"/>
  <c r="AB292" i="1" s="1"/>
  <c r="AJ292" i="1" s="1"/>
  <c r="G291" i="1"/>
  <c r="Z291" i="1" s="1"/>
  <c r="AA291" i="1" s="1"/>
  <c r="G290" i="1"/>
  <c r="Z290" i="1" s="1"/>
  <c r="AA290" i="1" s="1"/>
  <c r="G289" i="1"/>
  <c r="AB289" i="1" s="1"/>
  <c r="AE289" i="1" s="1"/>
  <c r="G288" i="1"/>
  <c r="G287" i="1"/>
  <c r="U287" i="1" s="1"/>
  <c r="V287" i="1" s="1"/>
  <c r="G286" i="1"/>
  <c r="P286" i="1" s="1"/>
  <c r="G285" i="1"/>
  <c r="Z285" i="1" s="1"/>
  <c r="AA285" i="1" s="1"/>
  <c r="G284" i="1"/>
  <c r="Z284" i="1" s="1"/>
  <c r="AA284" i="1" s="1"/>
  <c r="G283" i="1"/>
  <c r="G282" i="1"/>
  <c r="U282" i="1" s="1"/>
  <c r="V282" i="1" s="1"/>
  <c r="G281" i="1"/>
  <c r="Z281" i="1" s="1"/>
  <c r="AA281" i="1" s="1"/>
  <c r="G280" i="1"/>
  <c r="Z280" i="1" s="1"/>
  <c r="AA280" i="1" s="1"/>
  <c r="G279" i="1"/>
  <c r="Z279" i="1" s="1"/>
  <c r="AA279" i="1" s="1"/>
  <c r="G278" i="1"/>
  <c r="G277" i="1"/>
  <c r="U277" i="1" s="1"/>
  <c r="V277" i="1" s="1"/>
  <c r="G276" i="1"/>
  <c r="Z276" i="1" s="1"/>
  <c r="AA276" i="1" s="1"/>
  <c r="G275" i="1"/>
  <c r="Z275" i="1" s="1"/>
  <c r="AA275" i="1" s="1"/>
  <c r="G274" i="1"/>
  <c r="G273" i="1"/>
  <c r="U273" i="1" s="1"/>
  <c r="V273" i="1" s="1"/>
  <c r="G272" i="1"/>
  <c r="Z272" i="1" s="1"/>
  <c r="AA272" i="1" s="1"/>
  <c r="G271" i="1"/>
  <c r="P271" i="1" s="1"/>
  <c r="G269" i="1"/>
  <c r="P269" i="1" s="1"/>
  <c r="G268" i="1"/>
  <c r="P268" i="1" s="1"/>
  <c r="R268" i="1" s="1"/>
  <c r="G267" i="1"/>
  <c r="P267" i="1" s="1"/>
  <c r="G266" i="1"/>
  <c r="P266" i="1" s="1"/>
  <c r="G265" i="1"/>
  <c r="P265" i="1" s="1"/>
  <c r="G264" i="1"/>
  <c r="P264" i="1" s="1"/>
  <c r="G263" i="1"/>
  <c r="P263" i="1" s="1"/>
  <c r="R263" i="1" s="1"/>
  <c r="G262" i="1"/>
  <c r="P262" i="1" s="1"/>
  <c r="G261" i="1"/>
  <c r="G260" i="1"/>
  <c r="P260" i="1" s="1"/>
  <c r="R260" i="1" s="1"/>
  <c r="G259" i="1"/>
  <c r="G258" i="1"/>
  <c r="P258" i="1" s="1"/>
  <c r="Q258" i="1" s="1"/>
  <c r="G257" i="1"/>
  <c r="P257" i="1" s="1"/>
  <c r="R257" i="1" s="1"/>
  <c r="G256" i="1"/>
  <c r="P256" i="1" s="1"/>
  <c r="Q256" i="1" s="1"/>
  <c r="G255" i="1"/>
  <c r="P255" i="1" s="1"/>
  <c r="Q255" i="1" s="1"/>
  <c r="AB254" i="1"/>
  <c r="AG254" i="1" s="1"/>
  <c r="Z254" i="1"/>
  <c r="AA254" i="1" s="1"/>
  <c r="U254" i="1"/>
  <c r="V254" i="1" s="1"/>
  <c r="P254" i="1"/>
  <c r="K254" i="1"/>
  <c r="H254" i="1"/>
  <c r="G252" i="1"/>
  <c r="Z252" i="1" s="1"/>
  <c r="AA252" i="1" s="1"/>
  <c r="G251" i="1"/>
  <c r="Z251" i="1" s="1"/>
  <c r="AA251" i="1" s="1"/>
  <c r="G250" i="1"/>
  <c r="H250" i="1" s="1"/>
  <c r="G249" i="1"/>
  <c r="Z249" i="1" s="1"/>
  <c r="T248" i="1"/>
  <c r="S248" i="1"/>
  <c r="O248" i="1"/>
  <c r="N248" i="1"/>
  <c r="M248" i="1"/>
  <c r="L248" i="1"/>
  <c r="J248" i="1"/>
  <c r="I248" i="1"/>
  <c r="Z247" i="1"/>
  <c r="AA247" i="1" s="1"/>
  <c r="U247" i="1"/>
  <c r="V247" i="1" s="1"/>
  <c r="P247" i="1"/>
  <c r="K247" i="1"/>
  <c r="H247" i="1"/>
  <c r="Z246" i="1"/>
  <c r="AA246" i="1" s="1"/>
  <c r="U246" i="1"/>
  <c r="P246" i="1"/>
  <c r="R246" i="1" s="1"/>
  <c r="K246" i="1"/>
  <c r="H246" i="1"/>
  <c r="Z245" i="1"/>
  <c r="AA245" i="1" s="1"/>
  <c r="U245" i="1"/>
  <c r="V245" i="1" s="1"/>
  <c r="P245" i="1"/>
  <c r="K245" i="1"/>
  <c r="H245" i="1"/>
  <c r="Z244" i="1"/>
  <c r="AA244" i="1" s="1"/>
  <c r="W244" i="1"/>
  <c r="X244" i="1" s="1"/>
  <c r="U244" i="1"/>
  <c r="V244" i="1" s="1"/>
  <c r="K244" i="1"/>
  <c r="H244" i="1"/>
  <c r="Z243" i="1"/>
  <c r="AA243" i="1" s="1"/>
  <c r="U243" i="1"/>
  <c r="V243" i="1" s="1"/>
  <c r="P243" i="1"/>
  <c r="K243" i="1"/>
  <c r="H243" i="1"/>
  <c r="G242" i="1"/>
  <c r="G241" i="1"/>
  <c r="H241" i="1" s="1"/>
  <c r="G240" i="1"/>
  <c r="K240" i="1" s="1"/>
  <c r="G239" i="1"/>
  <c r="U239" i="1" s="1"/>
  <c r="V239" i="1" s="1"/>
  <c r="G238" i="1"/>
  <c r="Z238" i="1" s="1"/>
  <c r="AA238" i="1" s="1"/>
  <c r="G237" i="1"/>
  <c r="P237" i="1" s="1"/>
  <c r="G236" i="1"/>
  <c r="Z236" i="1" s="1"/>
  <c r="AA236" i="1" s="1"/>
  <c r="G235" i="1"/>
  <c r="U235" i="1" s="1"/>
  <c r="G234" i="1"/>
  <c r="P234" i="1" s="1"/>
  <c r="G233" i="1"/>
  <c r="K233" i="1" s="1"/>
  <c r="G232" i="1"/>
  <c r="W232" i="1" s="1"/>
  <c r="X232" i="1" s="1"/>
  <c r="G231" i="1"/>
  <c r="Z231" i="1" s="1"/>
  <c r="AA231" i="1" s="1"/>
  <c r="G230" i="1"/>
  <c r="G229" i="1"/>
  <c r="G228" i="1"/>
  <c r="Z228" i="1" s="1"/>
  <c r="AA228" i="1" s="1"/>
  <c r="G227" i="1"/>
  <c r="P227" i="1" s="1"/>
  <c r="G226" i="1"/>
  <c r="P226" i="1" s="1"/>
  <c r="G225" i="1"/>
  <c r="K225" i="1" s="1"/>
  <c r="G224" i="1"/>
  <c r="U224" i="1" s="1"/>
  <c r="V224" i="1" s="1"/>
  <c r="G223" i="1"/>
  <c r="Z223" i="1" s="1"/>
  <c r="AA223" i="1" s="1"/>
  <c r="G222" i="1"/>
  <c r="K222" i="1" s="1"/>
  <c r="G221" i="1"/>
  <c r="G220" i="1"/>
  <c r="Z220" i="1" s="1"/>
  <c r="AA220" i="1" s="1"/>
  <c r="G219" i="1"/>
  <c r="U219" i="1" s="1"/>
  <c r="G218" i="1"/>
  <c r="P218" i="1" s="1"/>
  <c r="G217" i="1"/>
  <c r="K217" i="1" s="1"/>
  <c r="G216" i="1"/>
  <c r="W216" i="1" s="1"/>
  <c r="X216" i="1" s="1"/>
  <c r="G215" i="1"/>
  <c r="Z215" i="1" s="1"/>
  <c r="AA215" i="1" s="1"/>
  <c r="G214" i="1"/>
  <c r="K214" i="1" s="1"/>
  <c r="G213" i="1"/>
  <c r="Z213" i="1" s="1"/>
  <c r="AA213" i="1" s="1"/>
  <c r="Z212" i="1"/>
  <c r="AA212" i="1" s="1"/>
  <c r="U212" i="1"/>
  <c r="P212" i="1"/>
  <c r="K212" i="1"/>
  <c r="H212" i="1"/>
  <c r="X211" i="1"/>
  <c r="W211" i="1"/>
  <c r="T211" i="1"/>
  <c r="S211" i="1"/>
  <c r="N211" i="1"/>
  <c r="L211" i="1"/>
  <c r="I211" i="1"/>
  <c r="Z210" i="1"/>
  <c r="AA210" i="1" s="1"/>
  <c r="U210" i="1"/>
  <c r="V210" i="1" s="1"/>
  <c r="P210" i="1"/>
  <c r="R210" i="1" s="1"/>
  <c r="K210" i="1"/>
  <c r="H210" i="1"/>
  <c r="Z209" i="1"/>
  <c r="AA209" i="1" s="1"/>
  <c r="U209" i="1"/>
  <c r="V209" i="1" s="1"/>
  <c r="P209" i="1"/>
  <c r="K209" i="1"/>
  <c r="H209" i="1"/>
  <c r="Z208" i="1"/>
  <c r="AA208" i="1" s="1"/>
  <c r="U208" i="1"/>
  <c r="V208" i="1" s="1"/>
  <c r="P208" i="1"/>
  <c r="K208" i="1"/>
  <c r="H208" i="1"/>
  <c r="Z207" i="1"/>
  <c r="AA207" i="1" s="1"/>
  <c r="U207" i="1"/>
  <c r="V207" i="1" s="1"/>
  <c r="P207" i="1"/>
  <c r="Q207" i="1" s="1"/>
  <c r="K207" i="1"/>
  <c r="H207" i="1"/>
  <c r="G206" i="1"/>
  <c r="U206" i="1" s="1"/>
  <c r="Z205" i="1"/>
  <c r="AA205" i="1" s="1"/>
  <c r="U205" i="1"/>
  <c r="V205" i="1" s="1"/>
  <c r="P205" i="1"/>
  <c r="K205" i="1"/>
  <c r="H205" i="1"/>
  <c r="G204" i="1"/>
  <c r="K204" i="1" s="1"/>
  <c r="Z203" i="1"/>
  <c r="U203" i="1"/>
  <c r="V203" i="1" s="1"/>
  <c r="P203" i="1"/>
  <c r="R203" i="1" s="1"/>
  <c r="K203" i="1"/>
  <c r="H203" i="1"/>
  <c r="X202" i="1"/>
  <c r="T202" i="1"/>
  <c r="S202" i="1"/>
  <c r="R202" i="1"/>
  <c r="O202" i="1"/>
  <c r="N202" i="1"/>
  <c r="M202" i="1"/>
  <c r="L202" i="1"/>
  <c r="J202" i="1"/>
  <c r="I202" i="1"/>
  <c r="G201" i="1"/>
  <c r="K201" i="1" s="1"/>
  <c r="Z200" i="1"/>
  <c r="AA200" i="1" s="1"/>
  <c r="U200" i="1"/>
  <c r="V200" i="1" s="1"/>
  <c r="P200" i="1"/>
  <c r="Q200" i="1" s="1"/>
  <c r="K200" i="1"/>
  <c r="H200" i="1"/>
  <c r="G199" i="1"/>
  <c r="Z199" i="1" s="1"/>
  <c r="AA199" i="1" s="1"/>
  <c r="G198" i="1"/>
  <c r="K198" i="1" s="1"/>
  <c r="X197" i="1"/>
  <c r="W197" i="1"/>
  <c r="T197" i="1"/>
  <c r="S197" i="1"/>
  <c r="O197" i="1"/>
  <c r="N197" i="1"/>
  <c r="M197" i="1"/>
  <c r="L197" i="1"/>
  <c r="J197" i="1"/>
  <c r="I197" i="1"/>
  <c r="Z196" i="1"/>
  <c r="AA196" i="1" s="1"/>
  <c r="U196" i="1"/>
  <c r="V196" i="1" s="1"/>
  <c r="P196" i="1"/>
  <c r="R196" i="1" s="1"/>
  <c r="K196" i="1"/>
  <c r="H196" i="1"/>
  <c r="G195" i="1"/>
  <c r="Z195" i="1" s="1"/>
  <c r="AA195" i="1" s="1"/>
  <c r="G194" i="1"/>
  <c r="G193" i="1"/>
  <c r="K193" i="1" s="1"/>
  <c r="G192" i="1"/>
  <c r="Z192" i="1" s="1"/>
  <c r="AA192" i="1" s="1"/>
  <c r="G191" i="1"/>
  <c r="Z191" i="1" s="1"/>
  <c r="AA191" i="1" s="1"/>
  <c r="G190" i="1"/>
  <c r="P190" i="1" s="1"/>
  <c r="R190" i="1" s="1"/>
  <c r="G189" i="1"/>
  <c r="P189" i="1" s="1"/>
  <c r="G188" i="1"/>
  <c r="G187" i="1"/>
  <c r="Z187" i="1" s="1"/>
  <c r="AA187" i="1" s="1"/>
  <c r="G186" i="1"/>
  <c r="Z186" i="1" s="1"/>
  <c r="AA186" i="1" s="1"/>
  <c r="G185" i="1"/>
  <c r="K185" i="1" s="1"/>
  <c r="G184" i="1"/>
  <c r="Z184" i="1" s="1"/>
  <c r="AA184" i="1" s="1"/>
  <c r="Z183" i="1"/>
  <c r="AA183" i="1" s="1"/>
  <c r="U183" i="1"/>
  <c r="V183" i="1" s="1"/>
  <c r="P183" i="1"/>
  <c r="K183" i="1"/>
  <c r="H183" i="1"/>
  <c r="G182" i="1"/>
  <c r="Z182" i="1" s="1"/>
  <c r="AA182" i="1" s="1"/>
  <c r="G181" i="1"/>
  <c r="P181" i="1" s="1"/>
  <c r="R181" i="1" s="1"/>
  <c r="G180" i="1"/>
  <c r="Z180" i="1" s="1"/>
  <c r="AA180" i="1" s="1"/>
  <c r="G179" i="1"/>
  <c r="P179" i="1" s="1"/>
  <c r="G178" i="1"/>
  <c r="X177" i="1"/>
  <c r="W177" i="1"/>
  <c r="T177" i="1"/>
  <c r="S177" i="1"/>
  <c r="Q177" i="1"/>
  <c r="O177" i="1"/>
  <c r="N177" i="1"/>
  <c r="M177" i="1"/>
  <c r="L177" i="1"/>
  <c r="J177" i="1"/>
  <c r="I177" i="1"/>
  <c r="G177" i="1"/>
  <c r="Z176" i="1"/>
  <c r="U176" i="1"/>
  <c r="U177" i="1" s="1"/>
  <c r="P176" i="1"/>
  <c r="R176" i="1" s="1"/>
  <c r="R177" i="1" s="1"/>
  <c r="K176" i="1"/>
  <c r="K177" i="1" s="1"/>
  <c r="H176" i="1"/>
  <c r="H177" i="1" s="1"/>
  <c r="X174" i="1"/>
  <c r="W174" i="1"/>
  <c r="T174" i="1"/>
  <c r="S174" i="1"/>
  <c r="Q174" i="1"/>
  <c r="O174" i="1"/>
  <c r="N174" i="1"/>
  <c r="M174" i="1"/>
  <c r="L174" i="1"/>
  <c r="J174" i="1"/>
  <c r="I174" i="1"/>
  <c r="G173" i="1"/>
  <c r="H173" i="1" s="1"/>
  <c r="Z172" i="1"/>
  <c r="AA172" i="1" s="1"/>
  <c r="U172" i="1"/>
  <c r="V172" i="1" s="1"/>
  <c r="P172" i="1"/>
  <c r="R172" i="1" s="1"/>
  <c r="K172" i="1"/>
  <c r="H172" i="1"/>
  <c r="G171" i="1"/>
  <c r="P171" i="1" s="1"/>
  <c r="Z170" i="1"/>
  <c r="AA170" i="1" s="1"/>
  <c r="U170" i="1"/>
  <c r="P170" i="1"/>
  <c r="R170" i="1" s="1"/>
  <c r="K170" i="1"/>
  <c r="H170" i="1"/>
  <c r="O169" i="1"/>
  <c r="N169" i="1"/>
  <c r="M169" i="1"/>
  <c r="L169" i="1"/>
  <c r="J169" i="1"/>
  <c r="I169" i="1"/>
  <c r="G168" i="1"/>
  <c r="Z167" i="1"/>
  <c r="AA167" i="1" s="1"/>
  <c r="U167" i="1"/>
  <c r="V167" i="1" s="1"/>
  <c r="P167" i="1"/>
  <c r="K167" i="1"/>
  <c r="H167" i="1"/>
  <c r="G166" i="1"/>
  <c r="G165" i="1"/>
  <c r="Z164" i="1"/>
  <c r="AA164" i="1" s="1"/>
  <c r="U164" i="1"/>
  <c r="V164" i="1" s="1"/>
  <c r="P164" i="1"/>
  <c r="R164" i="1" s="1"/>
  <c r="K164" i="1"/>
  <c r="H164" i="1"/>
  <c r="G163" i="1"/>
  <c r="Z163" i="1" s="1"/>
  <c r="AA163" i="1" s="1"/>
  <c r="G162" i="1"/>
  <c r="G161" i="1"/>
  <c r="P161" i="1" s="1"/>
  <c r="Z160" i="1"/>
  <c r="AA160" i="1" s="1"/>
  <c r="U160" i="1"/>
  <c r="V160" i="1" s="1"/>
  <c r="P160" i="1"/>
  <c r="R160" i="1" s="1"/>
  <c r="K160" i="1"/>
  <c r="H160" i="1"/>
  <c r="Z159" i="1"/>
  <c r="AA159" i="1" s="1"/>
  <c r="U159" i="1"/>
  <c r="V159" i="1" s="1"/>
  <c r="G159" i="1"/>
  <c r="H159" i="1" s="1"/>
  <c r="X158" i="1"/>
  <c r="T158" i="1"/>
  <c r="S158" i="1"/>
  <c r="N158" i="1"/>
  <c r="L158" i="1"/>
  <c r="I158" i="1"/>
  <c r="Z157" i="1"/>
  <c r="AA157" i="1" s="1"/>
  <c r="U157" i="1"/>
  <c r="V157" i="1" s="1"/>
  <c r="P157" i="1"/>
  <c r="K157" i="1"/>
  <c r="H157" i="1"/>
  <c r="Z156" i="1"/>
  <c r="AA156" i="1" s="1"/>
  <c r="U156" i="1"/>
  <c r="V156" i="1" s="1"/>
  <c r="P156" i="1"/>
  <c r="K156" i="1"/>
  <c r="H156" i="1"/>
  <c r="G155" i="1"/>
  <c r="H155" i="1" s="1"/>
  <c r="G154" i="1"/>
  <c r="P154" i="1" s="1"/>
  <c r="R154" i="1" s="1"/>
  <c r="Z153" i="1"/>
  <c r="AA153" i="1" s="1"/>
  <c r="U153" i="1"/>
  <c r="V153" i="1" s="1"/>
  <c r="P153" i="1"/>
  <c r="K153" i="1"/>
  <c r="H153" i="1"/>
  <c r="G152" i="1"/>
  <c r="W152" i="1" s="1"/>
  <c r="W158" i="1" s="1"/>
  <c r="G151" i="1"/>
  <c r="P151" i="1" s="1"/>
  <c r="G150" i="1"/>
  <c r="U150" i="1" s="1"/>
  <c r="V150" i="1" s="1"/>
  <c r="G149" i="1"/>
  <c r="H149" i="1" s="1"/>
  <c r="X147" i="1"/>
  <c r="W147" i="1"/>
  <c r="T147" i="1"/>
  <c r="S147" i="1"/>
  <c r="O147" i="1"/>
  <c r="N147" i="1"/>
  <c r="M147" i="1"/>
  <c r="L147" i="1"/>
  <c r="J147" i="1"/>
  <c r="I147" i="1"/>
  <c r="G146" i="1"/>
  <c r="Z146" i="1" s="1"/>
  <c r="AA146" i="1" s="1"/>
  <c r="G145" i="1"/>
  <c r="Z145" i="1" s="1"/>
  <c r="AA145" i="1" s="1"/>
  <c r="Z144" i="1"/>
  <c r="AA144" i="1" s="1"/>
  <c r="U144" i="1"/>
  <c r="V144" i="1" s="1"/>
  <c r="G144" i="1"/>
  <c r="P144" i="1" s="1"/>
  <c r="X143" i="1"/>
  <c r="W143" i="1"/>
  <c r="T143" i="1"/>
  <c r="S143" i="1"/>
  <c r="O143" i="1"/>
  <c r="N143" i="1"/>
  <c r="M143" i="1"/>
  <c r="L143" i="1"/>
  <c r="J143" i="1"/>
  <c r="I143" i="1"/>
  <c r="G142" i="1"/>
  <c r="P142" i="1" s="1"/>
  <c r="R142" i="1" s="1"/>
  <c r="G141" i="1"/>
  <c r="U141" i="1" s="1"/>
  <c r="V141" i="1" s="1"/>
  <c r="G140" i="1"/>
  <c r="H140" i="1" s="1"/>
  <c r="AA139" i="1"/>
  <c r="V139" i="1"/>
  <c r="P139" i="1"/>
  <c r="K139" i="1"/>
  <c r="H139" i="1"/>
  <c r="AQ138" i="1"/>
  <c r="AP138" i="1"/>
  <c r="AO138" i="1"/>
  <c r="AN138" i="1"/>
  <c r="AM138" i="1"/>
  <c r="AL138" i="1"/>
  <c r="AK138" i="1"/>
  <c r="AH138" i="1"/>
  <c r="AF138" i="1"/>
  <c r="AC138" i="1"/>
  <c r="X138" i="1"/>
  <c r="W138" i="1"/>
  <c r="T138" i="1"/>
  <c r="S138" i="1"/>
  <c r="N138" i="1"/>
  <c r="M138" i="1"/>
  <c r="L138" i="1"/>
  <c r="J138" i="1"/>
  <c r="I138" i="1"/>
  <c r="Z137" i="1"/>
  <c r="AA137" i="1" s="1"/>
  <c r="U137" i="1"/>
  <c r="V137" i="1" s="1"/>
  <c r="P137" i="1"/>
  <c r="K137" i="1"/>
  <c r="H137" i="1"/>
  <c r="Z136" i="1"/>
  <c r="AA136" i="1" s="1"/>
  <c r="U136" i="1"/>
  <c r="V136" i="1" s="1"/>
  <c r="P136" i="1"/>
  <c r="K136" i="1"/>
  <c r="H136" i="1"/>
  <c r="AB135" i="1"/>
  <c r="AJ135" i="1" s="1"/>
  <c r="Z135" i="1"/>
  <c r="AA135" i="1" s="1"/>
  <c r="U135" i="1"/>
  <c r="V135" i="1" s="1"/>
  <c r="P135" i="1"/>
  <c r="K135" i="1"/>
  <c r="H135" i="1"/>
  <c r="Z134" i="1"/>
  <c r="AA134" i="1" s="1"/>
  <c r="U134" i="1"/>
  <c r="V134" i="1" s="1"/>
  <c r="P134" i="1"/>
  <c r="K134" i="1"/>
  <c r="H134" i="1"/>
  <c r="G133" i="1"/>
  <c r="Z133" i="1" s="1"/>
  <c r="AA133" i="1" s="1"/>
  <c r="Z132" i="1"/>
  <c r="AA132" i="1" s="1"/>
  <c r="U132" i="1"/>
  <c r="V132" i="1" s="1"/>
  <c r="P132" i="1"/>
  <c r="K132" i="1"/>
  <c r="H132" i="1"/>
  <c r="G131" i="1"/>
  <c r="P131" i="1" s="1"/>
  <c r="G130" i="1"/>
  <c r="P130" i="1" s="1"/>
  <c r="Q130" i="1" s="1"/>
  <c r="G129" i="1"/>
  <c r="Z129" i="1" s="1"/>
  <c r="AA129" i="1" s="1"/>
  <c r="G128" i="1"/>
  <c r="U128" i="1" s="1"/>
  <c r="V128" i="1" s="1"/>
  <c r="G127" i="1"/>
  <c r="Z127" i="1" s="1"/>
  <c r="AA127" i="1" s="1"/>
  <c r="G126" i="1"/>
  <c r="U126" i="1" s="1"/>
  <c r="V126" i="1" s="1"/>
  <c r="Z125" i="1"/>
  <c r="U125" i="1"/>
  <c r="P125" i="1"/>
  <c r="K125" i="1"/>
  <c r="H125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F148" i="1" s="1"/>
  <c r="AE124" i="1"/>
  <c r="AD124" i="1"/>
  <c r="AC124" i="1"/>
  <c r="AB124" i="1"/>
  <c r="X124" i="1"/>
  <c r="W124" i="1"/>
  <c r="T124" i="1"/>
  <c r="S124" i="1"/>
  <c r="N124" i="1"/>
  <c r="M124" i="1"/>
  <c r="L124" i="1"/>
  <c r="J124" i="1"/>
  <c r="I124" i="1"/>
  <c r="G123" i="1"/>
  <c r="G122" i="1"/>
  <c r="Z122" i="1" s="1"/>
  <c r="AA122" i="1" s="1"/>
  <c r="G121" i="1"/>
  <c r="G120" i="1"/>
  <c r="U120" i="1" s="1"/>
  <c r="V120" i="1" s="1"/>
  <c r="G119" i="1"/>
  <c r="Z119" i="1" s="1"/>
  <c r="AA119" i="1" s="1"/>
  <c r="G118" i="1"/>
  <c r="P118" i="1" s="1"/>
  <c r="G117" i="1"/>
  <c r="G116" i="1"/>
  <c r="Z116" i="1" s="1"/>
  <c r="AA116" i="1" s="1"/>
  <c r="G115" i="1"/>
  <c r="P115" i="1" s="1"/>
  <c r="G114" i="1"/>
  <c r="Z114" i="1" s="1"/>
  <c r="AA114" i="1" s="1"/>
  <c r="G113" i="1"/>
  <c r="Z113" i="1" s="1"/>
  <c r="AA113" i="1" s="1"/>
  <c r="G112" i="1"/>
  <c r="Z112" i="1" s="1"/>
  <c r="AA112" i="1" s="1"/>
  <c r="G111" i="1"/>
  <c r="Z111" i="1" s="1"/>
  <c r="AA111" i="1" s="1"/>
  <c r="G110" i="1"/>
  <c r="P110" i="1" s="1"/>
  <c r="G109" i="1"/>
  <c r="Z109" i="1" s="1"/>
  <c r="AA109" i="1" s="1"/>
  <c r="Z108" i="1"/>
  <c r="AA108" i="1" s="1"/>
  <c r="U108" i="1"/>
  <c r="P108" i="1"/>
  <c r="R108" i="1" s="1"/>
  <c r="K108" i="1"/>
  <c r="H108" i="1"/>
  <c r="G107" i="1"/>
  <c r="P107" i="1" s="1"/>
  <c r="R107" i="1" s="1"/>
  <c r="G106" i="1"/>
  <c r="K106" i="1" s="1"/>
  <c r="AA105" i="1"/>
  <c r="U105" i="1"/>
  <c r="P105" i="1"/>
  <c r="R105" i="1" s="1"/>
  <c r="K105" i="1"/>
  <c r="H105" i="1"/>
  <c r="X104" i="1"/>
  <c r="W104" i="1"/>
  <c r="T104" i="1"/>
  <c r="S104" i="1"/>
  <c r="O104" i="1"/>
  <c r="N104" i="1"/>
  <c r="M104" i="1"/>
  <c r="L104" i="1"/>
  <c r="J104" i="1"/>
  <c r="I104" i="1"/>
  <c r="G103" i="1"/>
  <c r="Z103" i="1" s="1"/>
  <c r="AA103" i="1" s="1"/>
  <c r="G102" i="1"/>
  <c r="Z102" i="1" s="1"/>
  <c r="AA102" i="1" s="1"/>
  <c r="G101" i="1"/>
  <c r="Z101" i="1" s="1"/>
  <c r="AA101" i="1" s="1"/>
  <c r="G100" i="1"/>
  <c r="Z100" i="1" s="1"/>
  <c r="AA100" i="1" s="1"/>
  <c r="G99" i="1"/>
  <c r="P99" i="1" s="1"/>
  <c r="Q99" i="1" s="1"/>
  <c r="AA98" i="1"/>
  <c r="V98" i="1"/>
  <c r="P98" i="1"/>
  <c r="Y98" i="1" s="1"/>
  <c r="K98" i="1"/>
  <c r="H98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X96" i="1"/>
  <c r="T96" i="1"/>
  <c r="S96" i="1"/>
  <c r="O96" i="1"/>
  <c r="N96" i="1"/>
  <c r="M96" i="1"/>
  <c r="L96" i="1"/>
  <c r="J96" i="1"/>
  <c r="I96" i="1"/>
  <c r="G95" i="1"/>
  <c r="Z95" i="1" s="1"/>
  <c r="AA95" i="1" s="1"/>
  <c r="G94" i="1"/>
  <c r="K94" i="1" s="1"/>
  <c r="G93" i="1"/>
  <c r="U93" i="1" s="1"/>
  <c r="V93" i="1" s="1"/>
  <c r="G92" i="1"/>
  <c r="H92" i="1" s="1"/>
  <c r="X91" i="1"/>
  <c r="W91" i="1"/>
  <c r="T91" i="1"/>
  <c r="S91" i="1"/>
  <c r="Q91" i="1"/>
  <c r="N91" i="1"/>
  <c r="L91" i="1"/>
  <c r="I91" i="1"/>
  <c r="G90" i="1"/>
  <c r="G89" i="1"/>
  <c r="H89" i="1" s="1"/>
  <c r="Z88" i="1"/>
  <c r="U88" i="1"/>
  <c r="V88" i="1" s="1"/>
  <c r="P88" i="1"/>
  <c r="R88" i="1" s="1"/>
  <c r="K88" i="1"/>
  <c r="H88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X87" i="1"/>
  <c r="W87" i="1"/>
  <c r="T87" i="1"/>
  <c r="S87" i="1"/>
  <c r="O87" i="1"/>
  <c r="N87" i="1"/>
  <c r="M87" i="1"/>
  <c r="L87" i="1"/>
  <c r="J87" i="1"/>
  <c r="I87" i="1"/>
  <c r="G86" i="1"/>
  <c r="Z86" i="1" s="1"/>
  <c r="AA86" i="1" s="1"/>
  <c r="G85" i="1"/>
  <c r="Z85" i="1" s="1"/>
  <c r="AA85" i="1" s="1"/>
  <c r="G84" i="1"/>
  <c r="Z84" i="1" s="1"/>
  <c r="AA84" i="1" s="1"/>
  <c r="G83" i="1"/>
  <c r="Z83" i="1" s="1"/>
  <c r="AA83" i="1" s="1"/>
  <c r="G82" i="1"/>
  <c r="U82" i="1" s="1"/>
  <c r="V82" i="1" s="1"/>
  <c r="G81" i="1"/>
  <c r="H81" i="1" s="1"/>
  <c r="G80" i="1"/>
  <c r="G79" i="1"/>
  <c r="G78" i="1"/>
  <c r="H78" i="1" s="1"/>
  <c r="G77" i="1"/>
  <c r="Z77" i="1" s="1"/>
  <c r="AA77" i="1" s="1"/>
  <c r="Z76" i="1"/>
  <c r="AA76" i="1" s="1"/>
  <c r="U76" i="1"/>
  <c r="V76" i="1" s="1"/>
  <c r="P76" i="1"/>
  <c r="R76" i="1" s="1"/>
  <c r="K76" i="1"/>
  <c r="H76" i="1"/>
  <c r="G75" i="1"/>
  <c r="P75" i="1" s="1"/>
  <c r="Q75" i="1" s="1"/>
  <c r="X74" i="1"/>
  <c r="W74" i="1"/>
  <c r="T74" i="1"/>
  <c r="S74" i="1"/>
  <c r="O74" i="1"/>
  <c r="N74" i="1"/>
  <c r="M74" i="1"/>
  <c r="L74" i="1"/>
  <c r="I74" i="1"/>
  <c r="Z73" i="1"/>
  <c r="AA73" i="1" s="1"/>
  <c r="U73" i="1"/>
  <c r="P73" i="1"/>
  <c r="Q73" i="1" s="1"/>
  <c r="Q74" i="1" s="1"/>
  <c r="K73" i="1"/>
  <c r="H73" i="1"/>
  <c r="G72" i="1"/>
  <c r="P72" i="1" s="1"/>
  <c r="G71" i="1"/>
  <c r="U71" i="1" s="1"/>
  <c r="V71" i="1" s="1"/>
  <c r="Z70" i="1"/>
  <c r="AA70" i="1" s="1"/>
  <c r="U70" i="1"/>
  <c r="V70" i="1" s="1"/>
  <c r="P70" i="1"/>
  <c r="R70" i="1" s="1"/>
  <c r="K70" i="1"/>
  <c r="H70" i="1"/>
  <c r="X69" i="1"/>
  <c r="W69" i="1"/>
  <c r="T69" i="1"/>
  <c r="S69" i="1"/>
  <c r="Q69" i="1"/>
  <c r="N69" i="1"/>
  <c r="L69" i="1"/>
  <c r="I69" i="1"/>
  <c r="Z68" i="1"/>
  <c r="AA68" i="1" s="1"/>
  <c r="U68" i="1"/>
  <c r="V68" i="1" s="1"/>
  <c r="P68" i="1"/>
  <c r="R68" i="1" s="1"/>
  <c r="K68" i="1"/>
  <c r="H68" i="1"/>
  <c r="Z67" i="1"/>
  <c r="AA67" i="1" s="1"/>
  <c r="U67" i="1"/>
  <c r="V67" i="1" s="1"/>
  <c r="P67" i="1"/>
  <c r="R67" i="1" s="1"/>
  <c r="K67" i="1"/>
  <c r="H67" i="1"/>
  <c r="Z66" i="1"/>
  <c r="AA66" i="1" s="1"/>
  <c r="U66" i="1"/>
  <c r="V66" i="1" s="1"/>
  <c r="G66" i="1"/>
  <c r="P66" i="1" s="1"/>
  <c r="X65" i="1"/>
  <c r="W65" i="1"/>
  <c r="T65" i="1"/>
  <c r="S65" i="1"/>
  <c r="Q65" i="1"/>
  <c r="N65" i="1"/>
  <c r="L65" i="1"/>
  <c r="I65" i="1"/>
  <c r="Z64" i="1"/>
  <c r="AA64" i="1" s="1"/>
  <c r="U64" i="1"/>
  <c r="V64" i="1" s="1"/>
  <c r="P64" i="1"/>
  <c r="R64" i="1" s="1"/>
  <c r="K64" i="1"/>
  <c r="H64" i="1"/>
  <c r="Z63" i="1"/>
  <c r="U63" i="1"/>
  <c r="V63" i="1" s="1"/>
  <c r="P63" i="1"/>
  <c r="R63" i="1" s="1"/>
  <c r="K63" i="1"/>
  <c r="H63" i="1"/>
  <c r="Z62" i="1"/>
  <c r="AA62" i="1" s="1"/>
  <c r="U62" i="1"/>
  <c r="V62" i="1" s="1"/>
  <c r="G62" i="1"/>
  <c r="H62" i="1" s="1"/>
  <c r="X61" i="1"/>
  <c r="T61" i="1"/>
  <c r="S61" i="1"/>
  <c r="N61" i="1"/>
  <c r="L61" i="1"/>
  <c r="I61" i="1"/>
  <c r="G61" i="1"/>
  <c r="Z60" i="1"/>
  <c r="AA60" i="1" s="1"/>
  <c r="U60" i="1"/>
  <c r="V60" i="1" s="1"/>
  <c r="P60" i="1"/>
  <c r="K60" i="1"/>
  <c r="H60" i="1"/>
  <c r="Z59" i="1"/>
  <c r="AA59" i="1" s="1"/>
  <c r="U59" i="1"/>
  <c r="V59" i="1" s="1"/>
  <c r="P59" i="1"/>
  <c r="M61" i="1"/>
  <c r="K59" i="1"/>
  <c r="H59" i="1"/>
  <c r="X58" i="1"/>
  <c r="T58" i="1"/>
  <c r="S58" i="1"/>
  <c r="N58" i="1"/>
  <c r="L58" i="1"/>
  <c r="I58" i="1"/>
  <c r="Z57" i="1"/>
  <c r="AA57" i="1" s="1"/>
  <c r="U57" i="1"/>
  <c r="V57" i="1" s="1"/>
  <c r="P57" i="1"/>
  <c r="R57" i="1" s="1"/>
  <c r="R58" i="1" s="1"/>
  <c r="K57" i="1"/>
  <c r="H57" i="1"/>
  <c r="Z56" i="1"/>
  <c r="AA56" i="1" s="1"/>
  <c r="U56" i="1"/>
  <c r="M58" i="1"/>
  <c r="J58" i="1"/>
  <c r="G56" i="1"/>
  <c r="X55" i="1"/>
  <c r="T55" i="1"/>
  <c r="S55" i="1"/>
  <c r="R55" i="1"/>
  <c r="N55" i="1"/>
  <c r="L55" i="1"/>
  <c r="I55" i="1"/>
  <c r="G54" i="1"/>
  <c r="H54" i="1" s="1"/>
  <c r="G53" i="1"/>
  <c r="Z53" i="1" s="1"/>
  <c r="AA53" i="1" s="1"/>
  <c r="G52" i="1"/>
  <c r="T51" i="1"/>
  <c r="S51" i="1"/>
  <c r="Q51" i="1"/>
  <c r="N51" i="1"/>
  <c r="L51" i="1"/>
  <c r="I51" i="1"/>
  <c r="G50" i="1"/>
  <c r="P50" i="1" s="1"/>
  <c r="X49" i="1"/>
  <c r="W49" i="1"/>
  <c r="T49" i="1"/>
  <c r="S49" i="1"/>
  <c r="N49" i="1"/>
  <c r="L49" i="1"/>
  <c r="I49" i="1"/>
  <c r="G48" i="1"/>
  <c r="Z48" i="1" s="1"/>
  <c r="AA48" i="1" s="1"/>
  <c r="Z47" i="1"/>
  <c r="AA47" i="1" s="1"/>
  <c r="U47" i="1"/>
  <c r="V47" i="1" s="1"/>
  <c r="P47" i="1"/>
  <c r="Q47" i="1" s="1"/>
  <c r="K47" i="1"/>
  <c r="H47" i="1"/>
  <c r="G46" i="1"/>
  <c r="Z46" i="1" s="1"/>
  <c r="AA46" i="1" s="1"/>
  <c r="G45" i="1"/>
  <c r="Z45" i="1" s="1"/>
  <c r="T44" i="1"/>
  <c r="S44" i="1"/>
  <c r="N44" i="1"/>
  <c r="L44" i="1"/>
  <c r="I44" i="1"/>
  <c r="Z43" i="1"/>
  <c r="AA43" i="1" s="1"/>
  <c r="U43" i="1"/>
  <c r="V43" i="1" s="1"/>
  <c r="P43" i="1"/>
  <c r="K43" i="1"/>
  <c r="H43" i="1"/>
  <c r="G42" i="1"/>
  <c r="P42" i="1" s="1"/>
  <c r="AC41" i="1"/>
  <c r="T41" i="1"/>
  <c r="S41" i="1"/>
  <c r="R41" i="1"/>
  <c r="N41" i="1"/>
  <c r="M41" i="1"/>
  <c r="L41" i="1"/>
  <c r="I41" i="1"/>
  <c r="G40" i="1"/>
  <c r="Z40" i="1" s="1"/>
  <c r="AA40" i="1" s="1"/>
  <c r="U39" i="1"/>
  <c r="V39" i="1" s="1"/>
  <c r="G39" i="1"/>
  <c r="Z39" i="1" s="1"/>
  <c r="AA39" i="1" s="1"/>
  <c r="AB38" i="1"/>
  <c r="AJ38" i="1" s="1"/>
  <c r="Z38" i="1"/>
  <c r="AA38" i="1" s="1"/>
  <c r="U38" i="1"/>
  <c r="P38" i="1"/>
  <c r="Q38" i="1" s="1"/>
  <c r="K38" i="1"/>
  <c r="H38" i="1"/>
  <c r="Z36" i="1"/>
  <c r="AA36" i="1" s="1"/>
  <c r="AA37" i="1" s="1"/>
  <c r="U36" i="1"/>
  <c r="V36" i="1" s="1"/>
  <c r="V37" i="1" s="1"/>
  <c r="P36" i="1"/>
  <c r="R36" i="1" s="1"/>
  <c r="R37" i="1" s="1"/>
  <c r="K36" i="1"/>
  <c r="K37" i="1" s="1"/>
  <c r="H36" i="1"/>
  <c r="H37" i="1" s="1"/>
  <c r="G34" i="1"/>
  <c r="H34" i="1" s="1"/>
  <c r="Z33" i="1"/>
  <c r="AA33" i="1" s="1"/>
  <c r="U33" i="1"/>
  <c r="V33" i="1" s="1"/>
  <c r="P33" i="1"/>
  <c r="R33" i="1" s="1"/>
  <c r="R35" i="1" s="1"/>
  <c r="K33" i="1"/>
  <c r="H33" i="1"/>
  <c r="S32" i="1"/>
  <c r="R32" i="1"/>
  <c r="N32" i="1"/>
  <c r="L32" i="1"/>
  <c r="I32" i="1"/>
  <c r="G31" i="1"/>
  <c r="U31" i="1" s="1"/>
  <c r="X30" i="1"/>
  <c r="W30" i="1"/>
  <c r="T30" i="1"/>
  <c r="S30" i="1"/>
  <c r="R30" i="1"/>
  <c r="O30" i="1"/>
  <c r="N30" i="1"/>
  <c r="M30" i="1"/>
  <c r="L30" i="1"/>
  <c r="J30" i="1"/>
  <c r="I30" i="1"/>
  <c r="G29" i="1"/>
  <c r="U29" i="1" s="1"/>
  <c r="G28" i="1"/>
  <c r="Z28" i="1" s="1"/>
  <c r="AA28" i="1" s="1"/>
  <c r="Z27" i="1"/>
  <c r="AA27" i="1" s="1"/>
  <c r="U27" i="1"/>
  <c r="P27" i="1"/>
  <c r="Q27" i="1" s="1"/>
  <c r="K27" i="1"/>
  <c r="H27" i="1"/>
  <c r="T26" i="1"/>
  <c r="S26" i="1"/>
  <c r="N26" i="1"/>
  <c r="M26" i="1"/>
  <c r="L26" i="1"/>
  <c r="J26" i="1"/>
  <c r="I26" i="1"/>
  <c r="G25" i="1"/>
  <c r="H25" i="1" s="1"/>
  <c r="Z24" i="1"/>
  <c r="AA24" i="1" s="1"/>
  <c r="U24" i="1"/>
  <c r="V24" i="1" s="1"/>
  <c r="P24" i="1"/>
  <c r="Q24" i="1" s="1"/>
  <c r="K24" i="1"/>
  <c r="H24" i="1"/>
  <c r="Z23" i="1"/>
  <c r="U23" i="1"/>
  <c r="V23" i="1" s="1"/>
  <c r="P23" i="1"/>
  <c r="R23" i="1" s="1"/>
  <c r="R26" i="1" s="1"/>
  <c r="K23" i="1"/>
  <c r="H23" i="1"/>
  <c r="A23" i="1"/>
  <c r="A24" i="1" s="1"/>
  <c r="A25" i="1" s="1"/>
  <c r="A27" i="1" s="1"/>
  <c r="A28" i="1" s="1"/>
  <c r="A29" i="1" s="1"/>
  <c r="A31" i="1" s="1"/>
  <c r="A33" i="1" s="1"/>
  <c r="A34" i="1" s="1"/>
  <c r="A36" i="1" s="1"/>
  <c r="A38" i="1" s="1"/>
  <c r="A39" i="1" s="1"/>
  <c r="A40" i="1" s="1"/>
  <c r="A42" i="1" s="1"/>
  <c r="A43" i="1" s="1"/>
  <c r="A45" i="1" s="1"/>
  <c r="A46" i="1" s="1"/>
  <c r="A47" i="1" s="1"/>
  <c r="A48" i="1" s="1"/>
  <c r="A50" i="1" s="1"/>
  <c r="A52" i="1" s="1"/>
  <c r="A53" i="1" s="1"/>
  <c r="A54" i="1" s="1"/>
  <c r="A56" i="1" s="1"/>
  <c r="A57" i="1" s="1"/>
  <c r="A59" i="1" s="1"/>
  <c r="A60" i="1" s="1"/>
  <c r="A62" i="1" s="1"/>
  <c r="A63" i="1" s="1"/>
  <c r="A64" i="1" s="1"/>
  <c r="A66" i="1" s="1"/>
  <c r="A67" i="1" s="1"/>
  <c r="A68" i="1" s="1"/>
  <c r="A70" i="1" s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2" i="1" s="1"/>
  <c r="A93" i="1" s="1"/>
  <c r="A94" i="1" s="1"/>
  <c r="A95" i="1" s="1"/>
  <c r="A98" i="1" s="1"/>
  <c r="A99" i="1" s="1"/>
  <c r="A100" i="1" s="1"/>
  <c r="A101" i="1" s="1"/>
  <c r="A102" i="1" s="1"/>
  <c r="A103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4" i="1" s="1"/>
  <c r="A145" i="1" s="1"/>
  <c r="A146" i="1" s="1"/>
  <c r="A149" i="1" s="1"/>
  <c r="A150" i="1" s="1"/>
  <c r="A151" i="1" s="1"/>
  <c r="A152" i="1" s="1"/>
  <c r="A153" i="1" s="1"/>
  <c r="A154" i="1" s="1"/>
  <c r="A155" i="1" s="1"/>
  <c r="A156" i="1" s="1"/>
  <c r="A157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70" i="1" s="1"/>
  <c r="A171" i="1" s="1"/>
  <c r="A172" i="1" s="1"/>
  <c r="A173" i="1" s="1"/>
  <c r="A176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8" i="1" s="1"/>
  <c r="A199" i="1" s="1"/>
  <c r="A200" i="1" s="1"/>
  <c r="A201" i="1" s="1"/>
  <c r="A203" i="1" s="1"/>
  <c r="A204" i="1" s="1"/>
  <c r="A205" i="1" s="1"/>
  <c r="A206" i="1" s="1"/>
  <c r="A207" i="1" s="1"/>
  <c r="A208" i="1" s="1"/>
  <c r="A209" i="1" s="1"/>
  <c r="A210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9" i="1" s="1"/>
  <c r="A250" i="1" s="1"/>
  <c r="A251" i="1" s="1"/>
  <c r="A252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7" i="1" s="1"/>
  <c r="A328" i="1" s="1"/>
  <c r="A329" i="1" s="1"/>
  <c r="A330" i="1" s="1"/>
  <c r="A331" i="1" s="1"/>
  <c r="A332" i="1" s="1"/>
  <c r="A333" i="1" s="1"/>
  <c r="A334" i="1" s="1"/>
  <c r="A336" i="1" s="1"/>
  <c r="A337" i="1" s="1"/>
  <c r="A339" i="1" s="1"/>
  <c r="A340" i="1" s="1"/>
  <c r="A342" i="1" s="1"/>
  <c r="A343" i="1" s="1"/>
  <c r="A344" i="1" s="1"/>
  <c r="A345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A22" i="1"/>
  <c r="U22" i="1"/>
  <c r="V22" i="1" s="1"/>
  <c r="P22" i="1"/>
  <c r="Q22" i="1" s="1"/>
  <c r="K22" i="1"/>
  <c r="H22" i="1"/>
  <c r="AP21" i="1"/>
  <c r="AN21" i="1"/>
  <c r="AM21" i="1"/>
  <c r="AK21" i="1"/>
  <c r="Z21" i="1"/>
  <c r="U21" i="1"/>
  <c r="T21" i="1"/>
  <c r="S21" i="1"/>
  <c r="O21" i="1"/>
  <c r="K21" i="1"/>
  <c r="J21" i="1"/>
  <c r="AQ20" i="1"/>
  <c r="P20" i="1" s="1"/>
  <c r="AA20" i="1"/>
  <c r="V20" i="1"/>
  <c r="AQ19" i="1"/>
  <c r="P19" i="1" s="1"/>
  <c r="AA19" i="1"/>
  <c r="V19" i="1"/>
  <c r="AQ18" i="1"/>
  <c r="P18" i="1" s="1"/>
  <c r="Y18" i="1" s="1"/>
  <c r="AA18" i="1"/>
  <c r="V18" i="1"/>
  <c r="AQ17" i="1"/>
  <c r="P17" i="1" s="1"/>
  <c r="AA17" i="1"/>
  <c r="V17" i="1"/>
  <c r="AQ16" i="1"/>
  <c r="P16" i="1" s="1"/>
  <c r="AA16" i="1"/>
  <c r="V16" i="1"/>
  <c r="AQ15" i="1"/>
  <c r="P15" i="1" s="1"/>
  <c r="AA15" i="1"/>
  <c r="V15" i="1"/>
  <c r="AQ14" i="1"/>
  <c r="P14" i="1" s="1"/>
  <c r="AA14" i="1"/>
  <c r="V14" i="1"/>
  <c r="AQ13" i="1"/>
  <c r="P13" i="1" s="1"/>
  <c r="Y13" i="1" s="1"/>
  <c r="AA13" i="1"/>
  <c r="V13" i="1"/>
  <c r="AQ12" i="1"/>
  <c r="P12" i="1" s="1"/>
  <c r="AA12" i="1"/>
  <c r="V12" i="1"/>
  <c r="AQ11" i="1"/>
  <c r="P11" i="1" s="1"/>
  <c r="Y11" i="1" s="1"/>
  <c r="AA11" i="1"/>
  <c r="V11" i="1"/>
  <c r="AQ10" i="1"/>
  <c r="P10" i="1" s="1"/>
  <c r="Y10" i="1" s="1"/>
  <c r="AA10" i="1"/>
  <c r="V10" i="1"/>
  <c r="AQ9" i="1"/>
  <c r="P9" i="1" s="1"/>
  <c r="AA9" i="1"/>
  <c r="V9" i="1"/>
  <c r="AQ8" i="1"/>
  <c r="P8" i="1" s="1"/>
  <c r="AA8" i="1"/>
  <c r="V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Q7" i="1"/>
  <c r="AO7" i="1"/>
  <c r="AO21" i="1" s="1"/>
  <c r="AL7" i="1"/>
  <c r="AL21" i="1" s="1"/>
  <c r="AA7" i="1"/>
  <c r="V7" i="1"/>
  <c r="P61" i="1" l="1"/>
  <c r="AN148" i="1"/>
  <c r="Y167" i="1"/>
  <c r="V65" i="1"/>
  <c r="K182" i="1"/>
  <c r="H61" i="1"/>
  <c r="H35" i="1"/>
  <c r="AB268" i="1"/>
  <c r="AE268" i="1" s="1"/>
  <c r="T148" i="1"/>
  <c r="AC148" i="1"/>
  <c r="U171" i="1"/>
  <c r="V171" i="1" s="1"/>
  <c r="U360" i="1"/>
  <c r="V360" i="1" s="1"/>
  <c r="K329" i="1"/>
  <c r="M175" i="1"/>
  <c r="AL97" i="1"/>
  <c r="AL365" i="1" s="1"/>
  <c r="H46" i="1"/>
  <c r="AP97" i="1"/>
  <c r="Y43" i="1"/>
  <c r="AM148" i="1"/>
  <c r="AQ148" i="1"/>
  <c r="O175" i="1"/>
  <c r="U250" i="1"/>
  <c r="V250" i="1" s="1"/>
  <c r="U268" i="1"/>
  <c r="V268" i="1" s="1"/>
  <c r="H331" i="1"/>
  <c r="H118" i="1"/>
  <c r="G55" i="1"/>
  <c r="AA61" i="1"/>
  <c r="P85" i="1"/>
  <c r="R85" i="1" s="1"/>
  <c r="AH148" i="1"/>
  <c r="Y205" i="1"/>
  <c r="Y209" i="1"/>
  <c r="H268" i="1"/>
  <c r="AB290" i="1"/>
  <c r="AD290" i="1" s="1"/>
  <c r="P71" i="1"/>
  <c r="R71" i="1" s="1"/>
  <c r="I148" i="1"/>
  <c r="P128" i="1"/>
  <c r="Y128" i="1" s="1"/>
  <c r="K140" i="1"/>
  <c r="H152" i="1"/>
  <c r="H201" i="1"/>
  <c r="K228" i="1"/>
  <c r="U280" i="1"/>
  <c r="V280" i="1" s="1"/>
  <c r="U37" i="1"/>
  <c r="Z58" i="1"/>
  <c r="X148" i="1"/>
  <c r="H222" i="1"/>
  <c r="K312" i="1"/>
  <c r="AA58" i="1"/>
  <c r="V61" i="1"/>
  <c r="H100" i="1"/>
  <c r="AB312" i="1"/>
  <c r="AG312" i="1" s="1"/>
  <c r="AE356" i="1"/>
  <c r="H86" i="1"/>
  <c r="AB262" i="1"/>
  <c r="AG262" i="1" s="1"/>
  <c r="P348" i="1"/>
  <c r="Q348" i="1" s="1"/>
  <c r="V21" i="1"/>
  <c r="P86" i="1"/>
  <c r="R86" i="1" s="1"/>
  <c r="K102" i="1"/>
  <c r="Y108" i="1"/>
  <c r="AO148" i="1"/>
  <c r="AB330" i="1"/>
  <c r="AG330" i="1" s="1"/>
  <c r="P349" i="1"/>
  <c r="Q349" i="1" s="1"/>
  <c r="H39" i="1"/>
  <c r="P62" i="1"/>
  <c r="Y62" i="1" s="1"/>
  <c r="H102" i="1"/>
  <c r="H128" i="1"/>
  <c r="K150" i="1"/>
  <c r="H228" i="1"/>
  <c r="K263" i="1"/>
  <c r="G35" i="1"/>
  <c r="K46" i="1"/>
  <c r="H48" i="1"/>
  <c r="H77" i="1"/>
  <c r="P102" i="1"/>
  <c r="Q102" i="1" s="1"/>
  <c r="H151" i="1"/>
  <c r="U182" i="1"/>
  <c r="V182" i="1" s="1"/>
  <c r="P228" i="1"/>
  <c r="H234" i="1"/>
  <c r="P251" i="1"/>
  <c r="R251" i="1" s="1"/>
  <c r="AE254" i="1"/>
  <c r="AI254" i="1" s="1"/>
  <c r="H287" i="1"/>
  <c r="H320" i="1"/>
  <c r="K331" i="1"/>
  <c r="K336" i="1"/>
  <c r="H342" i="1"/>
  <c r="U40" i="1"/>
  <c r="V40" i="1" s="1"/>
  <c r="U46" i="1"/>
  <c r="V46" i="1" s="1"/>
  <c r="U48" i="1"/>
  <c r="V48" i="1" s="1"/>
  <c r="U77" i="1"/>
  <c r="V77" i="1" s="1"/>
  <c r="P83" i="1"/>
  <c r="R83" i="1" s="1"/>
  <c r="U151" i="1"/>
  <c r="V151" i="1" s="1"/>
  <c r="U228" i="1"/>
  <c r="V228" i="1" s="1"/>
  <c r="U234" i="1"/>
  <c r="V234" i="1" s="1"/>
  <c r="H265" i="1"/>
  <c r="P331" i="1"/>
  <c r="Q331" i="1" s="1"/>
  <c r="AB336" i="1"/>
  <c r="AJ336" i="1" s="1"/>
  <c r="AO97" i="1"/>
  <c r="Y23" i="1"/>
  <c r="K86" i="1"/>
  <c r="H115" i="1"/>
  <c r="K226" i="1"/>
  <c r="AB265" i="1"/>
  <c r="AE265" i="1" s="1"/>
  <c r="P37" i="1"/>
  <c r="K101" i="1"/>
  <c r="U115" i="1"/>
  <c r="V115" i="1" s="1"/>
  <c r="U226" i="1"/>
  <c r="V226" i="1" s="1"/>
  <c r="AB329" i="1"/>
  <c r="AJ329" i="1" s="1"/>
  <c r="H332" i="1"/>
  <c r="K337" i="1"/>
  <c r="H347" i="1"/>
  <c r="U84" i="1"/>
  <c r="V84" i="1" s="1"/>
  <c r="U101" i="1"/>
  <c r="V101" i="1" s="1"/>
  <c r="J148" i="1"/>
  <c r="AP148" i="1"/>
  <c r="K152" i="1"/>
  <c r="H214" i="1"/>
  <c r="K257" i="1"/>
  <c r="H279" i="1"/>
  <c r="H284" i="1"/>
  <c r="Y293" i="1"/>
  <c r="K332" i="1"/>
  <c r="AB337" i="1"/>
  <c r="AJ337" i="1" s="1"/>
  <c r="Z37" i="1"/>
  <c r="H144" i="1"/>
  <c r="Y200" i="1"/>
  <c r="H237" i="1"/>
  <c r="AB257" i="1"/>
  <c r="AE257" i="1" s="1"/>
  <c r="H263" i="1"/>
  <c r="K279" i="1"/>
  <c r="AH97" i="1"/>
  <c r="Y19" i="1"/>
  <c r="Q19" i="1"/>
  <c r="K93" i="1"/>
  <c r="H45" i="1"/>
  <c r="K53" i="1"/>
  <c r="Y73" i="1"/>
  <c r="P106" i="1"/>
  <c r="Q106" i="1" s="1"/>
  <c r="K116" i="1"/>
  <c r="K119" i="1"/>
  <c r="K126" i="1"/>
  <c r="K133" i="1"/>
  <c r="P198" i="1"/>
  <c r="Q198" i="1" s="1"/>
  <c r="H215" i="1"/>
  <c r="K220" i="1"/>
  <c r="U223" i="1"/>
  <c r="V223" i="1" s="1"/>
  <c r="U227" i="1"/>
  <c r="V227" i="1" s="1"/>
  <c r="W235" i="1"/>
  <c r="X235" i="1" s="1"/>
  <c r="K238" i="1"/>
  <c r="U249" i="1"/>
  <c r="K255" i="1"/>
  <c r="P279" i="1"/>
  <c r="H285" i="1"/>
  <c r="H292" i="1"/>
  <c r="AD294" i="1"/>
  <c r="AB313" i="1"/>
  <c r="AG313" i="1" s="1"/>
  <c r="Y356" i="1"/>
  <c r="H358" i="1"/>
  <c r="Y362" i="1"/>
  <c r="R11" i="1"/>
  <c r="G30" i="1"/>
  <c r="H106" i="1"/>
  <c r="AK97" i="1"/>
  <c r="AK365" i="1" s="1"/>
  <c r="AC97" i="1"/>
  <c r="G44" i="1"/>
  <c r="K71" i="1"/>
  <c r="U106" i="1"/>
  <c r="V106" i="1" s="1"/>
  <c r="P113" i="1"/>
  <c r="R113" i="1" s="1"/>
  <c r="P119" i="1"/>
  <c r="Z126" i="1"/>
  <c r="AA126" i="1" s="1"/>
  <c r="H129" i="1"/>
  <c r="U133" i="1"/>
  <c r="V133" i="1" s="1"/>
  <c r="U142" i="1"/>
  <c r="V142" i="1" s="1"/>
  <c r="N175" i="1"/>
  <c r="H171" i="1"/>
  <c r="H174" i="1" s="1"/>
  <c r="V176" i="1"/>
  <c r="V177" i="1" s="1"/>
  <c r="P186" i="1"/>
  <c r="R186" i="1" s="1"/>
  <c r="H191" i="1"/>
  <c r="P220" i="1"/>
  <c r="U231" i="1"/>
  <c r="V231" i="1" s="1"/>
  <c r="AB255" i="1"/>
  <c r="U263" i="1"/>
  <c r="V263" i="1" s="1"/>
  <c r="H266" i="1"/>
  <c r="H269" i="1"/>
  <c r="U279" i="1"/>
  <c r="V279" i="1" s="1"/>
  <c r="AB281" i="1"/>
  <c r="AD281" i="1" s="1"/>
  <c r="K289" i="1"/>
  <c r="U292" i="1"/>
  <c r="V292" i="1" s="1"/>
  <c r="Z302" i="1"/>
  <c r="AA302" i="1" s="1"/>
  <c r="U318" i="1"/>
  <c r="V318" i="1" s="1"/>
  <c r="K330" i="1"/>
  <c r="K358" i="1"/>
  <c r="K25" i="1"/>
  <c r="K26" i="1" s="1"/>
  <c r="AF97" i="1"/>
  <c r="P109" i="1"/>
  <c r="Q109" i="1" s="1"/>
  <c r="U119" i="1"/>
  <c r="V119" i="1" s="1"/>
  <c r="K129" i="1"/>
  <c r="K145" i="1"/>
  <c r="Y156" i="1"/>
  <c r="K171" i="1"/>
  <c r="K199" i="1"/>
  <c r="K202" i="1" s="1"/>
  <c r="P206" i="1"/>
  <c r="Q206" i="1" s="1"/>
  <c r="U220" i="1"/>
  <c r="V220" i="1" s="1"/>
  <c r="K266" i="1"/>
  <c r="U269" i="1"/>
  <c r="V269" i="1" s="1"/>
  <c r="H286" i="1"/>
  <c r="Z289" i="1"/>
  <c r="AA289" i="1" s="1"/>
  <c r="P347" i="1"/>
  <c r="R347" i="1" s="1"/>
  <c r="P352" i="1"/>
  <c r="Y352" i="1" s="1"/>
  <c r="AB358" i="1"/>
  <c r="AE358" i="1" s="1"/>
  <c r="H119" i="1"/>
  <c r="H142" i="1"/>
  <c r="Q167" i="1"/>
  <c r="AM97" i="1"/>
  <c r="P25" i="1"/>
  <c r="P26" i="1" s="1"/>
  <c r="K28" i="1"/>
  <c r="H42" i="1"/>
  <c r="H44" i="1" s="1"/>
  <c r="Y60" i="1"/>
  <c r="AK148" i="1"/>
  <c r="H127" i="1"/>
  <c r="P129" i="1"/>
  <c r="Y160" i="1"/>
  <c r="J175" i="1"/>
  <c r="K181" i="1"/>
  <c r="H236" i="1"/>
  <c r="K256" i="1"/>
  <c r="K264" i="1"/>
  <c r="P282" i="1"/>
  <c r="Y282" i="1" s="1"/>
  <c r="U286" i="1"/>
  <c r="V286" i="1" s="1"/>
  <c r="Y294" i="1"/>
  <c r="H298" i="1"/>
  <c r="H315" i="1"/>
  <c r="R13" i="1"/>
  <c r="K112" i="1"/>
  <c r="O97" i="1"/>
  <c r="AB25" i="1"/>
  <c r="AB26" i="1" s="1"/>
  <c r="U28" i="1"/>
  <c r="V28" i="1" s="1"/>
  <c r="P46" i="1"/>
  <c r="Q46" i="1" s="1"/>
  <c r="U118" i="1"/>
  <c r="V118" i="1" s="1"/>
  <c r="P120" i="1"/>
  <c r="Q120" i="1" s="1"/>
  <c r="AL148" i="1"/>
  <c r="U127" i="1"/>
  <c r="V127" i="1" s="1"/>
  <c r="U129" i="1"/>
  <c r="V129" i="1" s="1"/>
  <c r="U140" i="1"/>
  <c r="V140" i="1" s="1"/>
  <c r="L175" i="1"/>
  <c r="Y164" i="1"/>
  <c r="P193" i="1"/>
  <c r="Q193" i="1" s="1"/>
  <c r="H218" i="1"/>
  <c r="H226" i="1"/>
  <c r="P236" i="1"/>
  <c r="R236" i="1" s="1"/>
  <c r="H251" i="1"/>
  <c r="AB264" i="1"/>
  <c r="AG264" i="1" s="1"/>
  <c r="H280" i="1"/>
  <c r="P315" i="1"/>
  <c r="R315" i="1" s="1"/>
  <c r="H122" i="1"/>
  <c r="H130" i="1"/>
  <c r="K66" i="1"/>
  <c r="K69" i="1" s="1"/>
  <c r="K77" i="1"/>
  <c r="K85" i="1"/>
  <c r="H101" i="1"/>
  <c r="Z118" i="1"/>
  <c r="AA118" i="1" s="1"/>
  <c r="I175" i="1"/>
  <c r="K149" i="1"/>
  <c r="K155" i="1"/>
  <c r="H161" i="1"/>
  <c r="H185" i="1"/>
  <c r="U190" i="1"/>
  <c r="V190" i="1" s="1"/>
  <c r="H220" i="1"/>
  <c r="K223" i="1"/>
  <c r="P249" i="1"/>
  <c r="Q249" i="1" s="1"/>
  <c r="H281" i="1"/>
  <c r="AJ295" i="1"/>
  <c r="Y354" i="1"/>
  <c r="Q14" i="1"/>
  <c r="Y14" i="1"/>
  <c r="H28" i="1"/>
  <c r="P29" i="1"/>
  <c r="Q29" i="1" s="1"/>
  <c r="G32" i="1"/>
  <c r="P40" i="1"/>
  <c r="Q40" i="1" s="1"/>
  <c r="H53" i="1"/>
  <c r="H66" i="1"/>
  <c r="H69" i="1" s="1"/>
  <c r="V69" i="1"/>
  <c r="G74" i="1"/>
  <c r="K121" i="1"/>
  <c r="P121" i="1"/>
  <c r="R121" i="1" s="1"/>
  <c r="H121" i="1"/>
  <c r="Y132" i="1"/>
  <c r="R132" i="1"/>
  <c r="Z168" i="1"/>
  <c r="AA168" i="1" s="1"/>
  <c r="P168" i="1"/>
  <c r="Q168" i="1" s="1"/>
  <c r="K168" i="1"/>
  <c r="H168" i="1"/>
  <c r="Y245" i="1"/>
  <c r="J97" i="1"/>
  <c r="Y27" i="1"/>
  <c r="P28" i="1"/>
  <c r="Q28" i="1" s="1"/>
  <c r="Y36" i="1"/>
  <c r="Y37" i="1" s="1"/>
  <c r="P53" i="1"/>
  <c r="Q53" i="1" s="1"/>
  <c r="U58" i="1"/>
  <c r="H65" i="1"/>
  <c r="H75" i="1"/>
  <c r="G87" i="1"/>
  <c r="K78" i="1"/>
  <c r="H82" i="1"/>
  <c r="P82" i="1"/>
  <c r="AB288" i="1"/>
  <c r="AG288" i="1" s="1"/>
  <c r="Z288" i="1"/>
  <c r="AA288" i="1" s="1"/>
  <c r="K288" i="1"/>
  <c r="AB40" i="1"/>
  <c r="AG40" i="1" s="1"/>
  <c r="U53" i="1"/>
  <c r="V53" i="1" s="1"/>
  <c r="K61" i="1"/>
  <c r="K62" i="1"/>
  <c r="K65" i="1" s="1"/>
  <c r="Y67" i="1"/>
  <c r="G69" i="1"/>
  <c r="K75" i="1"/>
  <c r="P78" i="1"/>
  <c r="Q78" i="1" s="1"/>
  <c r="K82" i="1"/>
  <c r="Z123" i="1"/>
  <c r="AA123" i="1" s="1"/>
  <c r="P123" i="1"/>
  <c r="H123" i="1"/>
  <c r="U333" i="1"/>
  <c r="V333" i="1" s="1"/>
  <c r="AB333" i="1"/>
  <c r="AG333" i="1" s="1"/>
  <c r="K333" i="1"/>
  <c r="H333" i="1"/>
  <c r="P353" i="1"/>
  <c r="Q353" i="1" s="1"/>
  <c r="AB353" i="1"/>
  <c r="AE353" i="1" s="1"/>
  <c r="U353" i="1"/>
  <c r="V353" i="1" s="1"/>
  <c r="K353" i="1"/>
  <c r="P261" i="1"/>
  <c r="AB261" i="1"/>
  <c r="AG261" i="1" s="1"/>
  <c r="U261" i="1"/>
  <c r="V261" i="1" s="1"/>
  <c r="K261" i="1"/>
  <c r="X97" i="1"/>
  <c r="Y64" i="1"/>
  <c r="Z162" i="1"/>
  <c r="AA162" i="1" s="1"/>
  <c r="U162" i="1"/>
  <c r="V162" i="1" s="1"/>
  <c r="K162" i="1"/>
  <c r="H162" i="1"/>
  <c r="Z340" i="1"/>
  <c r="AA340" i="1" s="1"/>
  <c r="H340" i="1"/>
  <c r="U359" i="1"/>
  <c r="V359" i="1" s="1"/>
  <c r="P359" i="1"/>
  <c r="AQ21" i="1"/>
  <c r="AQ97" i="1" s="1"/>
  <c r="H52" i="1"/>
  <c r="H55" i="1" s="1"/>
  <c r="V73" i="1"/>
  <c r="P80" i="1"/>
  <c r="Q80" i="1" s="1"/>
  <c r="U80" i="1"/>
  <c r="V80" i="1" s="1"/>
  <c r="P90" i="1"/>
  <c r="R90" i="1" s="1"/>
  <c r="U90" i="1"/>
  <c r="V90" i="1" s="1"/>
  <c r="K90" i="1"/>
  <c r="H90" i="1"/>
  <c r="H91" i="1" s="1"/>
  <c r="Y183" i="1"/>
  <c r="R183" i="1"/>
  <c r="K230" i="1"/>
  <c r="W230" i="1"/>
  <c r="X230" i="1" s="1"/>
  <c r="U230" i="1"/>
  <c r="V230" i="1" s="1"/>
  <c r="H230" i="1"/>
  <c r="AA21" i="1"/>
  <c r="H29" i="1"/>
  <c r="K31" i="1"/>
  <c r="K32" i="1" s="1"/>
  <c r="K34" i="1"/>
  <c r="K35" i="1" s="1"/>
  <c r="V38" i="1"/>
  <c r="H40" i="1"/>
  <c r="U42" i="1"/>
  <c r="U44" i="1" s="1"/>
  <c r="Y47" i="1"/>
  <c r="I97" i="1"/>
  <c r="U52" i="1"/>
  <c r="K54" i="1"/>
  <c r="R59" i="1"/>
  <c r="R61" i="1" s="1"/>
  <c r="Q60" i="1"/>
  <c r="Q61" i="1" s="1"/>
  <c r="Z65" i="1"/>
  <c r="G65" i="1"/>
  <c r="P77" i="1"/>
  <c r="Q77" i="1" s="1"/>
  <c r="H80" i="1"/>
  <c r="Z165" i="1"/>
  <c r="AA165" i="1" s="1"/>
  <c r="U165" i="1"/>
  <c r="V165" i="1" s="1"/>
  <c r="P165" i="1"/>
  <c r="R165" i="1" s="1"/>
  <c r="R169" i="1" s="1"/>
  <c r="K165" i="1"/>
  <c r="H165" i="1"/>
  <c r="Z283" i="1"/>
  <c r="AA283" i="1" s="1"/>
  <c r="AB283" i="1"/>
  <c r="AE283" i="1" s="1"/>
  <c r="U283" i="1"/>
  <c r="V283" i="1" s="1"/>
  <c r="P283" i="1"/>
  <c r="R283" i="1" s="1"/>
  <c r="K283" i="1"/>
  <c r="H283" i="1"/>
  <c r="Y295" i="1"/>
  <c r="Z357" i="1"/>
  <c r="AA357" i="1" s="1"/>
  <c r="U357" i="1"/>
  <c r="V357" i="1" s="1"/>
  <c r="Y134" i="1"/>
  <c r="R134" i="1"/>
  <c r="Z194" i="1"/>
  <c r="AA194" i="1" s="1"/>
  <c r="P194" i="1"/>
  <c r="R194" i="1" s="1"/>
  <c r="K194" i="1"/>
  <c r="H194" i="1"/>
  <c r="Y22" i="1"/>
  <c r="G26" i="1"/>
  <c r="K29" i="1"/>
  <c r="P31" i="1"/>
  <c r="Q31" i="1" s="1"/>
  <c r="Q32" i="1" s="1"/>
  <c r="P34" i="1"/>
  <c r="Z41" i="1"/>
  <c r="K40" i="1"/>
  <c r="P54" i="1"/>
  <c r="Q54" i="1" s="1"/>
  <c r="Y57" i="1"/>
  <c r="Z81" i="1"/>
  <c r="AA81" i="1" s="1"/>
  <c r="U81" i="1"/>
  <c r="V81" i="1" s="1"/>
  <c r="K81" i="1"/>
  <c r="P259" i="1"/>
  <c r="R259" i="1" s="1"/>
  <c r="AB259" i="1"/>
  <c r="AG259" i="1" s="1"/>
  <c r="U259" i="1"/>
  <c r="V259" i="1" s="1"/>
  <c r="K259" i="1"/>
  <c r="AG265" i="1"/>
  <c r="Z350" i="1"/>
  <c r="AA350" i="1" s="1"/>
  <c r="P350" i="1"/>
  <c r="R350" i="1" s="1"/>
  <c r="K350" i="1"/>
  <c r="H350" i="1"/>
  <c r="U85" i="1"/>
  <c r="V85" i="1" s="1"/>
  <c r="H93" i="1"/>
  <c r="H95" i="1"/>
  <c r="P101" i="1"/>
  <c r="S148" i="1"/>
  <c r="V108" i="1"/>
  <c r="H112" i="1"/>
  <c r="K113" i="1"/>
  <c r="H116" i="1"/>
  <c r="R118" i="1"/>
  <c r="K127" i="1"/>
  <c r="AB128" i="1"/>
  <c r="AE128" i="1" s="1"/>
  <c r="H133" i="1"/>
  <c r="H145" i="1"/>
  <c r="K151" i="1"/>
  <c r="Y170" i="1"/>
  <c r="K186" i="1"/>
  <c r="K190" i="1"/>
  <c r="U191" i="1"/>
  <c r="V191" i="1" s="1"/>
  <c r="H198" i="1"/>
  <c r="P222" i="1"/>
  <c r="R222" i="1" s="1"/>
  <c r="P224" i="1"/>
  <c r="K227" i="1"/>
  <c r="K231" i="1"/>
  <c r="K234" i="1"/>
  <c r="K236" i="1"/>
  <c r="H238" i="1"/>
  <c r="P239" i="1"/>
  <c r="Q245" i="1"/>
  <c r="AB258" i="1"/>
  <c r="AG258" i="1" s="1"/>
  <c r="AB260" i="1"/>
  <c r="AG260" i="1" s="1"/>
  <c r="U262" i="1"/>
  <c r="V262" i="1" s="1"/>
  <c r="AB263" i="1"/>
  <c r="U266" i="1"/>
  <c r="V266" i="1" s="1"/>
  <c r="U267" i="1"/>
  <c r="V267" i="1" s="1"/>
  <c r="K269" i="1"/>
  <c r="R295" i="1"/>
  <c r="AG295" i="1"/>
  <c r="AI295" i="1" s="1"/>
  <c r="AB297" i="1"/>
  <c r="AE297" i="1" s="1"/>
  <c r="AB314" i="1"/>
  <c r="AD314" i="1" s="1"/>
  <c r="AB315" i="1"/>
  <c r="H317" i="1"/>
  <c r="K318" i="1"/>
  <c r="U325" i="1"/>
  <c r="V325" i="1" s="1"/>
  <c r="AB331" i="1"/>
  <c r="AB332" i="1"/>
  <c r="AH332" i="1" s="1"/>
  <c r="W93" i="1"/>
  <c r="W148" i="1"/>
  <c r="P112" i="1"/>
  <c r="U116" i="1"/>
  <c r="V116" i="1" s="1"/>
  <c r="P133" i="1"/>
  <c r="K142" i="1"/>
  <c r="K144" i="1"/>
  <c r="P145" i="1"/>
  <c r="U149" i="1"/>
  <c r="V149" i="1" s="1"/>
  <c r="U155" i="1"/>
  <c r="V155" i="1" s="1"/>
  <c r="Y172" i="1"/>
  <c r="U181" i="1"/>
  <c r="P185" i="1"/>
  <c r="U201" i="1"/>
  <c r="V201" i="1" s="1"/>
  <c r="Y210" i="1"/>
  <c r="K215" i="1"/>
  <c r="K218" i="1"/>
  <c r="U222" i="1"/>
  <c r="U236" i="1"/>
  <c r="V236" i="1" s="1"/>
  <c r="P238" i="1"/>
  <c r="K251" i="1"/>
  <c r="U255" i="1"/>
  <c r="V255" i="1" s="1"/>
  <c r="U257" i="1"/>
  <c r="AB266" i="1"/>
  <c r="AB267" i="1"/>
  <c r="AB279" i="1"/>
  <c r="AG279" i="1" s="1"/>
  <c r="K284" i="1"/>
  <c r="K285" i="1"/>
  <c r="AE294" i="1"/>
  <c r="U317" i="1"/>
  <c r="V317" i="1" s="1"/>
  <c r="Z318" i="1"/>
  <c r="AA318" i="1" s="1"/>
  <c r="U329" i="1"/>
  <c r="U330" i="1"/>
  <c r="Y361" i="1"/>
  <c r="AA147" i="1"/>
  <c r="U198" i="1"/>
  <c r="U215" i="1"/>
  <c r="V215" i="1" s="1"/>
  <c r="U218" i="1"/>
  <c r="V218" i="1" s="1"/>
  <c r="U232" i="1"/>
  <c r="K235" i="1"/>
  <c r="U238" i="1"/>
  <c r="V238" i="1" s="1"/>
  <c r="Z239" i="1"/>
  <c r="AA239" i="1" s="1"/>
  <c r="AB280" i="1"/>
  <c r="AE280" i="1" s="1"/>
  <c r="P284" i="1"/>
  <c r="Q284" i="1" s="1"/>
  <c r="P285" i="1"/>
  <c r="Q285" i="1" s="1"/>
  <c r="AG294" i="1"/>
  <c r="P300" i="1"/>
  <c r="Q300" i="1" s="1"/>
  <c r="Z317" i="1"/>
  <c r="AA317" i="1" s="1"/>
  <c r="W323" i="1"/>
  <c r="X323" i="1" s="1"/>
  <c r="H327" i="1"/>
  <c r="H348" i="1"/>
  <c r="H85" i="1"/>
  <c r="L148" i="1"/>
  <c r="H109" i="1"/>
  <c r="H111" i="1"/>
  <c r="U112" i="1"/>
  <c r="V112" i="1" s="1"/>
  <c r="H120" i="1"/>
  <c r="K128" i="1"/>
  <c r="AD135" i="1"/>
  <c r="AD138" i="1" s="1"/>
  <c r="AD148" i="1" s="1"/>
  <c r="P146" i="1"/>
  <c r="R146" i="1" s="1"/>
  <c r="H150" i="1"/>
  <c r="G169" i="1"/>
  <c r="U179" i="1"/>
  <c r="V179" i="1" s="1"/>
  <c r="U185" i="1"/>
  <c r="V185" i="1" s="1"/>
  <c r="H193" i="1"/>
  <c r="W201" i="1"/>
  <c r="W202" i="1" s="1"/>
  <c r="H223" i="1"/>
  <c r="K250" i="1"/>
  <c r="AD254" i="1"/>
  <c r="H264" i="1"/>
  <c r="H271" i="1"/>
  <c r="P275" i="1"/>
  <c r="R275" i="1" s="1"/>
  <c r="U284" i="1"/>
  <c r="V284" i="1" s="1"/>
  <c r="U285" i="1"/>
  <c r="V285" i="1" s="1"/>
  <c r="H290" i="1"/>
  <c r="AD293" i="1"/>
  <c r="H297" i="1"/>
  <c r="K313" i="1"/>
  <c r="K315" i="1"/>
  <c r="AB317" i="1"/>
  <c r="AG317" i="1" s="1"/>
  <c r="U327" i="1"/>
  <c r="V327" i="1" s="1"/>
  <c r="W329" i="1"/>
  <c r="X329" i="1" s="1"/>
  <c r="W330" i="1"/>
  <c r="X330" i="1" s="1"/>
  <c r="Y355" i="1"/>
  <c r="K360" i="1"/>
  <c r="P94" i="1"/>
  <c r="Q94" i="1" s="1"/>
  <c r="Q98" i="1"/>
  <c r="M148" i="1"/>
  <c r="K109" i="1"/>
  <c r="U111" i="1"/>
  <c r="V111" i="1" s="1"/>
  <c r="K120" i="1"/>
  <c r="AG135" i="1"/>
  <c r="K173" i="1"/>
  <c r="H199" i="1"/>
  <c r="Z201" i="1"/>
  <c r="AA201" i="1" s="1"/>
  <c r="P214" i="1"/>
  <c r="Q214" i="1" s="1"/>
  <c r="U216" i="1"/>
  <c r="K219" i="1"/>
  <c r="Y268" i="1"/>
  <c r="U271" i="1"/>
  <c r="V271" i="1" s="1"/>
  <c r="U275" i="1"/>
  <c r="V275" i="1" s="1"/>
  <c r="AB285" i="1"/>
  <c r="Z286" i="1"/>
  <c r="AA286" i="1" s="1"/>
  <c r="K290" i="1"/>
  <c r="K291" i="1"/>
  <c r="AE293" i="1"/>
  <c r="K297" i="1"/>
  <c r="K298" i="1"/>
  <c r="N148" i="1"/>
  <c r="H131" i="1"/>
  <c r="H141" i="1"/>
  <c r="H143" i="1" s="1"/>
  <c r="U152" i="1"/>
  <c r="V152" i="1" s="1"/>
  <c r="K154" i="1"/>
  <c r="K159" i="1"/>
  <c r="K161" i="1"/>
  <c r="U173" i="1"/>
  <c r="V173" i="1" s="1"/>
  <c r="K180" i="1"/>
  <c r="K189" i="1"/>
  <c r="K191" i="1"/>
  <c r="G202" i="1"/>
  <c r="Y203" i="1"/>
  <c r="W219" i="1"/>
  <c r="X219" i="1" s="1"/>
  <c r="K237" i="1"/>
  <c r="P241" i="1"/>
  <c r="R241" i="1" s="1"/>
  <c r="AB250" i="1"/>
  <c r="AE250" i="1" s="1"/>
  <c r="U256" i="1"/>
  <c r="Y256" i="1" s="1"/>
  <c r="K258" i="1"/>
  <c r="K260" i="1"/>
  <c r="R264" i="1"/>
  <c r="K265" i="1"/>
  <c r="H267" i="1"/>
  <c r="Y269" i="1"/>
  <c r="K280" i="1"/>
  <c r="K281" i="1"/>
  <c r="H282" i="1"/>
  <c r="AB284" i="1"/>
  <c r="AJ284" i="1" s="1"/>
  <c r="P290" i="1"/>
  <c r="Q290" i="1" s="1"/>
  <c r="AG293" i="1"/>
  <c r="AD295" i="1"/>
  <c r="P297" i="1"/>
  <c r="R297" i="1" s="1"/>
  <c r="AB298" i="1"/>
  <c r="AD298" i="1" s="1"/>
  <c r="U315" i="1"/>
  <c r="V315" i="1" s="1"/>
  <c r="U316" i="1"/>
  <c r="V316" i="1" s="1"/>
  <c r="U331" i="1"/>
  <c r="V331" i="1" s="1"/>
  <c r="U332" i="1"/>
  <c r="V332" i="1" s="1"/>
  <c r="K339" i="1"/>
  <c r="U343" i="1"/>
  <c r="V343" i="1" s="1"/>
  <c r="H349" i="1"/>
  <c r="P351" i="1"/>
  <c r="Q351" i="1" s="1"/>
  <c r="AB360" i="1"/>
  <c r="AE360" i="1" s="1"/>
  <c r="U109" i="1"/>
  <c r="H113" i="1"/>
  <c r="K118" i="1"/>
  <c r="P122" i="1"/>
  <c r="Q122" i="1" s="1"/>
  <c r="K141" i="1"/>
  <c r="Z152" i="1"/>
  <c r="AA152" i="1" s="1"/>
  <c r="U154" i="1"/>
  <c r="V154" i="1" s="1"/>
  <c r="P159" i="1"/>
  <c r="Y159" i="1" s="1"/>
  <c r="U161" i="1"/>
  <c r="V161" i="1" s="1"/>
  <c r="G174" i="1"/>
  <c r="U180" i="1"/>
  <c r="V180" i="1" s="1"/>
  <c r="K184" i="1"/>
  <c r="H186" i="1"/>
  <c r="P191" i="1"/>
  <c r="U193" i="1"/>
  <c r="V193" i="1" s="1"/>
  <c r="P199" i="1"/>
  <c r="P202" i="1" s="1"/>
  <c r="U214" i="1"/>
  <c r="H231" i="1"/>
  <c r="H239" i="1"/>
  <c r="Y244" i="1"/>
  <c r="AJ254" i="1"/>
  <c r="AB256" i="1"/>
  <c r="AG256" i="1" s="1"/>
  <c r="U258" i="1"/>
  <c r="V258" i="1" s="1"/>
  <c r="U260" i="1"/>
  <c r="V260" i="1" s="1"/>
  <c r="K262" i="1"/>
  <c r="U264" i="1"/>
  <c r="V264" i="1" s="1"/>
  <c r="U265" i="1"/>
  <c r="V265" i="1" s="1"/>
  <c r="Q266" i="1"/>
  <c r="K267" i="1"/>
  <c r="K268" i="1"/>
  <c r="P280" i="1"/>
  <c r="P281" i="1"/>
  <c r="R281" i="1" s="1"/>
  <c r="K282" i="1"/>
  <c r="U290" i="1"/>
  <c r="V290" i="1" s="1"/>
  <c r="U297" i="1"/>
  <c r="V297" i="1" s="1"/>
  <c r="K314" i="1"/>
  <c r="H325" i="1"/>
  <c r="W328" i="1"/>
  <c r="X328" i="1" s="1"/>
  <c r="W332" i="1"/>
  <c r="X332" i="1" s="1"/>
  <c r="AB339" i="1"/>
  <c r="AE339" i="1" s="1"/>
  <c r="K349" i="1"/>
  <c r="AD356" i="1"/>
  <c r="AA41" i="1"/>
  <c r="Y8" i="1"/>
  <c r="R8" i="1"/>
  <c r="Q12" i="1"/>
  <c r="Y12" i="1"/>
  <c r="R20" i="1"/>
  <c r="Y20" i="1"/>
  <c r="Y16" i="1"/>
  <c r="Q16" i="1"/>
  <c r="Q42" i="1"/>
  <c r="P44" i="1"/>
  <c r="AA45" i="1"/>
  <c r="AA49" i="1" s="1"/>
  <c r="Z49" i="1"/>
  <c r="Y9" i="1"/>
  <c r="R9" i="1"/>
  <c r="Y17" i="1"/>
  <c r="R17" i="1"/>
  <c r="H26" i="1"/>
  <c r="V29" i="1"/>
  <c r="V31" i="1"/>
  <c r="V32" i="1" s="1"/>
  <c r="U32" i="1"/>
  <c r="P51" i="1"/>
  <c r="R50" i="1"/>
  <c r="R51" i="1" s="1"/>
  <c r="Y15" i="1"/>
  <c r="Q15" i="1"/>
  <c r="AA69" i="1"/>
  <c r="P7" i="1"/>
  <c r="R10" i="1"/>
  <c r="Q18" i="1"/>
  <c r="AA23" i="1"/>
  <c r="Y24" i="1"/>
  <c r="L97" i="1"/>
  <c r="V27" i="1"/>
  <c r="Z29" i="1"/>
  <c r="AA29" i="1" s="1"/>
  <c r="AA30" i="1" s="1"/>
  <c r="Z31" i="1"/>
  <c r="Y33" i="1"/>
  <c r="AD38" i="1"/>
  <c r="K39" i="1"/>
  <c r="Q43" i="1"/>
  <c r="K45" i="1"/>
  <c r="K48" i="1"/>
  <c r="G49" i="1"/>
  <c r="U50" i="1"/>
  <c r="Y50" i="1" s="1"/>
  <c r="Y51" i="1" s="1"/>
  <c r="K52" i="1"/>
  <c r="V56" i="1"/>
  <c r="V58" i="1" s="1"/>
  <c r="Z61" i="1"/>
  <c r="U69" i="1"/>
  <c r="K83" i="1"/>
  <c r="H83" i="1"/>
  <c r="U83" i="1"/>
  <c r="V83" i="1" s="1"/>
  <c r="Q110" i="1"/>
  <c r="U114" i="1"/>
  <c r="V114" i="1" s="1"/>
  <c r="P114" i="1"/>
  <c r="K114" i="1"/>
  <c r="H114" i="1"/>
  <c r="Z92" i="1"/>
  <c r="U92" i="1"/>
  <c r="P92" i="1"/>
  <c r="G96" i="1"/>
  <c r="K92" i="1"/>
  <c r="S97" i="1"/>
  <c r="U25" i="1"/>
  <c r="V25" i="1" s="1"/>
  <c r="V26" i="1" s="1"/>
  <c r="M97" i="1"/>
  <c r="H31" i="1"/>
  <c r="H32" i="1" s="1"/>
  <c r="U34" i="1"/>
  <c r="V34" i="1" s="1"/>
  <c r="V35" i="1" s="1"/>
  <c r="AE38" i="1"/>
  <c r="P39" i="1"/>
  <c r="G41" i="1"/>
  <c r="P45" i="1"/>
  <c r="P48" i="1"/>
  <c r="P52" i="1"/>
  <c r="U54" i="1"/>
  <c r="V54" i="1" s="1"/>
  <c r="Y63" i="1"/>
  <c r="Y66" i="1"/>
  <c r="P69" i="1"/>
  <c r="R66" i="1"/>
  <c r="R69" i="1" s="1"/>
  <c r="Y76" i="1"/>
  <c r="AA88" i="1"/>
  <c r="R131" i="1"/>
  <c r="Y144" i="1"/>
  <c r="Q144" i="1"/>
  <c r="Q147" i="1" s="1"/>
  <c r="T97" i="1"/>
  <c r="N97" i="1"/>
  <c r="AG38" i="1"/>
  <c r="Z42" i="1"/>
  <c r="U65" i="1"/>
  <c r="K72" i="1"/>
  <c r="H72" i="1"/>
  <c r="U72" i="1"/>
  <c r="V72" i="1" s="1"/>
  <c r="U79" i="1"/>
  <c r="V79" i="1" s="1"/>
  <c r="P79" i="1"/>
  <c r="K79" i="1"/>
  <c r="H79" i="1"/>
  <c r="G91" i="1"/>
  <c r="P89" i="1"/>
  <c r="K89" i="1"/>
  <c r="U103" i="1"/>
  <c r="V103" i="1" s="1"/>
  <c r="P103" i="1"/>
  <c r="K103" i="1"/>
  <c r="H103" i="1"/>
  <c r="Q115" i="1"/>
  <c r="Z117" i="1"/>
  <c r="AA117" i="1" s="1"/>
  <c r="U117" i="1"/>
  <c r="V117" i="1" s="1"/>
  <c r="P117" i="1"/>
  <c r="K117" i="1"/>
  <c r="H117" i="1"/>
  <c r="U45" i="1"/>
  <c r="Z50" i="1"/>
  <c r="H56" i="1"/>
  <c r="H58" i="1" s="1"/>
  <c r="G58" i="1"/>
  <c r="P56" i="1"/>
  <c r="Q161" i="1"/>
  <c r="AN97" i="1"/>
  <c r="AN365" i="1" s="1"/>
  <c r="Z25" i="1"/>
  <c r="AA25" i="1" s="1"/>
  <c r="Z34" i="1"/>
  <c r="Z35" i="1" s="1"/>
  <c r="Y38" i="1"/>
  <c r="K42" i="1"/>
  <c r="K44" i="1" s="1"/>
  <c r="H50" i="1"/>
  <c r="H51" i="1" s="1"/>
  <c r="Z54" i="1"/>
  <c r="AA54" i="1" s="1"/>
  <c r="Z69" i="1"/>
  <c r="R72" i="1"/>
  <c r="P84" i="1"/>
  <c r="K84" i="1"/>
  <c r="U89" i="1"/>
  <c r="K50" i="1"/>
  <c r="K51" i="1" s="1"/>
  <c r="G51" i="1"/>
  <c r="K56" i="1"/>
  <c r="K58" i="1" s="1"/>
  <c r="AA63" i="1"/>
  <c r="AA65" i="1" s="1"/>
  <c r="Z72" i="1"/>
  <c r="AA72" i="1" s="1"/>
  <c r="Z79" i="1"/>
  <c r="AA79" i="1" s="1"/>
  <c r="H84" i="1"/>
  <c r="Z89" i="1"/>
  <c r="AA89" i="1" s="1"/>
  <c r="R123" i="1"/>
  <c r="Z52" i="1"/>
  <c r="U61" i="1"/>
  <c r="Y59" i="1"/>
  <c r="Y88" i="1"/>
  <c r="U166" i="1"/>
  <c r="V166" i="1" s="1"/>
  <c r="S166" i="1"/>
  <c r="K166" i="1"/>
  <c r="H166" i="1"/>
  <c r="Z166" i="1"/>
  <c r="AA166" i="1" s="1"/>
  <c r="Y68" i="1"/>
  <c r="Z71" i="1"/>
  <c r="AA71" i="1" s="1"/>
  <c r="P81" i="1"/>
  <c r="Z82" i="1"/>
  <c r="AA82" i="1" s="1"/>
  <c r="Z93" i="1"/>
  <c r="AA93" i="1" s="1"/>
  <c r="U94" i="1"/>
  <c r="V94" i="1" s="1"/>
  <c r="K95" i="1"/>
  <c r="U99" i="1"/>
  <c r="K100" i="1"/>
  <c r="G124" i="1"/>
  <c r="Z106" i="1"/>
  <c r="U107" i="1"/>
  <c r="V107" i="1" s="1"/>
  <c r="U110" i="1"/>
  <c r="V110" i="1" s="1"/>
  <c r="K111" i="1"/>
  <c r="P116" i="1"/>
  <c r="P126" i="1"/>
  <c r="H126" i="1"/>
  <c r="G138" i="1"/>
  <c r="Y135" i="1"/>
  <c r="Q135" i="1"/>
  <c r="H71" i="1"/>
  <c r="U75" i="1"/>
  <c r="U78" i="1"/>
  <c r="V78" i="1" s="1"/>
  <c r="U86" i="1"/>
  <c r="V86" i="1" s="1"/>
  <c r="Z90" i="1"/>
  <c r="AA90" i="1" s="1"/>
  <c r="P95" i="1"/>
  <c r="P100" i="1"/>
  <c r="U102" i="1"/>
  <c r="V102" i="1" s="1"/>
  <c r="G104" i="1"/>
  <c r="P111" i="1"/>
  <c r="U113" i="1"/>
  <c r="V113" i="1" s="1"/>
  <c r="Y136" i="1"/>
  <c r="R136" i="1"/>
  <c r="Y139" i="1"/>
  <c r="R139" i="1"/>
  <c r="R143" i="1" s="1"/>
  <c r="R157" i="1"/>
  <c r="Y157" i="1"/>
  <c r="Y243" i="1"/>
  <c r="Q243" i="1"/>
  <c r="Z80" i="1"/>
  <c r="AA80" i="1" s="1"/>
  <c r="Z115" i="1"/>
  <c r="AA115" i="1" s="1"/>
  <c r="Y153" i="1"/>
  <c r="V219" i="1"/>
  <c r="Z94" i="1"/>
  <c r="AA94" i="1" s="1"/>
  <c r="U95" i="1"/>
  <c r="V95" i="1" s="1"/>
  <c r="Z99" i="1"/>
  <c r="U100" i="1"/>
  <c r="V100" i="1" s="1"/>
  <c r="Z107" i="1"/>
  <c r="AA107" i="1" s="1"/>
  <c r="Z110" i="1"/>
  <c r="AA110" i="1" s="1"/>
  <c r="Y70" i="1"/>
  <c r="Z75" i="1"/>
  <c r="Z78" i="1"/>
  <c r="AA78" i="1" s="1"/>
  <c r="K80" i="1"/>
  <c r="H94" i="1"/>
  <c r="H99" i="1"/>
  <c r="V105" i="1"/>
  <c r="H107" i="1"/>
  <c r="H110" i="1"/>
  <c r="K115" i="1"/>
  <c r="Y125" i="1"/>
  <c r="Q125" i="1"/>
  <c r="W163" i="1"/>
  <c r="X163" i="1" s="1"/>
  <c r="K163" i="1"/>
  <c r="H163" i="1"/>
  <c r="Z177" i="1"/>
  <c r="AA176" i="1"/>
  <c r="AA177" i="1" s="1"/>
  <c r="G197" i="1"/>
  <c r="U178" i="1"/>
  <c r="P178" i="1"/>
  <c r="K178" i="1"/>
  <c r="H178" i="1"/>
  <c r="K99" i="1"/>
  <c r="Y105" i="1"/>
  <c r="K107" i="1"/>
  <c r="K110" i="1"/>
  <c r="U123" i="1"/>
  <c r="V123" i="1" s="1"/>
  <c r="K123" i="1"/>
  <c r="V125" i="1"/>
  <c r="Z147" i="1"/>
  <c r="U146" i="1"/>
  <c r="V146" i="1" s="1"/>
  <c r="K146" i="1"/>
  <c r="H146" i="1"/>
  <c r="R151" i="1"/>
  <c r="U163" i="1"/>
  <c r="Z178" i="1"/>
  <c r="V214" i="1"/>
  <c r="AA125" i="1"/>
  <c r="Y137" i="1"/>
  <c r="Q137" i="1"/>
  <c r="Y171" i="1"/>
  <c r="R171" i="1"/>
  <c r="R179" i="1"/>
  <c r="V206" i="1"/>
  <c r="U229" i="1"/>
  <c r="V229" i="1" s="1"/>
  <c r="P229" i="1"/>
  <c r="K229" i="1"/>
  <c r="H229" i="1"/>
  <c r="Z229" i="1"/>
  <c r="AA229" i="1" s="1"/>
  <c r="Z120" i="1"/>
  <c r="AA120" i="1" s="1"/>
  <c r="U121" i="1"/>
  <c r="K122" i="1"/>
  <c r="P127" i="1"/>
  <c r="Z128" i="1"/>
  <c r="AA128" i="1" s="1"/>
  <c r="U130" i="1"/>
  <c r="V130" i="1" s="1"/>
  <c r="U131" i="1"/>
  <c r="V131" i="1" s="1"/>
  <c r="AE135" i="1"/>
  <c r="P140" i="1"/>
  <c r="Z141" i="1"/>
  <c r="AA141" i="1" s="1"/>
  <c r="P149" i="1"/>
  <c r="Z150" i="1"/>
  <c r="AA150" i="1" s="1"/>
  <c r="P155" i="1"/>
  <c r="Z171" i="1"/>
  <c r="P173" i="1"/>
  <c r="P174" i="1" s="1"/>
  <c r="Y176" i="1"/>
  <c r="Y177" i="1" s="1"/>
  <c r="H180" i="1"/>
  <c r="P182" i="1"/>
  <c r="H184" i="1"/>
  <c r="H189" i="1"/>
  <c r="P195" i="1"/>
  <c r="Q227" i="1"/>
  <c r="AB278" i="1"/>
  <c r="K278" i="1"/>
  <c r="H278" i="1"/>
  <c r="Z278" i="1"/>
  <c r="AA278" i="1" s="1"/>
  <c r="U278" i="1"/>
  <c r="V278" i="1" s="1"/>
  <c r="S278" i="1"/>
  <c r="Z154" i="1"/>
  <c r="AA154" i="1" s="1"/>
  <c r="P180" i="1"/>
  <c r="Z181" i="1"/>
  <c r="AA181" i="1" s="1"/>
  <c r="K188" i="1"/>
  <c r="H188" i="1"/>
  <c r="U189" i="1"/>
  <c r="V189" i="1" s="1"/>
  <c r="U221" i="1"/>
  <c r="V221" i="1" s="1"/>
  <c r="P221" i="1"/>
  <c r="K221" i="1"/>
  <c r="H221" i="1"/>
  <c r="Q234" i="1"/>
  <c r="R262" i="1"/>
  <c r="AJ280" i="1"/>
  <c r="Z121" i="1"/>
  <c r="AA121" i="1" s="1"/>
  <c r="U122" i="1"/>
  <c r="V122" i="1" s="1"/>
  <c r="Z130" i="1"/>
  <c r="AA130" i="1" s="1"/>
  <c r="Z131" i="1"/>
  <c r="AA131" i="1" s="1"/>
  <c r="P141" i="1"/>
  <c r="Z142" i="1"/>
  <c r="AA142" i="1" s="1"/>
  <c r="U145" i="1"/>
  <c r="G147" i="1"/>
  <c r="P150" i="1"/>
  <c r="Z151" i="1"/>
  <c r="AA151" i="1" s="1"/>
  <c r="R153" i="1"/>
  <c r="H154" i="1"/>
  <c r="Q156" i="1"/>
  <c r="G158" i="1"/>
  <c r="Z161" i="1"/>
  <c r="AA161" i="1" s="1"/>
  <c r="W162" i="1"/>
  <c r="U168" i="1"/>
  <c r="V168" i="1" s="1"/>
  <c r="V170" i="1"/>
  <c r="H181" i="1"/>
  <c r="P188" i="1"/>
  <c r="Z189" i="1"/>
  <c r="AA189" i="1" s="1"/>
  <c r="G248" i="1"/>
  <c r="U213" i="1"/>
  <c r="V213" i="1" s="1"/>
  <c r="P213" i="1"/>
  <c r="K213" i="1"/>
  <c r="H213" i="1"/>
  <c r="Z221" i="1"/>
  <c r="AA221" i="1" s="1"/>
  <c r="Y226" i="1"/>
  <c r="R226" i="1"/>
  <c r="P177" i="1"/>
  <c r="Z179" i="1"/>
  <c r="AA179" i="1" s="1"/>
  <c r="U192" i="1"/>
  <c r="V192" i="1" s="1"/>
  <c r="P192" i="1"/>
  <c r="K192" i="1"/>
  <c r="R218" i="1"/>
  <c r="K130" i="1"/>
  <c r="AB130" i="1"/>
  <c r="K131" i="1"/>
  <c r="Z140" i="1"/>
  <c r="G143" i="1"/>
  <c r="Z149" i="1"/>
  <c r="Z155" i="1"/>
  <c r="AA155" i="1" s="1"/>
  <c r="Z173" i="1"/>
  <c r="AA173" i="1" s="1"/>
  <c r="H179" i="1"/>
  <c r="U187" i="1"/>
  <c r="V187" i="1" s="1"/>
  <c r="K187" i="1"/>
  <c r="H187" i="1"/>
  <c r="U188" i="1"/>
  <c r="V188" i="1" s="1"/>
  <c r="H192" i="1"/>
  <c r="Y196" i="1"/>
  <c r="Y208" i="1"/>
  <c r="R208" i="1"/>
  <c r="K179" i="1"/>
  <c r="H182" i="1"/>
  <c r="P187" i="1"/>
  <c r="Z188" i="1"/>
  <c r="AA188" i="1" s="1"/>
  <c r="Y207" i="1"/>
  <c r="P242" i="1"/>
  <c r="H242" i="1"/>
  <c r="Z242" i="1"/>
  <c r="AA242" i="1" s="1"/>
  <c r="U242" i="1"/>
  <c r="V242" i="1" s="1"/>
  <c r="K242" i="1"/>
  <c r="U184" i="1"/>
  <c r="V184" i="1" s="1"/>
  <c r="P184" i="1"/>
  <c r="Q189" i="1"/>
  <c r="U195" i="1"/>
  <c r="V195" i="1" s="1"/>
  <c r="K195" i="1"/>
  <c r="H195" i="1"/>
  <c r="Y212" i="1"/>
  <c r="R212" i="1"/>
  <c r="V235" i="1"/>
  <c r="V246" i="1"/>
  <c r="Y246" i="1"/>
  <c r="AB274" i="1"/>
  <c r="K274" i="1"/>
  <c r="H274" i="1"/>
  <c r="Z274" i="1"/>
  <c r="AA274" i="1" s="1"/>
  <c r="U274" i="1"/>
  <c r="V274" i="1" s="1"/>
  <c r="P274" i="1"/>
  <c r="P204" i="1"/>
  <c r="P217" i="1"/>
  <c r="Z218" i="1"/>
  <c r="AA218" i="1" s="1"/>
  <c r="P225" i="1"/>
  <c r="Z226" i="1"/>
  <c r="AA226" i="1" s="1"/>
  <c r="P233" i="1"/>
  <c r="Z234" i="1"/>
  <c r="AA234" i="1" s="1"/>
  <c r="W240" i="1"/>
  <c r="X240" i="1" s="1"/>
  <c r="G346" i="1"/>
  <c r="AB249" i="1"/>
  <c r="K249" i="1"/>
  <c r="H249" i="1"/>
  <c r="U204" i="1"/>
  <c r="V204" i="1" s="1"/>
  <c r="Z206" i="1"/>
  <c r="AA206" i="1" s="1"/>
  <c r="Z216" i="1"/>
  <c r="AA216" i="1" s="1"/>
  <c r="U217" i="1"/>
  <c r="V217" i="1" s="1"/>
  <c r="Z224" i="1"/>
  <c r="AA224" i="1" s="1"/>
  <c r="U225" i="1"/>
  <c r="V225" i="1" s="1"/>
  <c r="Z232" i="1"/>
  <c r="AA232" i="1" s="1"/>
  <c r="U233" i="1"/>
  <c r="V233" i="1" s="1"/>
  <c r="Z240" i="1"/>
  <c r="AA240" i="1" s="1"/>
  <c r="AD292" i="1"/>
  <c r="AE292" i="1"/>
  <c r="AG292" i="1"/>
  <c r="Z190" i="1"/>
  <c r="AA190" i="1" s="1"/>
  <c r="AA203" i="1"/>
  <c r="Q205" i="1"/>
  <c r="H206" i="1"/>
  <c r="H216" i="1"/>
  <c r="Z219" i="1"/>
  <c r="AA219" i="1" s="1"/>
  <c r="H224" i="1"/>
  <c r="Z227" i="1"/>
  <c r="AA227" i="1" s="1"/>
  <c r="H232" i="1"/>
  <c r="Z235" i="1"/>
  <c r="AA235" i="1" s="1"/>
  <c r="R237" i="1"/>
  <c r="AA249" i="1"/>
  <c r="Q267" i="1"/>
  <c r="AB273" i="1"/>
  <c r="K273" i="1"/>
  <c r="H273" i="1"/>
  <c r="AB277" i="1"/>
  <c r="K277" i="1"/>
  <c r="H277" i="1"/>
  <c r="U310" i="1"/>
  <c r="V310" i="1" s="1"/>
  <c r="P310" i="1"/>
  <c r="AB310" i="1"/>
  <c r="K310" i="1"/>
  <c r="H310" i="1"/>
  <c r="Z310" i="1"/>
  <c r="AA310" i="1" s="1"/>
  <c r="Z185" i="1"/>
  <c r="AA185" i="1" s="1"/>
  <c r="U186" i="1"/>
  <c r="V186" i="1" s="1"/>
  <c r="H190" i="1"/>
  <c r="Z193" i="1"/>
  <c r="AA193" i="1" s="1"/>
  <c r="U194" i="1"/>
  <c r="V194" i="1" s="1"/>
  <c r="Z198" i="1"/>
  <c r="U199" i="1"/>
  <c r="V199" i="1" s="1"/>
  <c r="K206" i="1"/>
  <c r="K211" i="1" s="1"/>
  <c r="R209" i="1"/>
  <c r="G211" i="1"/>
  <c r="V212" i="1"/>
  <c r="Z214" i="1"/>
  <c r="AA214" i="1" s="1"/>
  <c r="W215" i="1"/>
  <c r="K216" i="1"/>
  <c r="H219" i="1"/>
  <c r="Z222" i="1"/>
  <c r="AA222" i="1" s="1"/>
  <c r="W223" i="1"/>
  <c r="X223" i="1" s="1"/>
  <c r="K224" i="1"/>
  <c r="H227" i="1"/>
  <c r="Z230" i="1"/>
  <c r="AA230" i="1" s="1"/>
  <c r="W231" i="1"/>
  <c r="X231" i="1" s="1"/>
  <c r="K232" i="1"/>
  <c r="H235" i="1"/>
  <c r="U237" i="1"/>
  <c r="V237" i="1" s="1"/>
  <c r="K241" i="1"/>
  <c r="AG255" i="1"/>
  <c r="AE255" i="1"/>
  <c r="AJ255" i="1"/>
  <c r="P273" i="1"/>
  <c r="P277" i="1"/>
  <c r="AJ283" i="1"/>
  <c r="Z204" i="1"/>
  <c r="AA204" i="1" s="1"/>
  <c r="Z217" i="1"/>
  <c r="AA217" i="1" s="1"/>
  <c r="Z225" i="1"/>
  <c r="AA225" i="1" s="1"/>
  <c r="Z233" i="1"/>
  <c r="AA233" i="1" s="1"/>
  <c r="U252" i="1"/>
  <c r="V252" i="1" s="1"/>
  <c r="AB252" i="1"/>
  <c r="K252" i="1"/>
  <c r="H252" i="1"/>
  <c r="AD262" i="1"/>
  <c r="AB272" i="1"/>
  <c r="K272" i="1"/>
  <c r="H272" i="1"/>
  <c r="AB276" i="1"/>
  <c r="K276" i="1"/>
  <c r="H276" i="1"/>
  <c r="H296" i="1"/>
  <c r="U296" i="1"/>
  <c r="V296" i="1" s="1"/>
  <c r="AB296" i="1"/>
  <c r="K296" i="1"/>
  <c r="Z296" i="1"/>
  <c r="AA296" i="1" s="1"/>
  <c r="P296" i="1"/>
  <c r="U306" i="1"/>
  <c r="V306" i="1" s="1"/>
  <c r="P306" i="1"/>
  <c r="AB306" i="1"/>
  <c r="K306" i="1"/>
  <c r="H306" i="1"/>
  <c r="Z306" i="1"/>
  <c r="AA306" i="1" s="1"/>
  <c r="O364" i="1"/>
  <c r="H204" i="1"/>
  <c r="H217" i="1"/>
  <c r="H225" i="1"/>
  <c r="H233" i="1"/>
  <c r="K239" i="1"/>
  <c r="H240" i="1"/>
  <c r="U241" i="1"/>
  <c r="V241" i="1" s="1"/>
  <c r="P252" i="1"/>
  <c r="R254" i="1"/>
  <c r="Y254" i="1"/>
  <c r="P272" i="1"/>
  <c r="Z273" i="1"/>
  <c r="AA273" i="1" s="1"/>
  <c r="P276" i="1"/>
  <c r="Z277" i="1"/>
  <c r="AA277" i="1" s="1"/>
  <c r="Z237" i="1"/>
  <c r="AA237" i="1" s="1"/>
  <c r="U240" i="1"/>
  <c r="Z241" i="1"/>
  <c r="AA241" i="1" s="1"/>
  <c r="Y247" i="1"/>
  <c r="R247" i="1"/>
  <c r="Q265" i="1"/>
  <c r="R269" i="1"/>
  <c r="R271" i="1"/>
  <c r="U272" i="1"/>
  <c r="V272" i="1" s="1"/>
  <c r="AB275" i="1"/>
  <c r="K275" i="1"/>
  <c r="H275" i="1"/>
  <c r="U276" i="1"/>
  <c r="V276" i="1" s="1"/>
  <c r="P250" i="1"/>
  <c r="AB287" i="1"/>
  <c r="K287" i="1"/>
  <c r="AG289" i="1"/>
  <c r="AI289" i="1" s="1"/>
  <c r="AD289" i="1"/>
  <c r="P291" i="1"/>
  <c r="H291" i="1"/>
  <c r="R316" i="1"/>
  <c r="Z255" i="1"/>
  <c r="AA255" i="1" s="1"/>
  <c r="Z256" i="1"/>
  <c r="AA256" i="1" s="1"/>
  <c r="Z257" i="1"/>
  <c r="AA257" i="1" s="1"/>
  <c r="Z258" i="1"/>
  <c r="AA258" i="1" s="1"/>
  <c r="Z259" i="1"/>
  <c r="AA259" i="1" s="1"/>
  <c r="Z260" i="1"/>
  <c r="AA260" i="1" s="1"/>
  <c r="Z261" i="1"/>
  <c r="AA261" i="1" s="1"/>
  <c r="Z262" i="1"/>
  <c r="AA262" i="1" s="1"/>
  <c r="P287" i="1"/>
  <c r="AJ289" i="1"/>
  <c r="U291" i="1"/>
  <c r="V291" i="1" s="1"/>
  <c r="U299" i="1"/>
  <c r="V299" i="1" s="1"/>
  <c r="AB299" i="1"/>
  <c r="K299" i="1"/>
  <c r="H299" i="1"/>
  <c r="U301" i="1"/>
  <c r="V301" i="1" s="1"/>
  <c r="AB301" i="1"/>
  <c r="K301" i="1"/>
  <c r="H301" i="1"/>
  <c r="U303" i="1"/>
  <c r="V303" i="1" s="1"/>
  <c r="AB303" i="1"/>
  <c r="K303" i="1"/>
  <c r="H303" i="1"/>
  <c r="L364" i="1"/>
  <c r="U251" i="1"/>
  <c r="V251" i="1" s="1"/>
  <c r="H255" i="1"/>
  <c r="H256" i="1"/>
  <c r="H257" i="1"/>
  <c r="H258" i="1"/>
  <c r="H259" i="1"/>
  <c r="H260" i="1"/>
  <c r="H261" i="1"/>
  <c r="H262" i="1"/>
  <c r="Z263" i="1"/>
  <c r="AA263" i="1" s="1"/>
  <c r="Z264" i="1"/>
  <c r="AA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1" i="1"/>
  <c r="AA271" i="1" s="1"/>
  <c r="U281" i="1"/>
  <c r="V281" i="1" s="1"/>
  <c r="Y286" i="1"/>
  <c r="AB286" i="1"/>
  <c r="U288" i="1"/>
  <c r="V288" i="1" s="1"/>
  <c r="P288" i="1"/>
  <c r="H288" i="1"/>
  <c r="U289" i="1"/>
  <c r="V289" i="1" s="1"/>
  <c r="P289" i="1"/>
  <c r="H289" i="1"/>
  <c r="P299" i="1"/>
  <c r="P301" i="1"/>
  <c r="P303" i="1"/>
  <c r="U307" i="1"/>
  <c r="V307" i="1" s="1"/>
  <c r="P307" i="1"/>
  <c r="AB307" i="1"/>
  <c r="K307" i="1"/>
  <c r="H307" i="1"/>
  <c r="U311" i="1"/>
  <c r="V311" i="1" s="1"/>
  <c r="P311" i="1"/>
  <c r="AB311" i="1"/>
  <c r="K311" i="1"/>
  <c r="H311" i="1"/>
  <c r="N364" i="1"/>
  <c r="Z250" i="1"/>
  <c r="AA250" i="1" s="1"/>
  <c r="AB269" i="1"/>
  <c r="K271" i="1"/>
  <c r="AB271" i="1"/>
  <c r="Z282" i="1"/>
  <c r="AA282" i="1" s="1"/>
  <c r="K286" i="1"/>
  <c r="Z287" i="1"/>
  <c r="AA287" i="1" s="1"/>
  <c r="AB291" i="1"/>
  <c r="U304" i="1"/>
  <c r="V304" i="1" s="1"/>
  <c r="P304" i="1"/>
  <c r="AB304" i="1"/>
  <c r="K304" i="1"/>
  <c r="H304" i="1"/>
  <c r="U308" i="1"/>
  <c r="V308" i="1" s="1"/>
  <c r="P308" i="1"/>
  <c r="AB308" i="1"/>
  <c r="K308" i="1"/>
  <c r="H308" i="1"/>
  <c r="AB282" i="1"/>
  <c r="Q286" i="1"/>
  <c r="U300" i="1"/>
  <c r="V300" i="1" s="1"/>
  <c r="AB300" i="1"/>
  <c r="K300" i="1"/>
  <c r="H300" i="1"/>
  <c r="U302" i="1"/>
  <c r="V302" i="1" s="1"/>
  <c r="AB302" i="1"/>
  <c r="K302" i="1"/>
  <c r="H302" i="1"/>
  <c r="R302" i="1"/>
  <c r="U305" i="1"/>
  <c r="V305" i="1" s="1"/>
  <c r="P305" i="1"/>
  <c r="AB305" i="1"/>
  <c r="K305" i="1"/>
  <c r="H305" i="1"/>
  <c r="U309" i="1"/>
  <c r="V309" i="1" s="1"/>
  <c r="P309" i="1"/>
  <c r="AB309" i="1"/>
  <c r="K309" i="1"/>
  <c r="H309" i="1"/>
  <c r="AG290" i="1"/>
  <c r="P292" i="1"/>
  <c r="Z298" i="1"/>
  <c r="AA298" i="1" s="1"/>
  <c r="U319" i="1"/>
  <c r="V319" i="1" s="1"/>
  <c r="P320" i="1"/>
  <c r="AB320" i="1"/>
  <c r="K320" i="1"/>
  <c r="P334" i="1"/>
  <c r="AB334" i="1"/>
  <c r="K334" i="1"/>
  <c r="H334" i="1"/>
  <c r="U334" i="1"/>
  <c r="V334" i="1" s="1"/>
  <c r="AG361" i="1"/>
  <c r="AE361" i="1"/>
  <c r="AD361" i="1"/>
  <c r="AJ361" i="1"/>
  <c r="AC364" i="1"/>
  <c r="Z312" i="1"/>
  <c r="AA312" i="1" s="1"/>
  <c r="Z313" i="1"/>
  <c r="AA313" i="1" s="1"/>
  <c r="Z314" i="1"/>
  <c r="AA314" i="1" s="1"/>
  <c r="Z321" i="1"/>
  <c r="AA321" i="1" s="1"/>
  <c r="P321" i="1"/>
  <c r="AB321" i="1"/>
  <c r="K321" i="1"/>
  <c r="P298" i="1"/>
  <c r="H312" i="1"/>
  <c r="H313" i="1"/>
  <c r="H314" i="1"/>
  <c r="P318" i="1"/>
  <c r="AB318" i="1"/>
  <c r="H321" i="1"/>
  <c r="Z316" i="1"/>
  <c r="AA316" i="1" s="1"/>
  <c r="J364" i="1"/>
  <c r="Z292" i="1"/>
  <c r="AA292" i="1" s="1"/>
  <c r="P312" i="1"/>
  <c r="P313" i="1"/>
  <c r="AE313" i="1"/>
  <c r="AI313" i="1" s="1"/>
  <c r="P314" i="1"/>
  <c r="H316" i="1"/>
  <c r="Z320" i="1"/>
  <c r="AA320" i="1" s="1"/>
  <c r="K316" i="1"/>
  <c r="AB316" i="1"/>
  <c r="P319" i="1"/>
  <c r="AB319" i="1"/>
  <c r="K319" i="1"/>
  <c r="AG362" i="1"/>
  <c r="AE362" i="1"/>
  <c r="AD362" i="1"/>
  <c r="AJ362" i="1"/>
  <c r="K292" i="1"/>
  <c r="K317" i="1"/>
  <c r="H319" i="1"/>
  <c r="M364" i="1"/>
  <c r="Q360" i="1"/>
  <c r="I364" i="1"/>
  <c r="K322" i="1"/>
  <c r="AB322" i="1"/>
  <c r="K323" i="1"/>
  <c r="AB323" i="1"/>
  <c r="K324" i="1"/>
  <c r="AB324" i="1"/>
  <c r="K325" i="1"/>
  <c r="AB325" i="1"/>
  <c r="K327" i="1"/>
  <c r="AB327" i="1"/>
  <c r="H328" i="1"/>
  <c r="Z329" i="1"/>
  <c r="AA329" i="1" s="1"/>
  <c r="Z330" i="1"/>
  <c r="AA330" i="1" s="1"/>
  <c r="W333" i="1"/>
  <c r="X333" i="1" s="1"/>
  <c r="P336" i="1"/>
  <c r="P337" i="1"/>
  <c r="P339" i="1"/>
  <c r="K340" i="1"/>
  <c r="AB340" i="1"/>
  <c r="K342" i="1"/>
  <c r="AB342" i="1"/>
  <c r="H343" i="1"/>
  <c r="Z344" i="1"/>
  <c r="AA344" i="1" s="1"/>
  <c r="Z345" i="1"/>
  <c r="AA345" i="1" s="1"/>
  <c r="K347" i="1"/>
  <c r="AB347" i="1"/>
  <c r="K348" i="1"/>
  <c r="AB348" i="1"/>
  <c r="AB349" i="1"/>
  <c r="V354" i="1"/>
  <c r="R355" i="1"/>
  <c r="H357" i="1"/>
  <c r="Z358" i="1"/>
  <c r="AA358" i="1" s="1"/>
  <c r="V361" i="1"/>
  <c r="V362" i="1"/>
  <c r="P322" i="1"/>
  <c r="U323" i="1"/>
  <c r="P324" i="1"/>
  <c r="P325" i="1"/>
  <c r="P327" i="1"/>
  <c r="K328" i="1"/>
  <c r="AB328" i="1"/>
  <c r="P340" i="1"/>
  <c r="P342" i="1"/>
  <c r="K343" i="1"/>
  <c r="AB343" i="1"/>
  <c r="H344" i="1"/>
  <c r="H345" i="1"/>
  <c r="Z351" i="1"/>
  <c r="AA351" i="1" s="1"/>
  <c r="Z352" i="1"/>
  <c r="AA352" i="1" s="1"/>
  <c r="K357" i="1"/>
  <c r="AB357" i="1"/>
  <c r="Z359" i="1"/>
  <c r="AA359" i="1" s="1"/>
  <c r="U328" i="1"/>
  <c r="U336" i="1"/>
  <c r="V336" i="1" s="1"/>
  <c r="U337" i="1"/>
  <c r="V337" i="1" s="1"/>
  <c r="U339" i="1"/>
  <c r="V339" i="1" s="1"/>
  <c r="P343" i="1"/>
  <c r="K344" i="1"/>
  <c r="AB344" i="1"/>
  <c r="K345" i="1"/>
  <c r="AB345" i="1"/>
  <c r="H351" i="1"/>
  <c r="H352" i="1"/>
  <c r="Z353" i="1"/>
  <c r="AA353" i="1" s="1"/>
  <c r="Q356" i="1"/>
  <c r="P357" i="1"/>
  <c r="H359" i="1"/>
  <c r="Z360" i="1"/>
  <c r="AA360" i="1" s="1"/>
  <c r="G363" i="1"/>
  <c r="U322" i="1"/>
  <c r="V322" i="1" s="1"/>
  <c r="U324" i="1"/>
  <c r="V324" i="1" s="1"/>
  <c r="Z333" i="1"/>
  <c r="AA333" i="1" s="1"/>
  <c r="U340" i="1"/>
  <c r="V340" i="1" s="1"/>
  <c r="U342" i="1"/>
  <c r="V342" i="1" s="1"/>
  <c r="P344" i="1"/>
  <c r="P345" i="1"/>
  <c r="U347" i="1"/>
  <c r="U348" i="1"/>
  <c r="V348" i="1" s="1"/>
  <c r="U349" i="1"/>
  <c r="V349" i="1" s="1"/>
  <c r="U350" i="1"/>
  <c r="V350" i="1" s="1"/>
  <c r="K351" i="1"/>
  <c r="AB351" i="1"/>
  <c r="K352" i="1"/>
  <c r="AB352" i="1"/>
  <c r="H353" i="1"/>
  <c r="AG356" i="1"/>
  <c r="P358" i="1"/>
  <c r="K359" i="1"/>
  <c r="AB359" i="1"/>
  <c r="H360" i="1"/>
  <c r="Z336" i="1"/>
  <c r="AA336" i="1" s="1"/>
  <c r="Z337" i="1"/>
  <c r="AA337" i="1" s="1"/>
  <c r="Z339" i="1"/>
  <c r="AA339" i="1" s="1"/>
  <c r="Z322" i="1"/>
  <c r="AA322" i="1" s="1"/>
  <c r="Z323" i="1"/>
  <c r="AA323" i="1" s="1"/>
  <c r="Z324" i="1"/>
  <c r="AA324" i="1" s="1"/>
  <c r="AO365" i="1" l="1"/>
  <c r="R282" i="1"/>
  <c r="AJ25" i="1"/>
  <c r="AJ26" i="1" s="1"/>
  <c r="AG257" i="1"/>
  <c r="AG25" i="1"/>
  <c r="AG26" i="1" s="1"/>
  <c r="AG336" i="1"/>
  <c r="Y235" i="1"/>
  <c r="AE25" i="1"/>
  <c r="AE26" i="1" s="1"/>
  <c r="K91" i="1"/>
  <c r="AG284" i="1"/>
  <c r="AG353" i="1"/>
  <c r="AE288" i="1"/>
  <c r="AI288" i="1" s="1"/>
  <c r="AJ262" i="1"/>
  <c r="AE262" i="1"/>
  <c r="AI262" i="1" s="1"/>
  <c r="AG283" i="1"/>
  <c r="AJ265" i="1"/>
  <c r="AJ290" i="1"/>
  <c r="Y198" i="1"/>
  <c r="K41" i="1"/>
  <c r="Y228" i="1"/>
  <c r="Y360" i="1"/>
  <c r="AD332" i="1"/>
  <c r="AD297" i="1"/>
  <c r="AE259" i="1"/>
  <c r="AI259" i="1" s="1"/>
  <c r="Q228" i="1"/>
  <c r="AG268" i="1"/>
  <c r="AI268" i="1" s="1"/>
  <c r="Y234" i="1"/>
  <c r="Y191" i="1"/>
  <c r="AH330" i="1"/>
  <c r="AI330" i="1" s="1"/>
  <c r="V198" i="1"/>
  <c r="V202" i="1" s="1"/>
  <c r="AJ268" i="1"/>
  <c r="H49" i="1"/>
  <c r="AI356" i="1"/>
  <c r="AE337" i="1"/>
  <c r="Y142" i="1"/>
  <c r="U143" i="1"/>
  <c r="U41" i="1"/>
  <c r="AJ353" i="1"/>
  <c r="V143" i="1"/>
  <c r="AD353" i="1"/>
  <c r="Y227" i="1"/>
  <c r="AG337" i="1"/>
  <c r="AJ264" i="1"/>
  <c r="AE264" i="1"/>
  <c r="AI264" i="1" s="1"/>
  <c r="Y230" i="1"/>
  <c r="AJ313" i="1"/>
  <c r="AJ332" i="1"/>
  <c r="V41" i="1"/>
  <c r="Y262" i="1"/>
  <c r="AP365" i="1"/>
  <c r="Y218" i="1"/>
  <c r="AJ330" i="1"/>
  <c r="O365" i="1"/>
  <c r="Y283" i="1"/>
  <c r="Q128" i="1"/>
  <c r="AC365" i="1"/>
  <c r="P211" i="1"/>
  <c r="Y61" i="1"/>
  <c r="AD330" i="1"/>
  <c r="Y359" i="1"/>
  <c r="AE314" i="1"/>
  <c r="AQ365" i="1"/>
  <c r="AE290" i="1"/>
  <c r="AI290" i="1" s="1"/>
  <c r="AM365" i="1"/>
  <c r="AI292" i="1"/>
  <c r="V174" i="1"/>
  <c r="AI265" i="1"/>
  <c r="Y249" i="1"/>
  <c r="AD339" i="1"/>
  <c r="Q359" i="1"/>
  <c r="H138" i="1"/>
  <c r="R74" i="1"/>
  <c r="Y40" i="1"/>
  <c r="P147" i="1"/>
  <c r="Y190" i="1"/>
  <c r="Y71" i="1"/>
  <c r="M365" i="1"/>
  <c r="AG298" i="1"/>
  <c r="V256" i="1"/>
  <c r="Q25" i="1"/>
  <c r="Q26" i="1" s="1"/>
  <c r="U30" i="1"/>
  <c r="AD333" i="1"/>
  <c r="Y146" i="1"/>
  <c r="P91" i="1"/>
  <c r="K74" i="1"/>
  <c r="AE312" i="1"/>
  <c r="AI312" i="1" s="1"/>
  <c r="AD250" i="1"/>
  <c r="R62" i="1"/>
  <c r="R65" i="1" s="1"/>
  <c r="K158" i="1"/>
  <c r="Y77" i="1"/>
  <c r="P74" i="1"/>
  <c r="AE336" i="1"/>
  <c r="AJ312" i="1"/>
  <c r="AG250" i="1"/>
  <c r="AI250" i="1" s="1"/>
  <c r="Y284" i="1"/>
  <c r="P65" i="1"/>
  <c r="R87" i="1"/>
  <c r="AG332" i="1"/>
  <c r="AI332" i="1" s="1"/>
  <c r="AJ260" i="1"/>
  <c r="AJ257" i="1"/>
  <c r="V249" i="1"/>
  <c r="AD280" i="1"/>
  <c r="Y179" i="1"/>
  <c r="Y214" i="1"/>
  <c r="V42" i="1"/>
  <c r="V44" i="1" s="1"/>
  <c r="Y42" i="1"/>
  <c r="Y44" i="1" s="1"/>
  <c r="AE281" i="1"/>
  <c r="Y28" i="1"/>
  <c r="AD358" i="1"/>
  <c r="AE260" i="1"/>
  <c r="AI260" i="1" s="1"/>
  <c r="G175" i="1"/>
  <c r="AG280" i="1"/>
  <c r="AI280" i="1" s="1"/>
  <c r="Y206" i="1"/>
  <c r="R145" i="1"/>
  <c r="R147" i="1" s="1"/>
  <c r="Y46" i="1"/>
  <c r="AG329" i="1"/>
  <c r="AJ281" i="1"/>
  <c r="Y315" i="1"/>
  <c r="Q211" i="1"/>
  <c r="AH329" i="1"/>
  <c r="Y151" i="1"/>
  <c r="Y267" i="1"/>
  <c r="Y106" i="1"/>
  <c r="H41" i="1"/>
  <c r="AG281" i="1"/>
  <c r="Y263" i="1"/>
  <c r="Q30" i="1"/>
  <c r="U174" i="1"/>
  <c r="Y300" i="1"/>
  <c r="Y220" i="1"/>
  <c r="AG360" i="1"/>
  <c r="AI360" i="1" s="1"/>
  <c r="Y317" i="1"/>
  <c r="L365" i="1"/>
  <c r="AE284" i="1"/>
  <c r="AI284" i="1" s="1"/>
  <c r="AJ259" i="1"/>
  <c r="Y152" i="1"/>
  <c r="Y353" i="1"/>
  <c r="V158" i="1"/>
  <c r="Q34" i="1"/>
  <c r="Q35" i="1" s="1"/>
  <c r="P35" i="1"/>
  <c r="U55" i="1"/>
  <c r="AJ256" i="1"/>
  <c r="R220" i="1"/>
  <c r="AI135" i="1"/>
  <c r="AD40" i="1"/>
  <c r="AD41" i="1" s="1"/>
  <c r="AD97" i="1" s="1"/>
  <c r="Y115" i="1"/>
  <c r="Y119" i="1"/>
  <c r="AE256" i="1"/>
  <c r="AI256" i="1" s="1"/>
  <c r="AJ360" i="1"/>
  <c r="V211" i="1"/>
  <c r="Y165" i="1"/>
  <c r="Y154" i="1"/>
  <c r="AB41" i="1"/>
  <c r="AB97" i="1" s="1"/>
  <c r="Y65" i="1"/>
  <c r="V30" i="1"/>
  <c r="Y222" i="1"/>
  <c r="AD360" i="1"/>
  <c r="H158" i="1"/>
  <c r="R191" i="1"/>
  <c r="AE40" i="1"/>
  <c r="AI40" i="1" s="1"/>
  <c r="AG41" i="1"/>
  <c r="AG97" i="1" s="1"/>
  <c r="K55" i="1"/>
  <c r="AJ40" i="1"/>
  <c r="AJ41" i="1" s="1"/>
  <c r="AJ97" i="1" s="1"/>
  <c r="U35" i="1"/>
  <c r="AA74" i="1"/>
  <c r="I365" i="1"/>
  <c r="J365" i="1"/>
  <c r="R352" i="1"/>
  <c r="R363" i="1" s="1"/>
  <c r="N365" i="1"/>
  <c r="AJ288" i="1"/>
  <c r="Y258" i="1"/>
  <c r="H74" i="1"/>
  <c r="Y85" i="1"/>
  <c r="V52" i="1"/>
  <c r="V55" i="1" s="1"/>
  <c r="Y25" i="1"/>
  <c r="Y26" i="1" s="1"/>
  <c r="AI25" i="1"/>
  <c r="AI26" i="1" s="1"/>
  <c r="Y271" i="1"/>
  <c r="AG358" i="1"/>
  <c r="AI358" i="1" s="1"/>
  <c r="AJ358" i="1"/>
  <c r="Y332" i="1"/>
  <c r="H124" i="1"/>
  <c r="Q104" i="1"/>
  <c r="Y120" i="1"/>
  <c r="X346" i="1"/>
  <c r="AJ250" i="1"/>
  <c r="Y236" i="1"/>
  <c r="P169" i="1"/>
  <c r="Y161" i="1"/>
  <c r="Y90" i="1"/>
  <c r="K174" i="1"/>
  <c r="Y266" i="1"/>
  <c r="R119" i="1"/>
  <c r="K30" i="1"/>
  <c r="Y118" i="1"/>
  <c r="H30" i="1"/>
  <c r="Y219" i="1"/>
  <c r="Y259" i="1"/>
  <c r="Y275" i="1"/>
  <c r="Y285" i="1"/>
  <c r="V222" i="1"/>
  <c r="Y201" i="1"/>
  <c r="V74" i="1"/>
  <c r="Y83" i="1"/>
  <c r="AI293" i="1"/>
  <c r="Y31" i="1"/>
  <c r="Y32" i="1" s="1"/>
  <c r="Q279" i="1"/>
  <c r="Y279" i="1"/>
  <c r="Y331" i="1"/>
  <c r="Q199" i="1"/>
  <c r="Q202" i="1" s="1"/>
  <c r="H169" i="1"/>
  <c r="Y29" i="1"/>
  <c r="K143" i="1"/>
  <c r="Q129" i="1"/>
  <c r="Y129" i="1"/>
  <c r="K169" i="1"/>
  <c r="H104" i="1"/>
  <c r="Q159" i="1"/>
  <c r="Q169" i="1" s="1"/>
  <c r="AJ333" i="1"/>
  <c r="AH333" i="1"/>
  <c r="AI333" i="1" s="1"/>
  <c r="P87" i="1"/>
  <c r="AE279" i="1"/>
  <c r="AI279" i="1" s="1"/>
  <c r="Y297" i="1"/>
  <c r="Y290" i="1"/>
  <c r="AJ279" i="1"/>
  <c r="Y260" i="1"/>
  <c r="AA248" i="1"/>
  <c r="Y255" i="1"/>
  <c r="P124" i="1"/>
  <c r="P30" i="1"/>
  <c r="Y53" i="1"/>
  <c r="P32" i="1"/>
  <c r="AA26" i="1"/>
  <c r="Z30" i="1"/>
  <c r="AI294" i="1"/>
  <c r="H211" i="1"/>
  <c r="P143" i="1"/>
  <c r="U169" i="1"/>
  <c r="G97" i="1"/>
  <c r="Y34" i="1"/>
  <c r="Y35" i="1" s="1"/>
  <c r="Y193" i="1"/>
  <c r="Y329" i="1"/>
  <c r="V329" i="1"/>
  <c r="AE266" i="1"/>
  <c r="AJ266" i="1"/>
  <c r="AG266" i="1"/>
  <c r="AJ297" i="1"/>
  <c r="AG297" i="1"/>
  <c r="AI297" i="1" s="1"/>
  <c r="V257" i="1"/>
  <c r="Y257" i="1"/>
  <c r="AA363" i="1"/>
  <c r="AJ261" i="1"/>
  <c r="AI257" i="1"/>
  <c r="Y189" i="1"/>
  <c r="AA169" i="1"/>
  <c r="H96" i="1"/>
  <c r="Y86" i="1"/>
  <c r="Q261" i="1"/>
  <c r="Y261" i="1"/>
  <c r="Y316" i="1"/>
  <c r="AE261" i="1"/>
  <c r="AI261" i="1" s="1"/>
  <c r="K138" i="1"/>
  <c r="H147" i="1"/>
  <c r="K87" i="1"/>
  <c r="Y78" i="1"/>
  <c r="AJ298" i="1"/>
  <c r="AE298" i="1"/>
  <c r="Y265" i="1"/>
  <c r="Y264" i="1"/>
  <c r="Y185" i="1"/>
  <c r="Q185" i="1"/>
  <c r="Y133" i="1"/>
  <c r="Q133" i="1"/>
  <c r="Y239" i="1"/>
  <c r="R239" i="1"/>
  <c r="H202" i="1"/>
  <c r="Q82" i="1"/>
  <c r="Y82" i="1"/>
  <c r="Z363" i="1"/>
  <c r="AI353" i="1"/>
  <c r="K248" i="1"/>
  <c r="AJ258" i="1"/>
  <c r="K147" i="1"/>
  <c r="V216" i="1"/>
  <c r="Y216" i="1"/>
  <c r="R238" i="1"/>
  <c r="Y238" i="1"/>
  <c r="V181" i="1"/>
  <c r="Y181" i="1"/>
  <c r="AJ128" i="1"/>
  <c r="AG128" i="1"/>
  <c r="AI128" i="1" s="1"/>
  <c r="Q224" i="1"/>
  <c r="Y224" i="1"/>
  <c r="Y215" i="1"/>
  <c r="AE258" i="1"/>
  <c r="AI258" i="1" s="1"/>
  <c r="U158" i="1"/>
  <c r="AG339" i="1"/>
  <c r="AI339" i="1" s="1"/>
  <c r="AJ339" i="1"/>
  <c r="AE285" i="1"/>
  <c r="AG285" i="1"/>
  <c r="AD285" i="1"/>
  <c r="AJ285" i="1"/>
  <c r="Y112" i="1"/>
  <c r="R112" i="1"/>
  <c r="AG331" i="1"/>
  <c r="AE331" i="1"/>
  <c r="AD331" i="1"/>
  <c r="AJ331" i="1"/>
  <c r="Y351" i="1"/>
  <c r="K104" i="1"/>
  <c r="AE315" i="1"/>
  <c r="AJ315" i="1"/>
  <c r="AG315" i="1"/>
  <c r="AD315" i="1"/>
  <c r="AE263" i="1"/>
  <c r="AJ263" i="1"/>
  <c r="AG263" i="1"/>
  <c r="P363" i="1"/>
  <c r="H363" i="1"/>
  <c r="H248" i="1"/>
  <c r="H87" i="1"/>
  <c r="Y280" i="1"/>
  <c r="R280" i="1"/>
  <c r="V109" i="1"/>
  <c r="Y109" i="1"/>
  <c r="AE317" i="1"/>
  <c r="AI317" i="1" s="1"/>
  <c r="AJ317" i="1"/>
  <c r="V232" i="1"/>
  <c r="Y232" i="1"/>
  <c r="Y330" i="1"/>
  <c r="V330" i="1"/>
  <c r="AE267" i="1"/>
  <c r="AJ267" i="1"/>
  <c r="AG267" i="1"/>
  <c r="W96" i="1"/>
  <c r="W97" i="1" s="1"/>
  <c r="Y93" i="1"/>
  <c r="AG314" i="1"/>
  <c r="AJ314" i="1"/>
  <c r="Y101" i="1"/>
  <c r="R101" i="1"/>
  <c r="Y80" i="1"/>
  <c r="Y184" i="1"/>
  <c r="R184" i="1"/>
  <c r="R213" i="1"/>
  <c r="Y213" i="1"/>
  <c r="Y357" i="1"/>
  <c r="Q357" i="1"/>
  <c r="Q322" i="1"/>
  <c r="Y322" i="1"/>
  <c r="AG348" i="1"/>
  <c r="AE348" i="1"/>
  <c r="AJ348" i="1"/>
  <c r="R336" i="1"/>
  <c r="Y336" i="1"/>
  <c r="AG319" i="1"/>
  <c r="AE319" i="1"/>
  <c r="AJ319" i="1"/>
  <c r="Y334" i="1"/>
  <c r="R334" i="1"/>
  <c r="AJ308" i="1"/>
  <c r="AG308" i="1"/>
  <c r="AE308" i="1"/>
  <c r="Y250" i="1"/>
  <c r="Q250" i="1"/>
  <c r="AJ275" i="1"/>
  <c r="AG275" i="1"/>
  <c r="AE275" i="1"/>
  <c r="AJ296" i="1"/>
  <c r="AG296" i="1"/>
  <c r="AE296" i="1"/>
  <c r="AD296" i="1"/>
  <c r="Z346" i="1"/>
  <c r="P346" i="1"/>
  <c r="R195" i="1"/>
  <c r="Y195" i="1"/>
  <c r="Z174" i="1"/>
  <c r="AA171" i="1"/>
  <c r="AA174" i="1" s="1"/>
  <c r="AA138" i="1"/>
  <c r="U197" i="1"/>
  <c r="V178" i="1"/>
  <c r="Y237" i="1"/>
  <c r="Y111" i="1"/>
  <c r="Q111" i="1"/>
  <c r="Z124" i="1"/>
  <c r="AA106" i="1"/>
  <c r="AA124" i="1" s="1"/>
  <c r="Y81" i="1"/>
  <c r="Q81" i="1"/>
  <c r="Z55" i="1"/>
  <c r="AA52" i="1"/>
  <c r="AA55" i="1" s="1"/>
  <c r="Y56" i="1"/>
  <c r="Y58" i="1" s="1"/>
  <c r="P58" i="1"/>
  <c r="Q56" i="1"/>
  <c r="Q58" i="1" s="1"/>
  <c r="Z74" i="1"/>
  <c r="K96" i="1"/>
  <c r="Y114" i="1"/>
  <c r="R114" i="1"/>
  <c r="AJ272" i="1"/>
  <c r="AG272" i="1"/>
  <c r="AE272" i="1"/>
  <c r="AA149" i="1"/>
  <c r="AA158" i="1" s="1"/>
  <c r="Z158" i="1"/>
  <c r="Y150" i="1"/>
  <c r="R150" i="1"/>
  <c r="R158" i="1" s="1"/>
  <c r="P248" i="1"/>
  <c r="U87" i="1"/>
  <c r="V75" i="1"/>
  <c r="V87" i="1" s="1"/>
  <c r="AA31" i="1"/>
  <c r="AA32" i="1" s="1"/>
  <c r="Z32" i="1"/>
  <c r="Y358" i="1"/>
  <c r="Q358" i="1"/>
  <c r="Y328" i="1"/>
  <c r="V328" i="1"/>
  <c r="AJ343" i="1"/>
  <c r="AE343" i="1"/>
  <c r="AD343" i="1"/>
  <c r="AG343" i="1"/>
  <c r="AJ328" i="1"/>
  <c r="AG328" i="1"/>
  <c r="AD328" i="1"/>
  <c r="AH328" i="1"/>
  <c r="AB363" i="1"/>
  <c r="AG347" i="1"/>
  <c r="AE347" i="1"/>
  <c r="AJ347" i="1"/>
  <c r="W346" i="1"/>
  <c r="AI362" i="1"/>
  <c r="AD316" i="1"/>
  <c r="AJ316" i="1"/>
  <c r="AE316" i="1"/>
  <c r="AG316" i="1"/>
  <c r="Y348" i="1"/>
  <c r="R318" i="1"/>
  <c r="Y318" i="1"/>
  <c r="Y350" i="1"/>
  <c r="AJ305" i="1"/>
  <c r="AG305" i="1"/>
  <c r="AE305" i="1"/>
  <c r="AJ307" i="1"/>
  <c r="AG307" i="1"/>
  <c r="AE307" i="1"/>
  <c r="AJ301" i="1"/>
  <c r="AG301" i="1"/>
  <c r="AE301" i="1"/>
  <c r="Y281" i="1"/>
  <c r="AJ306" i="1"/>
  <c r="AG306" i="1"/>
  <c r="AE306" i="1"/>
  <c r="Y241" i="1"/>
  <c r="AI283" i="1"/>
  <c r="Y233" i="1"/>
  <c r="R233" i="1"/>
  <c r="W169" i="1"/>
  <c r="W175" i="1" s="1"/>
  <c r="X162" i="1"/>
  <c r="X169" i="1" s="1"/>
  <c r="X175" i="1" s="1"/>
  <c r="Y127" i="1"/>
  <c r="Q127" i="1"/>
  <c r="K124" i="1"/>
  <c r="G148" i="1"/>
  <c r="R126" i="1"/>
  <c r="R138" i="1" s="1"/>
  <c r="Y126" i="1"/>
  <c r="Y103" i="1"/>
  <c r="R103" i="1"/>
  <c r="AA42" i="1"/>
  <c r="AA44" i="1" s="1"/>
  <c r="Z44" i="1"/>
  <c r="Y102" i="1"/>
  <c r="Y48" i="1"/>
  <c r="Q48" i="1"/>
  <c r="Q49" i="1" s="1"/>
  <c r="Y92" i="1"/>
  <c r="Q92" i="1"/>
  <c r="Q96" i="1" s="1"/>
  <c r="P96" i="1"/>
  <c r="U74" i="1"/>
  <c r="V50" i="1"/>
  <c r="V51" i="1" s="1"/>
  <c r="U51" i="1"/>
  <c r="Z26" i="1"/>
  <c r="AG318" i="1"/>
  <c r="AE318" i="1"/>
  <c r="AJ318" i="1"/>
  <c r="AJ344" i="1"/>
  <c r="AE344" i="1"/>
  <c r="AG344" i="1"/>
  <c r="AG324" i="1"/>
  <c r="AE324" i="1"/>
  <c r="AJ324" i="1"/>
  <c r="Q314" i="1"/>
  <c r="Y314" i="1"/>
  <c r="AG320" i="1"/>
  <c r="AE320" i="1"/>
  <c r="AJ320" i="1"/>
  <c r="R305" i="1"/>
  <c r="Y305" i="1"/>
  <c r="AJ302" i="1"/>
  <c r="AG302" i="1"/>
  <c r="AE302" i="1"/>
  <c r="R307" i="1"/>
  <c r="Y307" i="1"/>
  <c r="Y287" i="1"/>
  <c r="R287" i="1"/>
  <c r="Y276" i="1"/>
  <c r="Q276" i="1"/>
  <c r="R306" i="1"/>
  <c r="Y306" i="1"/>
  <c r="Y277" i="1"/>
  <c r="Q277" i="1"/>
  <c r="Z211" i="1"/>
  <c r="AA140" i="1"/>
  <c r="AA143" i="1" s="1"/>
  <c r="Z143" i="1"/>
  <c r="Y231" i="1"/>
  <c r="AJ278" i="1"/>
  <c r="AF278" i="1"/>
  <c r="AG278" i="1"/>
  <c r="AD278" i="1"/>
  <c r="Y149" i="1"/>
  <c r="P158" i="1"/>
  <c r="Q149" i="1"/>
  <c r="Y168" i="1"/>
  <c r="P138" i="1"/>
  <c r="V99" i="1"/>
  <c r="V104" i="1" s="1"/>
  <c r="U104" i="1"/>
  <c r="V89" i="1"/>
  <c r="V91" i="1" s="1"/>
  <c r="U91" i="1"/>
  <c r="AA34" i="1"/>
  <c r="AA35" i="1" s="1"/>
  <c r="Y117" i="1"/>
  <c r="R117" i="1"/>
  <c r="Y79" i="1"/>
  <c r="Q79" i="1"/>
  <c r="P49" i="1"/>
  <c r="Y45" i="1"/>
  <c r="R45" i="1"/>
  <c r="R49" i="1" s="1"/>
  <c r="U96" i="1"/>
  <c r="V92" i="1"/>
  <c r="V96" i="1" s="1"/>
  <c r="Q44" i="1"/>
  <c r="AD291" i="1"/>
  <c r="AJ291" i="1"/>
  <c r="AE291" i="1"/>
  <c r="AG291" i="1"/>
  <c r="Z138" i="1"/>
  <c r="AJ357" i="1"/>
  <c r="AE357" i="1"/>
  <c r="AD357" i="1"/>
  <c r="AG357" i="1"/>
  <c r="Y342" i="1"/>
  <c r="Q342" i="1"/>
  <c r="R339" i="1"/>
  <c r="Y339" i="1"/>
  <c r="AG321" i="1"/>
  <c r="AE321" i="1"/>
  <c r="AJ321" i="1"/>
  <c r="R320" i="1"/>
  <c r="Y320" i="1"/>
  <c r="Y288" i="1"/>
  <c r="R288" i="1"/>
  <c r="Y273" i="1"/>
  <c r="Q273" i="1"/>
  <c r="H346" i="1"/>
  <c r="Y225" i="1"/>
  <c r="Q225" i="1"/>
  <c r="Y274" i="1"/>
  <c r="Q274" i="1"/>
  <c r="U211" i="1"/>
  <c r="U147" i="1"/>
  <c r="V145" i="1"/>
  <c r="V147" i="1" s="1"/>
  <c r="Q221" i="1"/>
  <c r="Y221" i="1"/>
  <c r="Y180" i="1"/>
  <c r="Q180" i="1"/>
  <c r="Y182" i="1"/>
  <c r="Q182" i="1"/>
  <c r="Y121" i="1"/>
  <c r="V121" i="1"/>
  <c r="V163" i="1"/>
  <c r="V169" i="1" s="1"/>
  <c r="Y163" i="1"/>
  <c r="V138" i="1"/>
  <c r="Y145" i="1"/>
  <c r="Y162" i="1"/>
  <c r="Y100" i="1"/>
  <c r="R100" i="1"/>
  <c r="Y116" i="1"/>
  <c r="Q116" i="1"/>
  <c r="Y123" i="1"/>
  <c r="Y75" i="1"/>
  <c r="AA50" i="1"/>
  <c r="AA51" i="1" s="1"/>
  <c r="Z51" i="1"/>
  <c r="Y99" i="1"/>
  <c r="Z91" i="1"/>
  <c r="Y69" i="1"/>
  <c r="Z96" i="1"/>
  <c r="AA92" i="1"/>
  <c r="AA96" i="1" s="1"/>
  <c r="Y94" i="1"/>
  <c r="U26" i="1"/>
  <c r="P21" i="1"/>
  <c r="Y7" i="1"/>
  <c r="Y21" i="1" s="1"/>
  <c r="R7" i="1"/>
  <c r="R21" i="1" s="1"/>
  <c r="AG325" i="1"/>
  <c r="AE325" i="1"/>
  <c r="AJ325" i="1"/>
  <c r="Y292" i="1"/>
  <c r="R292" i="1"/>
  <c r="Y291" i="1"/>
  <c r="R291" i="1"/>
  <c r="U363" i="1"/>
  <c r="V347" i="1"/>
  <c r="V363" i="1" s="1"/>
  <c r="Y327" i="1"/>
  <c r="Q327" i="1"/>
  <c r="G364" i="1"/>
  <c r="Y343" i="1"/>
  <c r="R343" i="1"/>
  <c r="Y340" i="1"/>
  <c r="Q340" i="1"/>
  <c r="Y325" i="1"/>
  <c r="Q325" i="1"/>
  <c r="AH323" i="1"/>
  <c r="AG323" i="1"/>
  <c r="AJ323" i="1"/>
  <c r="Y347" i="1"/>
  <c r="R313" i="1"/>
  <c r="Y313" i="1"/>
  <c r="Q321" i="1"/>
  <c r="Y321" i="1"/>
  <c r="AJ309" i="1"/>
  <c r="AG309" i="1"/>
  <c r="AE309" i="1"/>
  <c r="Y302" i="1"/>
  <c r="AG282" i="1"/>
  <c r="AJ282" i="1"/>
  <c r="AE282" i="1"/>
  <c r="AD282" i="1"/>
  <c r="AJ304" i="1"/>
  <c r="AG304" i="1"/>
  <c r="AE304" i="1"/>
  <c r="AD271" i="1"/>
  <c r="AJ271" i="1"/>
  <c r="AG271" i="1"/>
  <c r="AE271" i="1"/>
  <c r="AG311" i="1"/>
  <c r="AE311" i="1"/>
  <c r="AD311" i="1"/>
  <c r="AJ311" i="1"/>
  <c r="Q303" i="1"/>
  <c r="Y303" i="1"/>
  <c r="Y272" i="1"/>
  <c r="R272" i="1"/>
  <c r="R252" i="1"/>
  <c r="Y252" i="1"/>
  <c r="Y296" i="1"/>
  <c r="R296" i="1"/>
  <c r="Z202" i="1"/>
  <c r="AA198" i="1"/>
  <c r="AA202" i="1" s="1"/>
  <c r="AA211" i="1"/>
  <c r="K346" i="1"/>
  <c r="R187" i="1"/>
  <c r="Y187" i="1"/>
  <c r="AE130" i="1"/>
  <c r="AE138" i="1" s="1"/>
  <c r="AE148" i="1" s="1"/>
  <c r="AJ130" i="1"/>
  <c r="AG130" i="1"/>
  <c r="AB138" i="1"/>
  <c r="AB148" i="1" s="1"/>
  <c r="Y194" i="1"/>
  <c r="Y140" i="1"/>
  <c r="Q140" i="1"/>
  <c r="Z248" i="1"/>
  <c r="Z169" i="1"/>
  <c r="U138" i="1"/>
  <c r="H197" i="1"/>
  <c r="U124" i="1"/>
  <c r="Y95" i="1"/>
  <c r="R95" i="1"/>
  <c r="R96" i="1" s="1"/>
  <c r="V45" i="1"/>
  <c r="V49" i="1" s="1"/>
  <c r="U49" i="1"/>
  <c r="P104" i="1"/>
  <c r="AA91" i="1"/>
  <c r="Y39" i="1"/>
  <c r="Q39" i="1"/>
  <c r="Q41" i="1" s="1"/>
  <c r="Q21" i="1"/>
  <c r="AJ345" i="1"/>
  <c r="AG345" i="1"/>
  <c r="AD345" i="1"/>
  <c r="AE345" i="1"/>
  <c r="AG340" i="1"/>
  <c r="AE340" i="1"/>
  <c r="AJ340" i="1"/>
  <c r="R319" i="1"/>
  <c r="Y319" i="1"/>
  <c r="Y289" i="1"/>
  <c r="R289" i="1"/>
  <c r="AJ273" i="1"/>
  <c r="AG273" i="1"/>
  <c r="AE273" i="1"/>
  <c r="U346" i="1"/>
  <c r="Y204" i="1"/>
  <c r="R204" i="1"/>
  <c r="R211" i="1" s="1"/>
  <c r="Q155" i="1"/>
  <c r="Y155" i="1"/>
  <c r="Y52" i="1"/>
  <c r="P55" i="1"/>
  <c r="Q52" i="1"/>
  <c r="Q55" i="1" s="1"/>
  <c r="AG352" i="1"/>
  <c r="AE352" i="1"/>
  <c r="AJ352" i="1"/>
  <c r="AD352" i="1"/>
  <c r="Y345" i="1"/>
  <c r="Q345" i="1"/>
  <c r="Y344" i="1"/>
  <c r="R344" i="1"/>
  <c r="Y324" i="1"/>
  <c r="R324" i="1"/>
  <c r="R337" i="1"/>
  <c r="Y337" i="1"/>
  <c r="Y333" i="1"/>
  <c r="Y349" i="1"/>
  <c r="AI361" i="1"/>
  <c r="R309" i="1"/>
  <c r="Y309" i="1"/>
  <c r="R304" i="1"/>
  <c r="Y304" i="1"/>
  <c r="Q311" i="1"/>
  <c r="Y311" i="1"/>
  <c r="R301" i="1"/>
  <c r="Y301" i="1"/>
  <c r="AJ286" i="1"/>
  <c r="AD286" i="1"/>
  <c r="AG286" i="1"/>
  <c r="AE286" i="1"/>
  <c r="AJ303" i="1"/>
  <c r="AG303" i="1"/>
  <c r="AE303" i="1"/>
  <c r="AJ299" i="1"/>
  <c r="AG299" i="1"/>
  <c r="AE299" i="1"/>
  <c r="AJ276" i="1"/>
  <c r="AG276" i="1"/>
  <c r="AE276" i="1"/>
  <c r="AG252" i="1"/>
  <c r="AE252" i="1"/>
  <c r="AJ252" i="1"/>
  <c r="AD252" i="1"/>
  <c r="AI255" i="1"/>
  <c r="W248" i="1"/>
  <c r="X215" i="1"/>
  <c r="X248" i="1" s="1"/>
  <c r="AJ310" i="1"/>
  <c r="AG310" i="1"/>
  <c r="AE310" i="1"/>
  <c r="AJ277" i="1"/>
  <c r="AG277" i="1"/>
  <c r="AE277" i="1"/>
  <c r="AB346" i="1"/>
  <c r="AJ249" i="1"/>
  <c r="AE249" i="1"/>
  <c r="AG249" i="1"/>
  <c r="AD249" i="1"/>
  <c r="Y217" i="1"/>
  <c r="Q217" i="1"/>
  <c r="Y188" i="1"/>
  <c r="Q188" i="1"/>
  <c r="Q141" i="1"/>
  <c r="Y141" i="1"/>
  <c r="S346" i="1"/>
  <c r="S364" i="1" s="1"/>
  <c r="Y278" i="1"/>
  <c r="T278" i="1"/>
  <c r="T346" i="1" s="1"/>
  <c r="T364" i="1" s="1"/>
  <c r="Y186" i="1"/>
  <c r="K197" i="1"/>
  <c r="AA75" i="1"/>
  <c r="AA87" i="1" s="1"/>
  <c r="Z87" i="1"/>
  <c r="Y122" i="1"/>
  <c r="Y107" i="1"/>
  <c r="Y72" i="1"/>
  <c r="AI38" i="1"/>
  <c r="K49" i="1"/>
  <c r="Y110" i="1"/>
  <c r="P41" i="1"/>
  <c r="Y54" i="1"/>
  <c r="Q308" i="1"/>
  <c r="Y308" i="1"/>
  <c r="AJ274" i="1"/>
  <c r="AG274" i="1"/>
  <c r="AE274" i="1"/>
  <c r="R229" i="1"/>
  <c r="Y229" i="1"/>
  <c r="K363" i="1"/>
  <c r="AG359" i="1"/>
  <c r="AE359" i="1"/>
  <c r="AJ359" i="1"/>
  <c r="AD359" i="1"/>
  <c r="AJ351" i="1"/>
  <c r="AG351" i="1"/>
  <c r="AE351" i="1"/>
  <c r="Y323" i="1"/>
  <c r="V323" i="1"/>
  <c r="AG349" i="1"/>
  <c r="AE349" i="1"/>
  <c r="AJ349" i="1"/>
  <c r="AJ342" i="1"/>
  <c r="AG342" i="1"/>
  <c r="AE342" i="1"/>
  <c r="AD342" i="1"/>
  <c r="AJ327" i="1"/>
  <c r="AG327" i="1"/>
  <c r="AE327" i="1"/>
  <c r="AD327" i="1"/>
  <c r="AG322" i="1"/>
  <c r="AE322" i="1"/>
  <c r="AJ322" i="1"/>
  <c r="R312" i="1"/>
  <c r="Y312" i="1"/>
  <c r="Y298" i="1"/>
  <c r="R298" i="1"/>
  <c r="AD334" i="1"/>
  <c r="AJ334" i="1"/>
  <c r="AG334" i="1"/>
  <c r="AE334" i="1"/>
  <c r="AJ300" i="1"/>
  <c r="AG300" i="1"/>
  <c r="AE300" i="1"/>
  <c r="AE269" i="1"/>
  <c r="AJ269" i="1"/>
  <c r="AG269" i="1"/>
  <c r="Q299" i="1"/>
  <c r="Y299" i="1"/>
  <c r="AJ287" i="1"/>
  <c r="AE287" i="1"/>
  <c r="AG287" i="1"/>
  <c r="AD287" i="1"/>
  <c r="Y240" i="1"/>
  <c r="V240" i="1"/>
  <c r="Q310" i="1"/>
  <c r="Y310" i="1"/>
  <c r="AA346" i="1"/>
  <c r="Y251" i="1"/>
  <c r="R242" i="1"/>
  <c r="Y242" i="1"/>
  <c r="U202" i="1"/>
  <c r="Y223" i="1"/>
  <c r="Y192" i="1"/>
  <c r="R192" i="1"/>
  <c r="Y199" i="1"/>
  <c r="U248" i="1"/>
  <c r="Y173" i="1"/>
  <c r="Y174" i="1" s="1"/>
  <c r="R173" i="1"/>
  <c r="R174" i="1" s="1"/>
  <c r="AA178" i="1"/>
  <c r="AA197" i="1" s="1"/>
  <c r="Z197" i="1"/>
  <c r="P197" i="1"/>
  <c r="R178" i="1"/>
  <c r="Y178" i="1"/>
  <c r="Z104" i="1"/>
  <c r="AA99" i="1"/>
  <c r="AA104" i="1" s="1"/>
  <c r="Y130" i="1"/>
  <c r="T166" i="1"/>
  <c r="T169" i="1" s="1"/>
  <c r="T175" i="1" s="1"/>
  <c r="S169" i="1"/>
  <c r="S175" i="1" s="1"/>
  <c r="Y166" i="1"/>
  <c r="Y84" i="1"/>
  <c r="Q84" i="1"/>
  <c r="Y89" i="1"/>
  <c r="Y91" i="1" s="1"/>
  <c r="R89" i="1"/>
  <c r="R91" i="1" s="1"/>
  <c r="Y131" i="1"/>
  <c r="Y113" i="1"/>
  <c r="AI336" i="1" l="1"/>
  <c r="AI337" i="1"/>
  <c r="Y202" i="1"/>
  <c r="Y74" i="1"/>
  <c r="AG138" i="1"/>
  <c r="AG148" i="1" s="1"/>
  <c r="Y211" i="1"/>
  <c r="AI314" i="1"/>
  <c r="V175" i="1"/>
  <c r="Y41" i="1"/>
  <c r="Y30" i="1"/>
  <c r="AI329" i="1"/>
  <c r="AI298" i="1"/>
  <c r="Y147" i="1"/>
  <c r="K175" i="1"/>
  <c r="V248" i="1"/>
  <c r="X364" i="1"/>
  <c r="X365" i="1" s="1"/>
  <c r="AI41" i="1"/>
  <c r="AI97" i="1" s="1"/>
  <c r="AE41" i="1"/>
  <c r="AE97" i="1" s="1"/>
  <c r="Q363" i="1"/>
  <c r="AI267" i="1"/>
  <c r="AI352" i="1"/>
  <c r="AI281" i="1"/>
  <c r="Q248" i="1"/>
  <c r="AI331" i="1"/>
  <c r="Y49" i="1"/>
  <c r="H148" i="1"/>
  <c r="G365" i="1"/>
  <c r="H97" i="1"/>
  <c r="Y143" i="1"/>
  <c r="H175" i="1"/>
  <c r="AI357" i="1"/>
  <c r="P175" i="1"/>
  <c r="AA364" i="1"/>
  <c r="AI345" i="1"/>
  <c r="AJ138" i="1"/>
  <c r="AJ148" i="1" s="1"/>
  <c r="AI291" i="1"/>
  <c r="V124" i="1"/>
  <c r="V148" i="1" s="1"/>
  <c r="AA148" i="1"/>
  <c r="Y197" i="1"/>
  <c r="AI285" i="1"/>
  <c r="P148" i="1"/>
  <c r="R104" i="1"/>
  <c r="K148" i="1"/>
  <c r="V97" i="1"/>
  <c r="Q138" i="1"/>
  <c r="AI300" i="1"/>
  <c r="AI343" i="1"/>
  <c r="AI308" i="1"/>
  <c r="P364" i="1"/>
  <c r="AI322" i="1"/>
  <c r="AI351" i="1"/>
  <c r="Y124" i="1"/>
  <c r="AI310" i="1"/>
  <c r="AI252" i="1"/>
  <c r="AI303" i="1"/>
  <c r="R346" i="1"/>
  <c r="Y55" i="1"/>
  <c r="H364" i="1"/>
  <c r="AI321" i="1"/>
  <c r="Y138" i="1"/>
  <c r="AI305" i="1"/>
  <c r="AI316" i="1"/>
  <c r="R248" i="1"/>
  <c r="AI323" i="1"/>
  <c r="Y104" i="1"/>
  <c r="Q158" i="1"/>
  <c r="Q175" i="1" s="1"/>
  <c r="AI324" i="1"/>
  <c r="AI275" i="1"/>
  <c r="AI348" i="1"/>
  <c r="Y248" i="1"/>
  <c r="AI263" i="1"/>
  <c r="AI269" i="1"/>
  <c r="AI311" i="1"/>
  <c r="AH346" i="1"/>
  <c r="AH364" i="1" s="1"/>
  <c r="AH365" i="1" s="1"/>
  <c r="Y169" i="1"/>
  <c r="AI328" i="1"/>
  <c r="V197" i="1"/>
  <c r="Z364" i="1"/>
  <c r="Y346" i="1"/>
  <c r="U175" i="1"/>
  <c r="V346" i="1"/>
  <c r="AI359" i="1"/>
  <c r="AI320" i="1"/>
  <c r="AI307" i="1"/>
  <c r="AA175" i="1"/>
  <c r="AI266" i="1"/>
  <c r="AI273" i="1"/>
  <c r="AI340" i="1"/>
  <c r="AI306" i="1"/>
  <c r="AA97" i="1"/>
  <c r="AI296" i="1"/>
  <c r="AI315" i="1"/>
  <c r="Q346" i="1"/>
  <c r="R175" i="1"/>
  <c r="Z148" i="1"/>
  <c r="AI327" i="1"/>
  <c r="AI349" i="1"/>
  <c r="AI274" i="1"/>
  <c r="AD346" i="1"/>
  <c r="AI325" i="1"/>
  <c r="AI318" i="1"/>
  <c r="Y96" i="1"/>
  <c r="W364" i="1"/>
  <c r="W365" i="1" s="1"/>
  <c r="AI287" i="1"/>
  <c r="K97" i="1"/>
  <c r="AE346" i="1"/>
  <c r="AI249" i="1"/>
  <c r="Y363" i="1"/>
  <c r="R97" i="1"/>
  <c r="Q87" i="1"/>
  <c r="Q97" i="1" s="1"/>
  <c r="Z97" i="1"/>
  <c r="AJ363" i="1"/>
  <c r="R197" i="1"/>
  <c r="AJ346" i="1"/>
  <c r="AI276" i="1"/>
  <c r="AD363" i="1"/>
  <c r="Z175" i="1"/>
  <c r="AI130" i="1"/>
  <c r="AI138" i="1" s="1"/>
  <c r="AI148" i="1" s="1"/>
  <c r="AI304" i="1"/>
  <c r="AI309" i="1"/>
  <c r="U148" i="1"/>
  <c r="Y158" i="1"/>
  <c r="AI347" i="1"/>
  <c r="AE363" i="1"/>
  <c r="AI272" i="1"/>
  <c r="U364" i="1"/>
  <c r="AI334" i="1"/>
  <c r="AI342" i="1"/>
  <c r="K364" i="1"/>
  <c r="AI286" i="1"/>
  <c r="P97" i="1"/>
  <c r="AG363" i="1"/>
  <c r="Q124" i="1"/>
  <c r="AI319" i="1"/>
  <c r="T365" i="1"/>
  <c r="Q143" i="1"/>
  <c r="U97" i="1"/>
  <c r="AI344" i="1"/>
  <c r="AB364" i="1"/>
  <c r="AB365" i="1" s="1"/>
  <c r="AI277" i="1"/>
  <c r="AI299" i="1"/>
  <c r="AF346" i="1"/>
  <c r="AF364" i="1" s="1"/>
  <c r="AF365" i="1" s="1"/>
  <c r="AI278" i="1"/>
  <c r="AI301" i="1"/>
  <c r="AG346" i="1"/>
  <c r="S365" i="1"/>
  <c r="AI271" i="1"/>
  <c r="AI282" i="1"/>
  <c r="Y87" i="1"/>
  <c r="Q197" i="1"/>
  <c r="AI302" i="1"/>
  <c r="R124" i="1"/>
  <c r="K365" i="1" l="1"/>
  <c r="Y175" i="1"/>
  <c r="H365" i="1"/>
  <c r="AA365" i="1"/>
  <c r="Y97" i="1"/>
  <c r="Y148" i="1"/>
  <c r="Z365" i="1"/>
  <c r="R148" i="1"/>
  <c r="P365" i="1"/>
  <c r="Y364" i="1"/>
  <c r="V364" i="1"/>
  <c r="V365" i="1" s="1"/>
  <c r="AE364" i="1"/>
  <c r="AE365" i="1" s="1"/>
  <c r="R364" i="1"/>
  <c r="Q364" i="1"/>
  <c r="AI363" i="1"/>
  <c r="AD364" i="1"/>
  <c r="AD365" i="1" s="1"/>
  <c r="Q148" i="1"/>
  <c r="AI346" i="1"/>
  <c r="AG364" i="1"/>
  <c r="AG365" i="1" s="1"/>
  <c r="U365" i="1"/>
  <c r="AJ364" i="1"/>
  <c r="AJ365" i="1" s="1"/>
  <c r="R365" i="1" l="1"/>
  <c r="Y365" i="1"/>
  <c r="Q365" i="1"/>
  <c r="AI364" i="1"/>
  <c r="AI365" i="1" s="1"/>
  <c r="A36" i="3" l="1"/>
  <c r="A38" i="3" l="1"/>
  <c r="A39" i="3" s="1"/>
  <c r="A40" i="3" s="1"/>
  <c r="A41" i="3" s="1"/>
  <c r="A42" i="3" s="1"/>
  <c r="A43" i="3" l="1"/>
  <c r="A45" i="3" s="1"/>
  <c r="A46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l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2" i="3" s="1"/>
  <c r="A93" i="3" s="1"/>
  <c r="A94" i="3" s="1"/>
  <c r="A95" i="3" l="1"/>
  <c r="A96" i="3" s="1"/>
  <c r="A97" i="3" s="1"/>
  <c r="A99" i="3" s="1"/>
  <c r="A100" i="3" s="1"/>
  <c r="A101" i="3" s="1"/>
  <c r="A102" i="3" s="1"/>
  <c r="A103" i="3" s="1"/>
  <c r="A105" i="3" l="1"/>
  <c r="A106" i="3" s="1"/>
  <c r="A108" i="3" s="1"/>
  <c r="A109" i="3" s="1"/>
  <c r="A110" i="3" s="1"/>
  <c r="A111" i="3" s="1"/>
  <c r="A113" i="3" s="1"/>
  <c r="A114" i="3" s="1"/>
  <c r="A115" i="3" s="1"/>
  <c r="A116" i="3" l="1"/>
  <c r="A117" i="3" s="1"/>
  <c r="A118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l="1"/>
  <c r="A134" i="3" s="1"/>
  <c r="A136" i="3" s="1"/>
  <c r="A138" i="3" s="1"/>
  <c r="A139" i="3" s="1"/>
  <c r="A140" i="3" s="1"/>
  <c r="A141" i="3" s="1"/>
  <c r="A142" i="3" s="1"/>
  <c r="A144" i="3" s="1"/>
  <c r="A145" i="3" s="1"/>
  <c r="A146" i="3" s="1"/>
  <c r="A147" i="3" s="1"/>
  <c r="A148" i="3" s="1"/>
  <c r="A149" i="3" s="1"/>
  <c r="A152" i="3" s="1"/>
  <c r="A153" i="3" s="1"/>
  <c r="A154" i="3" s="1"/>
  <c r="A155" i="3" s="1"/>
  <c r="A156" i="3" s="1"/>
  <c r="A157" i="3" s="1"/>
  <c r="A158" i="3" l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l="1"/>
  <c r="A181" i="3" s="1"/>
  <c r="A183" i="3" s="1"/>
  <c r="A184" i="3" s="1"/>
  <c r="A185" i="3" l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1" i="3" s="1"/>
  <c r="A202" i="3" s="1"/>
  <c r="A203" i="3" s="1"/>
  <c r="A204" i="3" s="1"/>
  <c r="A207" i="3" l="1"/>
  <c r="A208" i="3" s="1"/>
  <c r="A209" i="3" s="1"/>
  <c r="A210" i="3" s="1"/>
  <c r="A211" i="3" s="1"/>
  <c r="A213" i="3" s="1"/>
  <c r="A214" i="3" l="1"/>
  <c r="A230" i="3" s="1"/>
  <c r="A231" i="3" s="1"/>
  <c r="A232" i="3" s="1"/>
  <c r="A233" i="3" l="1"/>
  <c r="A234" i="3" s="1"/>
  <c r="A236" i="3" s="1"/>
  <c r="A237" i="3" s="1"/>
  <c r="A238" i="3" s="1"/>
  <c r="A240" i="3" s="1"/>
  <c r="A241" i="3" s="1"/>
  <c r="A242" i="3" s="1"/>
  <c r="A243" i="3" s="1"/>
  <c r="A244" i="3" s="1"/>
  <c r="A246" i="3" s="1"/>
  <c r="A247" i="3" s="1"/>
  <c r="A248" i="3" s="1"/>
  <c r="A249" i="3" s="1"/>
  <c r="A251" i="3" s="1"/>
  <c r="A252" i="3" l="1"/>
  <c r="A254" i="3" s="1"/>
  <c r="A255" i="3" s="1"/>
  <c r="A257" i="3" s="1"/>
  <c r="A258" i="3" s="1"/>
  <c r="A259" i="3" s="1"/>
  <c r="A261" i="3" s="1"/>
  <c r="A262" i="3" l="1"/>
  <c r="A263" i="3" s="1"/>
  <c r="A264" i="3" s="1"/>
  <c r="A265" i="3" s="1"/>
  <c r="A266" i="3" s="1"/>
  <c r="A267" i="3" s="1"/>
  <c r="A269" i="3" s="1"/>
  <c r="A272" i="3" s="1"/>
  <c r="A273" i="3" s="1"/>
  <c r="A274" i="3" s="1"/>
  <c r="A275" i="3" s="1"/>
  <c r="A276" i="3" s="1"/>
  <c r="A277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2" i="3" s="1"/>
  <c r="A293" i="3" s="1"/>
  <c r="A294" i="3" s="1"/>
  <c r="A295" i="3" s="1"/>
  <c r="A296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l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l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L206" i="3"/>
  <c r="Q206" i="3"/>
  <c r="O206" i="3"/>
  <c r="AL429" i="3"/>
  <c r="AE429" i="3"/>
  <c r="AF429" i="3"/>
  <c r="AH429" i="3"/>
  <c r="AI429" i="3"/>
  <c r="AI432" i="3" s="1"/>
  <c r="AI435" i="3" s="1"/>
  <c r="AJ429" i="3"/>
  <c r="AK429" i="3"/>
  <c r="AK432" i="3" s="1"/>
  <c r="AK435" i="3" s="1"/>
  <c r="AB429" i="3"/>
  <c r="AC429" i="3"/>
  <c r="A371" i="3" l="1"/>
  <c r="A372" i="3" s="1"/>
  <c r="A373" i="3" s="1"/>
  <c r="A374" i="3" s="1"/>
  <c r="A375" i="3" s="1"/>
  <c r="A376" i="3" s="1"/>
  <c r="A377" i="3" s="1"/>
  <c r="A379" i="3" s="1"/>
  <c r="A380" i="3" s="1"/>
  <c r="F206" i="4"/>
  <c r="F429" i="4" s="1"/>
  <c r="A381" i="3" l="1"/>
  <c r="A382" i="3" s="1"/>
  <c r="A383" i="3" s="1"/>
  <c r="A384" i="3" s="1"/>
  <c r="A385" i="3" s="1"/>
  <c r="A386" i="3" s="1"/>
  <c r="A387" i="3" s="1"/>
  <c r="A388" i="3" s="1"/>
  <c r="A389" i="3" s="1"/>
  <c r="A391" i="3" s="1"/>
  <c r="A392" i="3" s="1"/>
  <c r="A393" i="3" s="1"/>
  <c r="A394" i="3" s="1"/>
  <c r="A396" i="3" s="1"/>
  <c r="A397" i="3" s="1"/>
  <c r="A399" i="3" s="1"/>
  <c r="A400" i="3" s="1"/>
  <c r="A401" i="3" s="1"/>
  <c r="A402" i="3" s="1"/>
  <c r="A403" i="3" s="1"/>
  <c r="A404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F271" i="3"/>
  <c r="F429" i="3" s="1"/>
  <c r="H271" i="3"/>
  <c r="H429" i="3" s="1"/>
  <c r="G271" i="3"/>
  <c r="G429" i="3" s="1"/>
  <c r="Y271" i="3"/>
  <c r="Y429" i="3" s="1"/>
  <c r="O271" i="3"/>
  <c r="O429" i="3" s="1"/>
  <c r="N271" i="3"/>
  <c r="N429" i="3" s="1"/>
  <c r="Q271" i="3"/>
  <c r="Q429" i="3" s="1"/>
  <c r="V271" i="3"/>
  <c r="V429" i="3" s="1"/>
  <c r="M271" i="3"/>
  <c r="M429" i="3" s="1"/>
  <c r="Z271" i="3"/>
  <c r="Z429" i="3" s="1"/>
  <c r="P271" i="3"/>
  <c r="P429" i="3" s="1"/>
  <c r="T271" i="3"/>
  <c r="T429" i="3" s="1"/>
  <c r="S271" i="3"/>
  <c r="S429" i="3" s="1"/>
  <c r="J271" i="3"/>
  <c r="J429" i="3" s="1"/>
  <c r="W271" i="3"/>
  <c r="W429" i="3" s="1"/>
  <c r="AA271" i="3"/>
  <c r="AA429" i="3" s="1"/>
  <c r="K271" i="3"/>
  <c r="K429" i="3" s="1"/>
  <c r="L271" i="3"/>
  <c r="L429" i="3" s="1"/>
  <c r="U271" i="3"/>
  <c r="U429" i="3" s="1"/>
  <c r="X271" i="3"/>
  <c r="X429" i="3" s="1"/>
  <c r="R271" i="3"/>
  <c r="R429" i="3" s="1"/>
  <c r="G432" i="3" l="1"/>
  <c r="AD429" i="3" l="1"/>
  <c r="H433" i="3" l="1"/>
  <c r="I212" i="3"/>
  <c r="I271" i="3"/>
  <c r="I429" i="3"/>
  <c r="G431" i="3"/>
  <c r="G433" i="3"/>
  <c r="H434" i="3"/>
</calcChain>
</file>

<file path=xl/sharedStrings.xml><?xml version="1.0" encoding="utf-8"?>
<sst xmlns="http://schemas.openxmlformats.org/spreadsheetml/2006/main" count="4772" uniqueCount="770">
  <si>
    <t>No.</t>
  </si>
  <si>
    <t>NOMBRE</t>
  </si>
  <si>
    <t>Cargo o Puesto</t>
  </si>
  <si>
    <t>Departamento</t>
  </si>
  <si>
    <t>Sistema de Remuneración</t>
  </si>
  <si>
    <t>Línea de Trabajo</t>
  </si>
  <si>
    <t>Salarios</t>
  </si>
  <si>
    <t>Aportes por Contribuciones Patronales</t>
  </si>
  <si>
    <t>Aporte Patronal INSAFORP</t>
  </si>
  <si>
    <t>INSAFORP MENSUAL</t>
  </si>
  <si>
    <t>Horas Extras</t>
  </si>
  <si>
    <t>Aportes por Contribuciones Patronales por Horas Extras</t>
  </si>
  <si>
    <t>Indemnizaciones</t>
  </si>
  <si>
    <t>Prestación Económica por Retiro Voluntario</t>
  </si>
  <si>
    <t>Subsidio por Canasta Navideña</t>
  </si>
  <si>
    <t>Subsidio por el Dia de la Secretaria</t>
  </si>
  <si>
    <t>Beneficios Adicionales</t>
  </si>
  <si>
    <t>Gastos funerarios</t>
  </si>
  <si>
    <t>Dietas</t>
  </si>
  <si>
    <t>Mensual</t>
  </si>
  <si>
    <t>Anual</t>
  </si>
  <si>
    <t>Subsidio para confeccion de uniformes</t>
  </si>
  <si>
    <t>Gastos de representación en el exterior</t>
  </si>
  <si>
    <t>Aguinaldo</t>
  </si>
  <si>
    <t>Bonificacion</t>
  </si>
  <si>
    <t>Remuneraciones Diversas</t>
  </si>
  <si>
    <t>Sub. Para Apoyo de Formación Educativa</t>
  </si>
  <si>
    <t>Subsidio del Dia del Empleado Municipal</t>
  </si>
  <si>
    <t>Seg. Soc. Priv.</t>
  </si>
  <si>
    <t>MENSUAL</t>
  </si>
  <si>
    <t>Seguridad Social Pública (SSP)</t>
  </si>
  <si>
    <t>Seguridad Social Pública (SSP) por Horas Extras</t>
  </si>
  <si>
    <t>Dia del Empleado</t>
  </si>
  <si>
    <t>AFP´s</t>
  </si>
  <si>
    <t>AFP CRECER</t>
  </si>
  <si>
    <t>AFP  CONFIA</t>
  </si>
  <si>
    <t>INPEP</t>
  </si>
  <si>
    <t>INPEP MENSUAL</t>
  </si>
  <si>
    <t>ISSS</t>
  </si>
  <si>
    <t>ISSS MENSUAL</t>
  </si>
  <si>
    <t>IPSFA</t>
  </si>
  <si>
    <t>IPSFA MENSUAL</t>
  </si>
  <si>
    <t>Total SSP</t>
  </si>
  <si>
    <t>Veronica Jazmin Clavel de Castro</t>
  </si>
  <si>
    <t>1er.Regidor Propietario</t>
  </si>
  <si>
    <t>Concejo Municipal</t>
  </si>
  <si>
    <t>Elección Popular</t>
  </si>
  <si>
    <t>0101</t>
  </si>
  <si>
    <t>Wilfredo Jeovany Cuellar Hurtado</t>
  </si>
  <si>
    <t>2do.Regidor Propietario</t>
  </si>
  <si>
    <t xml:space="preserve"> </t>
  </si>
  <si>
    <t>Oscar Alexander Lara Espinoza</t>
  </si>
  <si>
    <t>3er. Regidor Propietario</t>
  </si>
  <si>
    <t>Miguel Angel Urias García</t>
  </si>
  <si>
    <t>4o. Regidor Propietario</t>
  </si>
  <si>
    <t>Julissa Lizette Moscoso de Avalos</t>
  </si>
  <si>
    <t>5o. Regidor Propietario</t>
  </si>
  <si>
    <t>Jorge Alberto Ramirez Marroquin</t>
  </si>
  <si>
    <t>6o. Regidor Propietario</t>
  </si>
  <si>
    <t>Sigfredo Alexander Montes Baires</t>
  </si>
  <si>
    <t>7o.Regidor Propietario</t>
  </si>
  <si>
    <t>Evelyn Mariela Melgar Ruiz</t>
  </si>
  <si>
    <t>8o. Regidor Propietario</t>
  </si>
  <si>
    <t>Mario Gustavo Méndez Velasquez</t>
  </si>
  <si>
    <t>9o. Regidor Propietario</t>
  </si>
  <si>
    <t>Hugo Antonio Calderon Arriola</t>
  </si>
  <si>
    <t>10o. Regidor Propietario</t>
  </si>
  <si>
    <t>Manuel de Jesús Hernández Romero</t>
  </si>
  <si>
    <t>1er. Regidor Suplente</t>
  </si>
  <si>
    <t>Dedwin Antonio Portillo Vasquez</t>
  </si>
  <si>
    <t>2o. Regidor Suplente</t>
  </si>
  <si>
    <t>Saúl Enrique Hernández Calderon</t>
  </si>
  <si>
    <t>3er. Regidor Suplente</t>
  </si>
  <si>
    <t>Emerson Yovany Deras Ramos</t>
  </si>
  <si>
    <t>4o. Regidor Suplente</t>
  </si>
  <si>
    <t>TOTAL DEL CONCEJO MPAL.</t>
  </si>
  <si>
    <t>ISAAC BENJAMIN HERNANDEZ ESCOBAR</t>
  </si>
  <si>
    <t>Alcalde Municipal</t>
  </si>
  <si>
    <t>Despacho Mpal</t>
  </si>
  <si>
    <t>Nombramiento</t>
  </si>
  <si>
    <t>Mayra Angelica Escalante Abrego</t>
  </si>
  <si>
    <t>Asistente del Despacho</t>
  </si>
  <si>
    <t>Mirian Aracely Valladares Varela</t>
  </si>
  <si>
    <t xml:space="preserve">Secretaria </t>
  </si>
  <si>
    <t>Ricardo Antonio Ulloa Salazar</t>
  </si>
  <si>
    <t>Motorista del Despacho</t>
  </si>
  <si>
    <t>TOTAL DEL DESPACHO MPAL.</t>
  </si>
  <si>
    <t>JORGE ANTONIO BURGOS JORDAN</t>
  </si>
  <si>
    <t xml:space="preserve">Encargado(a) deTurismo </t>
  </si>
  <si>
    <t>Unidad de Turismo y Cultura</t>
  </si>
  <si>
    <t>Miguel Angel Guerrero Valdez</t>
  </si>
  <si>
    <t>Colaborador</t>
  </si>
  <si>
    <t>JOSE DAVID ARAUZ GUEVARA</t>
  </si>
  <si>
    <t>Encargado(a) de Cultura</t>
  </si>
  <si>
    <t>TOTAL DE LA UNIDAD DE TURISMO Y CULTURA</t>
  </si>
  <si>
    <t>Santos Walter Reinado Jovel</t>
  </si>
  <si>
    <t>Enc. de Unid. de la Bolsa de Empleo</t>
  </si>
  <si>
    <t>Unidad de la Bolsa de Empleo</t>
  </si>
  <si>
    <t>TOTAL DE LA UNIDAD DE LA BOLSA DE EMPLEO</t>
  </si>
  <si>
    <t>Vilma Noemy Santos Cruz</t>
  </si>
  <si>
    <t>Encargada de la Unidad de la Mujer, Genero, Niñez y Adolescencia</t>
  </si>
  <si>
    <t>Unidad de la Mujer, Genero, Niñez y Adolescencia</t>
  </si>
  <si>
    <t>Angelica de los Angeles López de Dimas</t>
  </si>
  <si>
    <t>Colaborador de la Mujer y Genero</t>
  </si>
  <si>
    <t>MONICA SOFIA ANGEL VILLALTA</t>
  </si>
  <si>
    <t>Colaborador de la Niñez y Adolesc.</t>
  </si>
  <si>
    <t>TOTAL DE LA UNIDAD DE LA MUJER, GENERO, NIÑEZ Y ADOLESCENCIA</t>
  </si>
  <si>
    <t>EDWIN ANTONIO ASCENCIO GARCIA</t>
  </si>
  <si>
    <t>Gerente Municipal</t>
  </si>
  <si>
    <t>Adela Arrué de Orellana</t>
  </si>
  <si>
    <t xml:space="preserve">Asistente </t>
  </si>
  <si>
    <t>Mayra Evelyn Canales Rodriguez</t>
  </si>
  <si>
    <t>Enc. De Control de Combustible</t>
  </si>
  <si>
    <t>TOTAL DE GERENCIA MUNICIPAL</t>
  </si>
  <si>
    <t>ENMANUEL ALEJANDRO TOBAR OSORIO</t>
  </si>
  <si>
    <t>Coord. de Unidad de  Gestion y Cooperación</t>
  </si>
  <si>
    <t>Unidad de  Gestion y Cooperación</t>
  </si>
  <si>
    <t>Jamie Rocio García Soriano</t>
  </si>
  <si>
    <t>TOTAL DE UNIDAD DE GESTION Y COOPERACION</t>
  </si>
  <si>
    <t xml:space="preserve">Carmen Lorena Aguilar Martínez </t>
  </si>
  <si>
    <t>Delegado Contravencional</t>
  </si>
  <si>
    <t>Unidad Municipal Contravencional y de Resolución Alterna de Conflictos</t>
  </si>
  <si>
    <t>Eliseo de Jesus Carballo</t>
  </si>
  <si>
    <t xml:space="preserve">Colaborador </t>
  </si>
  <si>
    <t>Maria de los Angeles Martínez Mendez</t>
  </si>
  <si>
    <t>Claudia Nataly Marinero Raymundo</t>
  </si>
  <si>
    <t>TOTAL DE LA UNIDAD MPAL. CONTRAVENCIONAL Y DE RESOLUCION ALTERNA DE CONFLICTOS</t>
  </si>
  <si>
    <t>José Rigoberto Escobar Molina</t>
  </si>
  <si>
    <t>Oficial de Información Pública</t>
  </si>
  <si>
    <t>Unidad de Acceso a la Información Pública</t>
  </si>
  <si>
    <t>TOTAL DE LA UNIDAD DE ACCESO A LA INFORMACIÓN PÚBLICA</t>
  </si>
  <si>
    <t>Walter Montoya Castro</t>
  </si>
  <si>
    <t>Encargado de Archivo Institucional</t>
  </si>
  <si>
    <t>Archivo Institucional</t>
  </si>
  <si>
    <t>Mauricio Antonio Ruiz Martinez</t>
  </si>
  <si>
    <t>Colaborador I</t>
  </si>
  <si>
    <t>Abel Deras Orellana</t>
  </si>
  <si>
    <t>Colaborador II</t>
  </si>
  <si>
    <t>TOTAL DE ARCHIVO INSTITUCIONAL</t>
  </si>
  <si>
    <t>EMERSON CHRIS ALEMAN SANCHEZ</t>
  </si>
  <si>
    <t>Síndico Municipal</t>
  </si>
  <si>
    <t>Sindicatura</t>
  </si>
  <si>
    <t>LILIANA ABIGAIL MARCONY LANDAVERDE</t>
  </si>
  <si>
    <t>Secretaria</t>
  </si>
  <si>
    <t>TOTAL DE SINDICATURA</t>
  </si>
  <si>
    <t>BLANCA ESTELA CONTRERAS COLOCHO</t>
  </si>
  <si>
    <t>Secretario Municipal</t>
  </si>
  <si>
    <t>Secretaría Mpal.</t>
  </si>
  <si>
    <t>LILIAN LEONOR SOSA SERRANO</t>
  </si>
  <si>
    <t>TOTAL DE SECRETARIA MPAL.</t>
  </si>
  <si>
    <t>Lic. Juan Carlos Vasquez García</t>
  </si>
  <si>
    <t>Auditor Interno</t>
  </si>
  <si>
    <t>Auditoría Interna</t>
  </si>
  <si>
    <t>Gabriela de Lourdes Reyes de Del Cid</t>
  </si>
  <si>
    <t>Alexandra Abigail Reyes Luna</t>
  </si>
  <si>
    <t>TOTAL DE AUDITORIA INTERNA</t>
  </si>
  <si>
    <t>Lic. Ana del Carmen Martínez Leonardo</t>
  </si>
  <si>
    <t xml:space="preserve">Jefe de Asesoría Jurídico </t>
  </si>
  <si>
    <t>Asesoría Juridica</t>
  </si>
  <si>
    <t>JORGE ALEXANDER VELASQUEZ DELEON</t>
  </si>
  <si>
    <t>Asesor Juridico</t>
  </si>
  <si>
    <t>Veronica Tovar de Lué</t>
  </si>
  <si>
    <t>Asistente</t>
  </si>
  <si>
    <t>TOTAL DE ASESORIA JURIDICA</t>
  </si>
  <si>
    <t>Ana Mirian Batres de Guevara</t>
  </si>
  <si>
    <t>Jefe de Gestion del Talento Humano</t>
  </si>
  <si>
    <t>Unidad de Gestion del Talento Humano</t>
  </si>
  <si>
    <t>Guadalupe Elizabeth Perez de Dias</t>
  </si>
  <si>
    <t>Eva Aracely Chacón Tamacas</t>
  </si>
  <si>
    <t>Jackeline Xiomara Contreras de Cuellar</t>
  </si>
  <si>
    <t>TOTAL DE UNIDAD DE GESTION DEL TALENTO HUMANO</t>
  </si>
  <si>
    <t>Jose Dennys Pineda Espinoza</t>
  </si>
  <si>
    <t>Enc. De Gestión de Prevención de Riesgos Ocupacionales</t>
  </si>
  <si>
    <t>Unidad de Atención al Cliente</t>
  </si>
  <si>
    <t>Ofelia Caterin Alas Mejía</t>
  </si>
  <si>
    <t>Recepcionista</t>
  </si>
  <si>
    <t>Fernando Sánchez Cáceres</t>
  </si>
  <si>
    <t>Ordenanza I</t>
  </si>
  <si>
    <t>Elba Noemi Beltran Ruiz</t>
  </si>
  <si>
    <t>Erika Esmeralda López Gutiérrez</t>
  </si>
  <si>
    <t>Ana Sofia Osorio Franco</t>
  </si>
  <si>
    <t>Ordenanza II</t>
  </si>
  <si>
    <t>Francisco Vega</t>
  </si>
  <si>
    <t>José Antonio Cruz</t>
  </si>
  <si>
    <t>Carmen Guadalupe Portillo de Acevedo</t>
  </si>
  <si>
    <t>Yesenia Carolina Ventura de Gonzalez</t>
  </si>
  <si>
    <t>Ordenanza III</t>
  </si>
  <si>
    <t>Maritza Mercado de Alfaro</t>
  </si>
  <si>
    <t>Mirian Anabel Nuñez Rodriguez</t>
  </si>
  <si>
    <t>TOTAL DE UNIDAD DE ATENCION AL CLIENTE</t>
  </si>
  <si>
    <t>JONATHAN WILLIAM CHEVERRIA MOLINA</t>
  </si>
  <si>
    <t>Jefe de Unidad de Tecnologías de la Información y la Comunicación</t>
  </si>
  <si>
    <t>Unidad de Tecnologías de la Información y la Comunicación</t>
  </si>
  <si>
    <t>José Roberto Segura Deleón</t>
  </si>
  <si>
    <t>Encargado de Unidad de Tecnologias de la Información y Comunicación</t>
  </si>
  <si>
    <t>Susana Guadalupe Contreras Velasquez</t>
  </si>
  <si>
    <t>TOTAL DE UNIDAD DE TECNOLOGIAS DE LA INFORMACIÓN Y LA COMUNICACIÓN</t>
  </si>
  <si>
    <t>Luis Alfredo Lemus Herrera</t>
  </si>
  <si>
    <t>Enc. de Unidad Ambiental</t>
  </si>
  <si>
    <t>Unidad Ambiental</t>
  </si>
  <si>
    <t>Francisco Antonio Larin Cuellar</t>
  </si>
  <si>
    <t>Inspector de Unidad Ambiental</t>
  </si>
  <si>
    <t>Freddy Eduardo Villacorta Menjívar</t>
  </si>
  <si>
    <t>Walter Rafael Méndez Jiménez</t>
  </si>
  <si>
    <t>TOTAL DE UNIDAD AMBIENTAL</t>
  </si>
  <si>
    <t>TOTAL DE LINEA 0101</t>
  </si>
  <si>
    <t>MARIO ALBERTO VASQUEZ ESTRADA</t>
  </si>
  <si>
    <t>Jefe de UACI</t>
  </si>
  <si>
    <t>U.A.C.I</t>
  </si>
  <si>
    <t>0102</t>
  </si>
  <si>
    <t>David Alfredo Contreras Belloso</t>
  </si>
  <si>
    <t>Asistente de UACI</t>
  </si>
  <si>
    <t>Reina Alicia Iglesias Ramirez</t>
  </si>
  <si>
    <t>Gestor de Compras</t>
  </si>
  <si>
    <t>Hilda Yaricia Medrano Guevara</t>
  </si>
  <si>
    <t>Colab. de UACI</t>
  </si>
  <si>
    <t>Leonardo Mejía Campos</t>
  </si>
  <si>
    <t>Encargado de Proveeduria</t>
  </si>
  <si>
    <t>Willian Ernesto Martinez</t>
  </si>
  <si>
    <t>Colab. de Proveeduria</t>
  </si>
  <si>
    <t>TOTAL DE UACI</t>
  </si>
  <si>
    <t>Silvia Lorena López López</t>
  </si>
  <si>
    <t>Jefe de UATM</t>
  </si>
  <si>
    <t>U.A.T.M.</t>
  </si>
  <si>
    <t>Haydee Guadalupe Santos de Alvarado</t>
  </si>
  <si>
    <t>Colab. De UATM</t>
  </si>
  <si>
    <t>Julio Vladimir Gonzalez López</t>
  </si>
  <si>
    <t>Encargado de Secc. R.C.T.</t>
  </si>
  <si>
    <t>David Ronaldy Alas Roque</t>
  </si>
  <si>
    <t>Inspector de Empresas</t>
  </si>
  <si>
    <t>Ovidio Alfredo García Quijada</t>
  </si>
  <si>
    <t>Inspector de Inmuebles I</t>
  </si>
  <si>
    <t>Ana de las Mercedes García de Polanco</t>
  </si>
  <si>
    <t>Colaborador de R.C.T.</t>
  </si>
  <si>
    <t>Ana Claudia Lima de Carranza</t>
  </si>
  <si>
    <t>Encargada de Ctas. Corrientes</t>
  </si>
  <si>
    <t>Mauricio Ernesto Avila Mejía</t>
  </si>
  <si>
    <t>Colab. de Ctas. Corrientes I</t>
  </si>
  <si>
    <t>Tomas Benjamin Morán Franco</t>
  </si>
  <si>
    <t>Colab. de Ctas. Corrientes II</t>
  </si>
  <si>
    <t>Fca. Talia Martinez Recinos</t>
  </si>
  <si>
    <t>Colab. de Ctas. Corrientes III</t>
  </si>
  <si>
    <t>Reyna Aracely Esquivel Escalante</t>
  </si>
  <si>
    <t>Colab. de Ctas. Corrientes IV</t>
  </si>
  <si>
    <t>Evelyn Cecilia Dubón Torres</t>
  </si>
  <si>
    <t>Enc. de Recuperación de Mora</t>
  </si>
  <si>
    <t>María del Carmen Aviles Madrid</t>
  </si>
  <si>
    <t>Colab. de Recuperación de Mora I</t>
  </si>
  <si>
    <t>Diana Dalila Vasquez Rivera</t>
  </si>
  <si>
    <t>Colab. de Recuperación de Mora II</t>
  </si>
  <si>
    <t>Aldonza Lisseth Maravilla Ortiz</t>
  </si>
  <si>
    <t>Encargada de Fiscalización</t>
  </si>
  <si>
    <t>Rafael Angel Portillo Magaña</t>
  </si>
  <si>
    <t>Notificador I</t>
  </si>
  <si>
    <t>Carlos Isaias Preza Linares</t>
  </si>
  <si>
    <t>Edilberto Antonio Moreno Martinez</t>
  </si>
  <si>
    <t>Notificador II</t>
  </si>
  <si>
    <t>TOTAL DE UATM</t>
  </si>
  <si>
    <t>EDWIN MAURICIO MOLINA ORELLANA</t>
  </si>
  <si>
    <t>Jefe de Tesorería</t>
  </si>
  <si>
    <t>Tesoreria</t>
  </si>
  <si>
    <t>Irayda Marilu Alvarado de Flores</t>
  </si>
  <si>
    <t>Asistente de Tesoreria</t>
  </si>
  <si>
    <t>Alba Elizabeth Preza de Montoya</t>
  </si>
  <si>
    <t>Domingo Venancio Aguiluz Beltran</t>
  </si>
  <si>
    <t>Colector de Aduana</t>
  </si>
  <si>
    <t>Roxana Cruz de Batres</t>
  </si>
  <si>
    <t>Cajero</t>
  </si>
  <si>
    <t>Karen Elizabeth Martínez Contreras</t>
  </si>
  <si>
    <t>Colab. de Especies Municipales</t>
  </si>
  <si>
    <t>Patricia Elizabeth Alemán de Pineda</t>
  </si>
  <si>
    <t>Colaborador de Tesoreria I</t>
  </si>
  <si>
    <t>Ana Judith Torres de Valencia</t>
  </si>
  <si>
    <t>Colaborador de Tesorería I</t>
  </si>
  <si>
    <t>Julio Cesar Martínez Orellana</t>
  </si>
  <si>
    <t>Colaborador de Tesoreria II</t>
  </si>
  <si>
    <t>Briseyda Yamileth Trejo Castillo</t>
  </si>
  <si>
    <t>Colaborador de Tesoreria III</t>
  </si>
  <si>
    <t>Evelyn Roxana Iraheta de Morales</t>
  </si>
  <si>
    <t>Sara Ester Patiño Rosales</t>
  </si>
  <si>
    <t>Colaborador de Tesoreria IV</t>
  </si>
  <si>
    <t>Lorenzo Tecun</t>
  </si>
  <si>
    <t>Ordenanza de Tesorería</t>
  </si>
  <si>
    <t>TOTAL DE TESORERIA</t>
  </si>
  <si>
    <t>Karla Vanessa Maravilla de Pereira</t>
  </si>
  <si>
    <t>Jefe de Contabilidad</t>
  </si>
  <si>
    <t>Contabilidad</t>
  </si>
  <si>
    <t>Ana Rubia Ventura Menjivar</t>
  </si>
  <si>
    <t>Asistente de Contabilidad</t>
  </si>
  <si>
    <t>Jessica Beatriz Martinez de Bonilla</t>
  </si>
  <si>
    <t>Colaborador de Inventarios</t>
  </si>
  <si>
    <t>Andrea Marielos Montoya Ponce</t>
  </si>
  <si>
    <t>Colaborador de Contabilidad</t>
  </si>
  <si>
    <t>TOTAL DE CONTABILIDAD</t>
  </si>
  <si>
    <t>Wendy Susana Lima Figueroa</t>
  </si>
  <si>
    <t>Jefe de Presupuesto</t>
  </si>
  <si>
    <t>Presupuesto</t>
  </si>
  <si>
    <t>Mirian Elizabeth Ordoñez de Alfaro</t>
  </si>
  <si>
    <t>Asistente de Presupuesto</t>
  </si>
  <si>
    <t>Jackelinne America Chavez de Cortez</t>
  </si>
  <si>
    <t>Colaborador de Presupuesto</t>
  </si>
  <si>
    <t>TOTAL DE PRESUPUESTO</t>
  </si>
  <si>
    <t>TOTAL LINEA 0102</t>
  </si>
  <si>
    <t>Cecilia Elizabeth Cáceres Rodríguez</t>
  </si>
  <si>
    <t>Jefe  del REF y Ciudadano</t>
  </si>
  <si>
    <t>R.E.F y Ciudadano</t>
  </si>
  <si>
    <t>0201</t>
  </si>
  <si>
    <t>Alba Noemy Cisneros Orellana</t>
  </si>
  <si>
    <t>Asistente del REF</t>
  </si>
  <si>
    <t>Mario Jonathan Pérez Martínez</t>
  </si>
  <si>
    <t>Enc. Sistemas del REF</t>
  </si>
  <si>
    <t>Carlos Alfredo Cuellar Melgar</t>
  </si>
  <si>
    <t>Colaborador del REF I</t>
  </si>
  <si>
    <t>Fatima del Rosario Olla Ceceña</t>
  </si>
  <si>
    <t>Dimas Alfonso Escobar Lainez</t>
  </si>
  <si>
    <t>Colaborador del REF II</t>
  </si>
  <si>
    <t>Olman Alexander Zepeda Portillo</t>
  </si>
  <si>
    <t>Colaborador del REF III</t>
  </si>
  <si>
    <t>Nancy Yasmin Regalado Leiva</t>
  </si>
  <si>
    <t>Colaborador del REF IV</t>
  </si>
  <si>
    <t>Blanca Liseth Martinez Navarrete</t>
  </si>
  <si>
    <t>TOTAL DEL REF Y CIUDADANO</t>
  </si>
  <si>
    <t>Jesus Ernesto Romero Tobar</t>
  </si>
  <si>
    <t>Jefe de Desarrollo Urbano y Proyectos</t>
  </si>
  <si>
    <t xml:space="preserve"> Desarrollo Urbano y Proyectos</t>
  </si>
  <si>
    <t>Silvio Cesar Reyes Sanchez</t>
  </si>
  <si>
    <t xml:space="preserve">Sub jefe </t>
  </si>
  <si>
    <t>Blanca Raquel Valladares Varela</t>
  </si>
  <si>
    <t>Asistente de Desarr. Urb. y Proy.</t>
  </si>
  <si>
    <t>José Reinaldo Vásquez</t>
  </si>
  <si>
    <t>Antonio Valencia Sanchez</t>
  </si>
  <si>
    <t>Topografo</t>
  </si>
  <si>
    <t>René Orellana Orellana</t>
  </si>
  <si>
    <t>Enc. de Des. Urbano</t>
  </si>
  <si>
    <t>Santos Cristobal Leiva Acevedo</t>
  </si>
  <si>
    <t>Colaborador de Desarrollo Urbano</t>
  </si>
  <si>
    <t>Mario José Leiva Estrada</t>
  </si>
  <si>
    <t>TOTAL  DE DESARROLLO URBANO Y PROYECTOS</t>
  </si>
  <si>
    <t>ULISES ALFIDIO SIBRIAN NAVARRO</t>
  </si>
  <si>
    <t>Jefe de Unidad Medica</t>
  </si>
  <si>
    <t>Unidad Médica</t>
  </si>
  <si>
    <t>Elsy Janeth Borja Figueroa</t>
  </si>
  <si>
    <t>Sub jefe</t>
  </si>
  <si>
    <t>Angelica María Vásquez</t>
  </si>
  <si>
    <t xml:space="preserve">Promotor en Salud </t>
  </si>
  <si>
    <t>Cecilia Nohemy Mejía Alvarado</t>
  </si>
  <si>
    <t>TOTAL DE UNIDAD MEDICA</t>
  </si>
  <si>
    <t>TOTAL LINEA DE TRABAJO 0201</t>
  </si>
  <si>
    <t>MIRNA ELIZABETH NAVARRETE MIRANDA</t>
  </si>
  <si>
    <t>Enc. de Promocion en Salud</t>
  </si>
  <si>
    <t>Unidad de Promocion en Salud</t>
  </si>
  <si>
    <t>0202</t>
  </si>
  <si>
    <t>TOTAL DE UNIDAD DE PROMOCION EN SALUD</t>
  </si>
  <si>
    <t>MANUEL DE JESUS GONZALEZ SANTOS</t>
  </si>
  <si>
    <t>Jefe de Proyección Social</t>
  </si>
  <si>
    <t>Proyección Social</t>
  </si>
  <si>
    <t>Sigfredo Flores Rivas</t>
  </si>
  <si>
    <t>Bessi Esmeralda Aguilar de Pineda</t>
  </si>
  <si>
    <t>Secretaria de Proy. Social</t>
  </si>
  <si>
    <t>Anacleto Cuellar</t>
  </si>
  <si>
    <t>Motorista de Proyección</t>
  </si>
  <si>
    <t>Elvin Vladimir  Ganuza Lara</t>
  </si>
  <si>
    <t>Encargado de Becas</t>
  </si>
  <si>
    <t>Manuel de Jesus Urias Arevalo</t>
  </si>
  <si>
    <t>Enc. De Logistica</t>
  </si>
  <si>
    <t>Jorge Ernesto Rivas Marroquin</t>
  </si>
  <si>
    <t>Promotor en Deportes</t>
  </si>
  <si>
    <t>José David Cruz Aguirre</t>
  </si>
  <si>
    <t>Promotor II</t>
  </si>
  <si>
    <t>Fabio Edgardo Batres Soto</t>
  </si>
  <si>
    <t>Promotor III</t>
  </si>
  <si>
    <t>Ana Maribel Ruíz Valiente</t>
  </si>
  <si>
    <t>Amelia Esperanza Cruz de Ramos</t>
  </si>
  <si>
    <t>Ana Lorena Rico</t>
  </si>
  <si>
    <t>Marcela Divina Hernández Hernández</t>
  </si>
  <si>
    <t>Ana Cristina Contreras de Alvarado</t>
  </si>
  <si>
    <t>Cindy Magali Vasquez de Pleitez</t>
  </si>
  <si>
    <t>Promotor IV</t>
  </si>
  <si>
    <t>José Luis Machuca Cubias</t>
  </si>
  <si>
    <t>Carlos Roberto  Carabantes Acuña</t>
  </si>
  <si>
    <t>Promotor V</t>
  </si>
  <si>
    <t>Melvin Alberto Beltran Hernandez</t>
  </si>
  <si>
    <t>Vilma Guadalupe Pérez Zacapa</t>
  </si>
  <si>
    <t>TOTAL DE PROYECCIÓN SOCIAL</t>
  </si>
  <si>
    <t>Moises David Bonilla Martínez</t>
  </si>
  <si>
    <t>Coord. Del CMPV</t>
  </si>
  <si>
    <t>CMPV</t>
  </si>
  <si>
    <t>Silvia Marleni Rosa de Ruiz</t>
  </si>
  <si>
    <t>Secretaria del CMPV</t>
  </si>
  <si>
    <t>Juan Francisco Galan Sanchez</t>
  </si>
  <si>
    <t>Colab. del CMPV</t>
  </si>
  <si>
    <t>Carlos Antonio Tobar Valladares</t>
  </si>
  <si>
    <t>Enc.de Centros de Alcances</t>
  </si>
  <si>
    <t>TOTAL DEL CMPV</t>
  </si>
  <si>
    <t>Jefe de Com. y Rel. Pùblicas</t>
  </si>
  <si>
    <t>Comunic. y Relac.Publicas</t>
  </si>
  <si>
    <t>Lic. Ever Eduardo Aguiluz Mendoza</t>
  </si>
  <si>
    <t>Encargado de Prensa</t>
  </si>
  <si>
    <t>Claudia Lorena Bonilla Herrera</t>
  </si>
  <si>
    <t>Asistente de Comunic. Y Relac. Pub.</t>
  </si>
  <si>
    <t>Alvaro Ivan Rodriguez Rodriguez</t>
  </si>
  <si>
    <t>Gerson Emanuel Hernandez Perez</t>
  </si>
  <si>
    <t>Jose Miguel Hernandez Perez</t>
  </si>
  <si>
    <t>Joel Francisco Cortez Peña</t>
  </si>
  <si>
    <t>Emerson Alexis Guzman Flores</t>
  </si>
  <si>
    <t>TOTAL DE COMUNICACIONES Y RELACIONES PUB.</t>
  </si>
  <si>
    <t>Vidal Ernesto Orellana Luna</t>
  </si>
  <si>
    <t xml:space="preserve">Director </t>
  </si>
  <si>
    <t>C.A.M</t>
  </si>
  <si>
    <t>Jose Ovidio Beltran</t>
  </si>
  <si>
    <t>Sub Director</t>
  </si>
  <si>
    <t>Maria del Pilar Ramirez de Reyes</t>
  </si>
  <si>
    <t>Moises Escobar</t>
  </si>
  <si>
    <t>José Osmin Martínez Méndez</t>
  </si>
  <si>
    <t>David Humberto Carlos Gómez</t>
  </si>
  <si>
    <t>Agente II</t>
  </si>
  <si>
    <t>Carlos Salvador Medrano Mancia</t>
  </si>
  <si>
    <t>José Antonio Selim Martínez</t>
  </si>
  <si>
    <t>Agustin Cordova</t>
  </si>
  <si>
    <t>Agente III</t>
  </si>
  <si>
    <t>José Orlando Carbajal Menjivar</t>
  </si>
  <si>
    <t>Agente IV</t>
  </si>
  <si>
    <t>Juan Antonio Rivera Rivera</t>
  </si>
  <si>
    <t>José Antonio Ruíz</t>
  </si>
  <si>
    <t>Guillermo Mauricio Torres</t>
  </si>
  <si>
    <t>Ada Mirna Romero Merino</t>
  </si>
  <si>
    <t>Gerardo Martinez</t>
  </si>
  <si>
    <t>Oscar Mauricio Menjivar Peraza</t>
  </si>
  <si>
    <t>Rosa Elena Nuñez de Mejía</t>
  </si>
  <si>
    <t>Rafael de Jesús Grijalva López</t>
  </si>
  <si>
    <t>Rene Antonio Velasquez Mata</t>
  </si>
  <si>
    <t>Manuel Antonio Rendón</t>
  </si>
  <si>
    <t>Juan José Subvado Oliva</t>
  </si>
  <si>
    <t>Andres Hernández Saravia</t>
  </si>
  <si>
    <t>Victor Manuel Arrue</t>
  </si>
  <si>
    <t>Agente V</t>
  </si>
  <si>
    <t>Juan Alvarado Alvarado</t>
  </si>
  <si>
    <t>Zoila Dolores Velasquez Romero</t>
  </si>
  <si>
    <t>Sergio Pérez Ramos</t>
  </si>
  <si>
    <t>Hernan Méndez García</t>
  </si>
  <si>
    <t>José German Calderon Sanchez</t>
  </si>
  <si>
    <t>Edgar Eduardo Vanegas Flores</t>
  </si>
  <si>
    <t>Wilberto Zavala García</t>
  </si>
  <si>
    <t>Douglas Aleman Cabrera</t>
  </si>
  <si>
    <t>Agente VI</t>
  </si>
  <si>
    <t>Elmer Rafael Mendoza Ramos</t>
  </si>
  <si>
    <t>Francisco Ariel Hernandez Ardon</t>
  </si>
  <si>
    <t>Jose Miguel Gonzalez López</t>
  </si>
  <si>
    <t>Cesar Alberto Ruiz Lemus</t>
  </si>
  <si>
    <t>TOTAL DEL CAM</t>
  </si>
  <si>
    <t>NESTOR IVAN RODRIGUEZ CORONADO</t>
  </si>
  <si>
    <t>Jefe de Servicios Publicos</t>
  </si>
  <si>
    <t>Serv.Public. Mpales.</t>
  </si>
  <si>
    <t>Jose Walter Hernandez Alvarado</t>
  </si>
  <si>
    <t>Sub Jefe de Servicios Publicos</t>
  </si>
  <si>
    <t>Jessica Patricia Castillo Contreras</t>
  </si>
  <si>
    <t>Bernabe Suriano Gómez</t>
  </si>
  <si>
    <t>TRANSPORTE</t>
  </si>
  <si>
    <t>Miguel Angel Melgar Caravantes</t>
  </si>
  <si>
    <t>Enc. de Transporte</t>
  </si>
  <si>
    <t>Mauricio Méndez</t>
  </si>
  <si>
    <t>Motorista de Vehículos I</t>
  </si>
  <si>
    <t>Raúl Andres Montoya Castro</t>
  </si>
  <si>
    <t>Benedicto de Jesús Aguilar Martinez</t>
  </si>
  <si>
    <t>Motorista de Vehículos II</t>
  </si>
  <si>
    <t>Jose Alejandro Lemus Alvarenga</t>
  </si>
  <si>
    <t>Manuel de Jesus Mejía Rivera</t>
  </si>
  <si>
    <t>Motorista de Vehiculos III</t>
  </si>
  <si>
    <t>William Osbaldo Herrera Alvarado</t>
  </si>
  <si>
    <t>José Antonio Rivas</t>
  </si>
  <si>
    <t>Motorista de Desechos  I</t>
  </si>
  <si>
    <t>Danilo Bladimir Cuellar</t>
  </si>
  <si>
    <t>Arnulfo Ramos Zepeda</t>
  </si>
  <si>
    <t>Motorista de Desechos II</t>
  </si>
  <si>
    <t>Roberto Carlos Erazo Lazo</t>
  </si>
  <si>
    <t>Motorista de Desechos III</t>
  </si>
  <si>
    <t>Cecilio Rivera Guardado</t>
  </si>
  <si>
    <t xml:space="preserve">Operador de Cargador </t>
  </si>
  <si>
    <t>Isidro Orlando Hernández Gallegos</t>
  </si>
  <si>
    <t>Operador de Motoniveladora</t>
  </si>
  <si>
    <t>José Rufino Nuñez Olivar</t>
  </si>
  <si>
    <t>Auxiliar de Operador</t>
  </si>
  <si>
    <t>José Esteban Hernández Ruíz</t>
  </si>
  <si>
    <t>Operador de Tractor</t>
  </si>
  <si>
    <t>Julio Merino Ayala</t>
  </si>
  <si>
    <t>Operador de Minicargador</t>
  </si>
  <si>
    <t>ASEO</t>
  </si>
  <si>
    <t>Jose Antonio Guzman Escobar</t>
  </si>
  <si>
    <t>Encargado de Aseo</t>
  </si>
  <si>
    <t>Cruz García</t>
  </si>
  <si>
    <t>Peón de Aseo I</t>
  </si>
  <si>
    <t>Lorenzo Arévalo Maeda</t>
  </si>
  <si>
    <t>Eleuterio Hernández Méndez</t>
  </si>
  <si>
    <t>José Mauricio Arriola Guerra</t>
  </si>
  <si>
    <t>Peón de Aseo II</t>
  </si>
  <si>
    <t>Atilio Alberto Galdamez</t>
  </si>
  <si>
    <t>Miguel Angel Romero Amaya</t>
  </si>
  <si>
    <t>Felipe Auterio Arcia</t>
  </si>
  <si>
    <t>Mauricio García García</t>
  </si>
  <si>
    <t>Peón de Aseo III</t>
  </si>
  <si>
    <t>Luis Guillermo Moran Elías</t>
  </si>
  <si>
    <t>Peón de Aseo  III</t>
  </si>
  <si>
    <t>Juan López Anzora</t>
  </si>
  <si>
    <t>Lino Alberto López Chachagua</t>
  </si>
  <si>
    <t>Jorge Luis Guardado Villalta</t>
  </si>
  <si>
    <t>Carlos Bladimir Cortez Franco</t>
  </si>
  <si>
    <t>Jose Adolfo Cisneros Tejada</t>
  </si>
  <si>
    <t>Peón de Aseo  IV</t>
  </si>
  <si>
    <t>Carlos Alberto Torres Meléndez</t>
  </si>
  <si>
    <t>José Marlon Ascencio Sandoval</t>
  </si>
  <si>
    <t>Julian Bernal Castro</t>
  </si>
  <si>
    <t>Juan Gabriel Chavez Ortiz</t>
  </si>
  <si>
    <t>Eduardo Cortez</t>
  </si>
  <si>
    <t>Ladislao Herniquez</t>
  </si>
  <si>
    <t xml:space="preserve">Francisco Ernesto Vega Ramirez </t>
  </si>
  <si>
    <t>Victor Alexander Escalante Linares</t>
  </si>
  <si>
    <t>Wilber Alexander López Cayetano</t>
  </si>
  <si>
    <t>Nilsson Emmanuel Olla Castillo</t>
  </si>
  <si>
    <t>Enc. de Recolec. Disp´. Desech.</t>
  </si>
  <si>
    <t>Raúl Antonio Rosa Escamilla</t>
  </si>
  <si>
    <t>Peón de Recolec.  Desech. I</t>
  </si>
  <si>
    <t>Juan Antonio Figueroa Carbajal</t>
  </si>
  <si>
    <t>Miguel Sandoval</t>
  </si>
  <si>
    <t>José Oscar Rivas</t>
  </si>
  <si>
    <t>Daniel Alexander García</t>
  </si>
  <si>
    <t>Carlos Alfredo Salmerón Cortéz</t>
  </si>
  <si>
    <t>Nelson Antonio Hernández</t>
  </si>
  <si>
    <t>Peón de Recolec. Desech. II</t>
  </si>
  <si>
    <t>Ezequiel Pérez Rodas</t>
  </si>
  <si>
    <t>Felix Alberto García</t>
  </si>
  <si>
    <t>Douglas López Alfaro</t>
  </si>
  <si>
    <t>José Irene Orellana Rivas</t>
  </si>
  <si>
    <t>Pedro Juan Ayala García</t>
  </si>
  <si>
    <t>Abilio Honorato Villalobos Quezada</t>
  </si>
  <si>
    <t>Wilfredo Ernesto Muñoz</t>
  </si>
  <si>
    <t>José Domingo Arévalo Martínez</t>
  </si>
  <si>
    <t>Peón de Recolec. Desech. III</t>
  </si>
  <si>
    <t>Juan Carlos Garcia Trujillo</t>
  </si>
  <si>
    <t>Ricardo Alfonso Mejía Centeno</t>
  </si>
  <si>
    <t>Santos Willian Jovel Flores</t>
  </si>
  <si>
    <t>Ismael Oswaldo Vides Flores</t>
  </si>
  <si>
    <t>José Dolores Rauda Franco</t>
  </si>
  <si>
    <t>Peón de Recolec. Desech. IV</t>
  </si>
  <si>
    <t>Armando Hernández</t>
  </si>
  <si>
    <t>Jose David Anaya Ruiz</t>
  </si>
  <si>
    <t>Wilber Jeovany Vides  Lemus</t>
  </si>
  <si>
    <t>Carlos Edilberto Valle Martínez</t>
  </si>
  <si>
    <t>Peón de Recolec. Desech. V</t>
  </si>
  <si>
    <t>Hugo Alfredo Patiño Rodriguez</t>
  </si>
  <si>
    <t>Peón de Saneamiento I</t>
  </si>
  <si>
    <t>Ruben de Jesús Guzmán</t>
  </si>
  <si>
    <t>Peón de Saneamiento II</t>
  </si>
  <si>
    <t>Elson Balmore Galdamez Sanchez</t>
  </si>
  <si>
    <t>Juan Antonio Pérez Garcia</t>
  </si>
  <si>
    <t>Peón de Saneamiento III</t>
  </si>
  <si>
    <t>PARQUES Y ESPACIOS PUBLICOS</t>
  </si>
  <si>
    <t>Isabel de Jesus Serrano López</t>
  </si>
  <si>
    <t>Enc. de Parque Botanico</t>
  </si>
  <si>
    <t>Ovel Henríquez López</t>
  </si>
  <si>
    <t>Enc. de Espacios Publicos</t>
  </si>
  <si>
    <t>Eulalio Antonio López Ramos</t>
  </si>
  <si>
    <t>Enc. de Parque Infantil</t>
  </si>
  <si>
    <t>Natanael Orantes Hernández</t>
  </si>
  <si>
    <t>Coord. del minipolideportivo</t>
  </si>
  <si>
    <t>Ricardo Hernández</t>
  </si>
  <si>
    <t>Jardinero</t>
  </si>
  <si>
    <t>Ernesto Avila Alvarez</t>
  </si>
  <si>
    <t>Peón de Aseo del parque botanico</t>
  </si>
  <si>
    <t>José Antonio Bautista Juarez</t>
  </si>
  <si>
    <t>Peón de Aseo del Miniestadio</t>
  </si>
  <si>
    <t>Wilfredo Guardado Pineda</t>
  </si>
  <si>
    <t>Peon de Aseo del parque metalío</t>
  </si>
  <si>
    <t>ALUMBRADO PUBLICO</t>
  </si>
  <si>
    <t>Raúl Ernesto Rodríguez</t>
  </si>
  <si>
    <t xml:space="preserve">Electricista I </t>
  </si>
  <si>
    <t>Manuel de Jesús Nuñez Olivares</t>
  </si>
  <si>
    <t>Colaborador de Electricista</t>
  </si>
  <si>
    <t>CEMENTERIO</t>
  </si>
  <si>
    <t>Santos Hernández</t>
  </si>
  <si>
    <t>Custodio de Cementerio</t>
  </si>
  <si>
    <t>José Eduardo Mejía Alas</t>
  </si>
  <si>
    <t>Encargado de Mtto. Y Ornato</t>
  </si>
  <si>
    <t>MANTENIMIENTO GENERAL</t>
  </si>
  <si>
    <t>Moises Arnoldo Rosa Escamilla</t>
  </si>
  <si>
    <t>Encargado de Mtto. Gral.</t>
  </si>
  <si>
    <t>Reyes Alvaro Zaracay Ramirez</t>
  </si>
  <si>
    <t>Peón de Mantenimiento II</t>
  </si>
  <si>
    <t>Carlos Roberto Flores Ruíz</t>
  </si>
  <si>
    <t>Pintor</t>
  </si>
  <si>
    <t>Jorge Alexander Jimenez</t>
  </si>
  <si>
    <t>Mecánico</t>
  </si>
  <si>
    <t>TOTAL DE SERVICIOS PUB. MUNICIPALES</t>
  </si>
  <si>
    <t>Willian Ramon Alfredo Baños Nuñez</t>
  </si>
  <si>
    <t>Admor. de Mercados y Terminal</t>
  </si>
  <si>
    <t>Mercados y Terminal</t>
  </si>
  <si>
    <t xml:space="preserve">  </t>
  </si>
  <si>
    <t>Willian Elvin Lara Turcios</t>
  </si>
  <si>
    <t>Walter Jeovany Pineda Equizabal</t>
  </si>
  <si>
    <t>Esmeralda del Carmen Hernàndez</t>
  </si>
  <si>
    <t>Karla María Villalta de Angel</t>
  </si>
  <si>
    <t>Cobrador I</t>
  </si>
  <si>
    <t>Juan Vicente Menjivar</t>
  </si>
  <si>
    <t>José Rosa Moreno Quinteros</t>
  </si>
  <si>
    <t>Ivan Alexander Ramirez Pineda</t>
  </si>
  <si>
    <t>Cobrador II</t>
  </si>
  <si>
    <t>Marta Lilian Flores Amaya</t>
  </si>
  <si>
    <t>Cobrador III</t>
  </si>
  <si>
    <t>Jonathan Napoleon Moreno Quijada</t>
  </si>
  <si>
    <t>Benedicto Ortíz Pérez</t>
  </si>
  <si>
    <t>José Dionisio Méndez Ramírez</t>
  </si>
  <si>
    <t>José Angel Rivera Caceres</t>
  </si>
  <si>
    <t>Gustavo Adolfo Quijada Carranza</t>
  </si>
  <si>
    <t>Luis Antonio Arévalo Urquilla</t>
  </si>
  <si>
    <t>Peón de Saneamiento IV</t>
  </si>
  <si>
    <t>Juan Antonio Canizalez Pleitez</t>
  </si>
  <si>
    <t>TOTAL DE MERCADOS Y TERMINAL</t>
  </si>
  <si>
    <t>TOTAL DE LINEA 0202</t>
  </si>
  <si>
    <t>TOTAL GENERAL</t>
  </si>
  <si>
    <t>Jose Marcelino Bonilla</t>
  </si>
  <si>
    <t>TOTAL DE LA UNIDAD DE LA MUJER Y GENERO</t>
  </si>
  <si>
    <t>Prestaciones</t>
  </si>
  <si>
    <t>TOTAL DE VACACIONES</t>
  </si>
  <si>
    <t>Vacación</t>
  </si>
  <si>
    <t>IPSFA 6%</t>
  </si>
  <si>
    <t>ISSS  7.5%</t>
  </si>
  <si>
    <t>INSAFORP 1%</t>
  </si>
  <si>
    <t>Unidad de Atencion al Cliente</t>
  </si>
  <si>
    <t>TOTAL LINEA DE TRABAJO 0101</t>
  </si>
  <si>
    <t>TOTAL LINEA DE TRABAJO 0102</t>
  </si>
  <si>
    <t>Encargado de Des. Urbano</t>
  </si>
  <si>
    <t>Colaborador de Des. Urbano</t>
  </si>
  <si>
    <t>Encargado  de Prensa</t>
  </si>
  <si>
    <t>Motorista de Vehículos III</t>
  </si>
  <si>
    <t>Enc. de Recolec. Disp. Desech.</t>
  </si>
  <si>
    <t>TOTAL DE LA UNIDAD DE  CULTURA</t>
  </si>
  <si>
    <t>Juana Antonia Melgar de Romero</t>
  </si>
  <si>
    <t>Dora Idalia</t>
  </si>
  <si>
    <t xml:space="preserve">Unidad de Gestión Documental de Archivo </t>
  </si>
  <si>
    <t>Jefe UFI</t>
  </si>
  <si>
    <t>Unidad de Bienestar Social</t>
  </si>
  <si>
    <t>Unidad de la Mujer y Genero</t>
  </si>
  <si>
    <t>Unidad de la Niñez y Adolescencia</t>
  </si>
  <si>
    <t>Encargada de la Unidad de la Mujer y Genero</t>
  </si>
  <si>
    <t>Unidad de Reconstruccion y Tejido Social</t>
  </si>
  <si>
    <t>Enc. De Unidad de Banda y Filarmonica Mpal</t>
  </si>
  <si>
    <t>Unidad de Deportes</t>
  </si>
  <si>
    <t>Enc. De Unidad de Deportes</t>
  </si>
  <si>
    <t>TOTAL LINEA DE TRABAJO 0202</t>
  </si>
  <si>
    <t>0203,</t>
  </si>
  <si>
    <t>Unidad de  Cultura</t>
  </si>
  <si>
    <t>Tec. Asistencia Turistica</t>
  </si>
  <si>
    <t>Motorista de Desechos IV</t>
  </si>
  <si>
    <t>Promotor I</t>
  </si>
  <si>
    <t>ALCALDÍA MUNICIPAL DE ACAJUTLA</t>
  </si>
  <si>
    <t>Agente I</t>
  </si>
  <si>
    <t>Encargado de Unidad de Gestion Documental de Archivo</t>
  </si>
  <si>
    <t>Psicologo</t>
  </si>
  <si>
    <t>Digitador del REF</t>
  </si>
  <si>
    <t>Bodeguero</t>
  </si>
  <si>
    <t>Colab. de Presupuesto</t>
  </si>
  <si>
    <t>Notificador III</t>
  </si>
  <si>
    <t>Unidad Financiera Institucional</t>
  </si>
  <si>
    <t>Ordenanza</t>
  </si>
  <si>
    <t>Encargada de la Unidad de la Niñez y Adolescencia</t>
  </si>
  <si>
    <t>Unidad de Banda y Filarmonica Mpal</t>
  </si>
  <si>
    <t>Maestro de Musica</t>
  </si>
  <si>
    <t xml:space="preserve">Unidad de Turismo </t>
  </si>
  <si>
    <t>TOTAL DE LA UNIDAD DE DEPORTES</t>
  </si>
  <si>
    <t>0203</t>
  </si>
  <si>
    <t>Enc. De Electricistas</t>
  </si>
  <si>
    <t>Auxiliar de Mecánico</t>
  </si>
  <si>
    <t>TOTAL DE LINEA DE TRABAJO 0201</t>
  </si>
  <si>
    <t>TOTAL DE LINEA DE TRABAJO 0101</t>
  </si>
  <si>
    <t>Peón de Aseo V</t>
  </si>
  <si>
    <t xml:space="preserve">                        ALCALDÍA MUNICIPAL DE ACAJUTLA</t>
  </si>
  <si>
    <t>Gerencia Gral</t>
  </si>
  <si>
    <t>Maestro de Danza</t>
  </si>
  <si>
    <t>Gerente General</t>
  </si>
  <si>
    <t>Supervisora de Ordenanzas</t>
  </si>
  <si>
    <t>Encargado de Plaza Artesanal</t>
  </si>
  <si>
    <t>Enc. de Analisis Financiero</t>
  </si>
  <si>
    <t xml:space="preserve">Colaborador de Logistica </t>
  </si>
  <si>
    <t>Ordenanza de Servicios Públicos</t>
  </si>
  <si>
    <t>Motorista de Desechos I</t>
  </si>
  <si>
    <t>Enc. De Cancha Obelisco</t>
  </si>
  <si>
    <t>Enc. De Seguridad Ocupacional</t>
  </si>
  <si>
    <t>Enc. de Unidad de Bienestar Social Y Prevención de la Violencia</t>
  </si>
  <si>
    <t>Enc. de Unidad de Mediacion</t>
  </si>
  <si>
    <t>TOTAL LINEA DE TRABAJO 0203</t>
  </si>
  <si>
    <t>Subdelegada</t>
  </si>
  <si>
    <t>Enc. de Unidad de  Gestion y Cooperación</t>
  </si>
  <si>
    <t>Enc. De Redes y Comunicaciones</t>
  </si>
  <si>
    <t>Enc. de Pagos</t>
  </si>
  <si>
    <t xml:space="preserve">R.E.F </t>
  </si>
  <si>
    <t xml:space="preserve">Unidad Contravencional </t>
  </si>
  <si>
    <t>TOTAL DEL REGISTRO DEL ESTADO FAMILIAR</t>
  </si>
  <si>
    <t>Unidad de Bolsa de Empleo</t>
  </si>
  <si>
    <t xml:space="preserve">Jefe del REF </t>
  </si>
  <si>
    <t>Secretaria Municipal</t>
  </si>
  <si>
    <t>Encargado de Plaza Cultural</t>
  </si>
  <si>
    <t>Unidad de Tecnologías de la Información y Comunicación</t>
  </si>
  <si>
    <t>Jefe de Unidad de Tecnologías de la Información y Comunicación</t>
  </si>
  <si>
    <t>Cajera</t>
  </si>
  <si>
    <t xml:space="preserve">Enc de Unidad de Reconstruccion y Tejido Social                                                            </t>
  </si>
  <si>
    <t>Encargado de Cultura</t>
  </si>
  <si>
    <t xml:space="preserve">AFP CONFIA MENSUAL </t>
  </si>
  <si>
    <t xml:space="preserve">AFP CRECER MENSUAL </t>
  </si>
  <si>
    <t>Coord. del Minipolideportivo</t>
  </si>
  <si>
    <t>TOTAL REMUNERACIONES</t>
  </si>
  <si>
    <t>Libre Disponibilidad</t>
  </si>
  <si>
    <t>Fondos Propios</t>
  </si>
  <si>
    <t>Peón de Recolec. Desech. Ill</t>
  </si>
  <si>
    <t>Jefe de UGTH</t>
  </si>
  <si>
    <t xml:space="preserve">Gestor de Compras </t>
  </si>
  <si>
    <t>Enc. De la Unidad de Turismo</t>
  </si>
  <si>
    <t>Asistente  I</t>
  </si>
  <si>
    <t xml:space="preserve">Asistente  </t>
  </si>
  <si>
    <t>Asistente  II</t>
  </si>
  <si>
    <t>Peón de Aseo  v</t>
  </si>
  <si>
    <t>Subdirector</t>
  </si>
  <si>
    <t xml:space="preserve">recepcionista </t>
  </si>
  <si>
    <t>Subjefe de UTIC</t>
  </si>
  <si>
    <t>Enc. De sorporte tecnico y equipo</t>
  </si>
  <si>
    <t>Enc. De sistemas videovigilancia y radiocomunicacion</t>
  </si>
  <si>
    <t xml:space="preserve">Encargados de Sistemas informaticos </t>
  </si>
  <si>
    <t>Colaborador III</t>
  </si>
  <si>
    <t>Motorista del  CAM</t>
  </si>
  <si>
    <t>Encargado de Cementerio</t>
  </si>
  <si>
    <t xml:space="preserve">Enc. de Parque y espacios publicos </t>
  </si>
  <si>
    <t>Unidad de Mediacion</t>
  </si>
  <si>
    <t>Jefe de UFI</t>
  </si>
  <si>
    <t>Unidad de Mediación</t>
  </si>
  <si>
    <t xml:space="preserve">Encargado de Sistemas informaticos </t>
  </si>
  <si>
    <t>TOTAL DE LINEA 0102</t>
  </si>
  <si>
    <t>TOTAL DE LINEA 0203</t>
  </si>
  <si>
    <t>TOTAL DE LINEA 0201</t>
  </si>
  <si>
    <t xml:space="preserve">Enc. De Unidad de Atencion al Cliente </t>
  </si>
  <si>
    <t>Enc. De Unidad de Atencion al Cliente</t>
  </si>
  <si>
    <t>Asistente de UATM</t>
  </si>
  <si>
    <t>Colab.  de RCT</t>
  </si>
  <si>
    <t>Ordenanza I Bienestar Social</t>
  </si>
  <si>
    <t>Encargado de polideportivo de metalio</t>
  </si>
  <si>
    <t xml:space="preserve">Peon de Aseo Plaza cultural </t>
  </si>
  <si>
    <t>AFP´S 8.75%</t>
  </si>
  <si>
    <t>INPEP 8.75%</t>
  </si>
  <si>
    <t xml:space="preserve">Colaborador I </t>
  </si>
  <si>
    <t xml:space="preserve">Colaborador II </t>
  </si>
  <si>
    <t>Jefe de Asesoría Jurídica</t>
  </si>
  <si>
    <t xml:space="preserve">Jefe de Asesoría Jurídica </t>
  </si>
  <si>
    <t>Incentivo Navideño</t>
  </si>
  <si>
    <t>Incentivo del Día del  Empleado Municipal</t>
  </si>
  <si>
    <t>FONDOS PROPIOS</t>
  </si>
  <si>
    <t>FONDOS LIBRE DISP.</t>
  </si>
  <si>
    <t>DELEGADA DE LA UNIDAD DE PROTECC. DE ANIMALES DE COMPAÑÍA</t>
  </si>
  <si>
    <t>Enc. De Unidad de Mitigación de Riesgos</t>
  </si>
  <si>
    <t>Motorista</t>
  </si>
  <si>
    <t>Enc. Unidad del Centro de  Bienestar Infantil Metalio</t>
  </si>
  <si>
    <t>Maestra</t>
  </si>
  <si>
    <t>Tec. En Deportes</t>
  </si>
  <si>
    <t>Inspector de Abasto</t>
  </si>
  <si>
    <t>PROYECCIÓN DE REMUNERACIONES AÑO 2024</t>
  </si>
  <si>
    <t>U.C.P.</t>
  </si>
  <si>
    <t>Jefe de UCP</t>
  </si>
  <si>
    <t>Asistente  de UCP</t>
  </si>
  <si>
    <t>Colab. de UCP</t>
  </si>
  <si>
    <t>Unidad de Protección de Animales de Compañía</t>
  </si>
  <si>
    <t>Unidad de Mitigación de Riesgos</t>
  </si>
  <si>
    <t>Unidad de  Mitigación de Riesgos</t>
  </si>
  <si>
    <t>PROYECCIÓN DE REMUNERACIONES POR VACACION PARA EL AÑO 2023</t>
  </si>
  <si>
    <t>PROYECCIÓN DE REMUNERACIONES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</si>
</sst>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_-;\-* #,##0_-;_-* &quot;-&quot;??_-;_-@_-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 Narrow"/>
      <family val="2"/>
    </font>
    <font>
      <b/>
      <sz val="10"/>
      <name val="Arial Narrow"/>
      <family val="2"/>
    </font>
    <font>
      <b/>
      <sz val="6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name val="Arial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 Narrow"/>
      <family val="2"/>
    </font>
    <font>
      <sz val="7"/>
      <color rgb="FFFF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name val="Batang"/>
      <family val="1"/>
    </font>
    <font>
      <sz val="8"/>
      <color theme="1"/>
      <name val="Arial"/>
      <family val="2"/>
    </font>
    <font>
      <sz val="9"/>
      <color indexed="10"/>
      <name val="Arial"/>
      <family val="2"/>
    </font>
    <font>
      <sz val="12"/>
      <name val="Batang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 Narrow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0" tint="-0.14999847407452621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name val="Calibri"/>
      <family val="2"/>
      <scheme val="minor"/>
    </font>
    <font>
      <sz val="7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color indexed="10"/>
      <name val="Calibri"/>
      <family val="2"/>
      <scheme val="minor"/>
    </font>
    <font>
      <b/>
      <sz val="7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left"/>
    </xf>
    <xf numFmtId="165" fontId="7" fillId="0" borderId="1" xfId="1" applyNumberFormat="1" applyFont="1" applyBorder="1"/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2" fontId="10" fillId="0" borderId="1" xfId="2" applyNumberFormat="1" applyFont="1" applyBorder="1" applyAlignment="1">
      <alignment horizontal="right"/>
    </xf>
    <xf numFmtId="2" fontId="9" fillId="0" borderId="1" xfId="2" applyNumberFormat="1" applyFont="1" applyBorder="1" applyAlignment="1">
      <alignment horizontal="right"/>
    </xf>
    <xf numFmtId="44" fontId="9" fillId="0" borderId="1" xfId="2" applyFont="1" applyBorder="1" applyAlignment="1">
      <alignment horizontal="right"/>
    </xf>
    <xf numFmtId="44" fontId="0" fillId="0" borderId="1" xfId="2" applyFont="1" applyBorder="1"/>
    <xf numFmtId="2" fontId="6" fillId="0" borderId="1" xfId="1" applyNumberFormat="1" applyFont="1" applyBorder="1" applyAlignment="1">
      <alignment horizontal="center"/>
    </xf>
    <xf numFmtId="0" fontId="7" fillId="3" borderId="5" xfId="0" applyFont="1" applyFill="1" applyBorder="1"/>
    <xf numFmtId="165" fontId="11" fillId="0" borderId="1" xfId="1" applyNumberFormat="1" applyFont="1" applyBorder="1"/>
    <xf numFmtId="0" fontId="8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/>
    </xf>
    <xf numFmtId="44" fontId="12" fillId="0" borderId="1" xfId="2" applyFont="1" applyBorder="1" applyAlignment="1">
      <alignment horizontal="right"/>
    </xf>
    <xf numFmtId="44" fontId="13" fillId="0" borderId="1" xfId="2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3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4" fontId="15" fillId="0" borderId="1" xfId="2" applyFont="1" applyBorder="1" applyAlignment="1">
      <alignment horizontal="right"/>
    </xf>
    <xf numFmtId="2" fontId="14" fillId="3" borderId="1" xfId="1" applyNumberFormat="1" applyFont="1" applyFill="1" applyBorder="1" applyAlignment="1">
      <alignment wrapText="1"/>
    </xf>
    <xf numFmtId="44" fontId="9" fillId="3" borderId="1" xfId="2" applyFont="1" applyFill="1" applyBorder="1" applyAlignment="1">
      <alignment horizontal="right"/>
    </xf>
    <xf numFmtId="0" fontId="6" fillId="3" borderId="1" xfId="0" applyFont="1" applyFill="1" applyBorder="1"/>
    <xf numFmtId="0" fontId="16" fillId="0" borderId="1" xfId="0" applyFont="1" applyBorder="1" applyAlignment="1">
      <alignment horizontal="center"/>
    </xf>
    <xf numFmtId="165" fontId="17" fillId="0" borderId="1" xfId="1" applyNumberFormat="1" applyFont="1" applyFill="1" applyBorder="1"/>
    <xf numFmtId="44" fontId="13" fillId="0" borderId="1" xfId="2" applyFont="1" applyFill="1" applyBorder="1" applyAlignment="1">
      <alignment horizontal="right"/>
    </xf>
    <xf numFmtId="44" fontId="3" fillId="0" borderId="1" xfId="2" applyFont="1" applyBorder="1" applyAlignment="1">
      <alignment horizontal="right"/>
    </xf>
    <xf numFmtId="44" fontId="9" fillId="0" borderId="1" xfId="2" applyFont="1" applyFill="1" applyBorder="1" applyAlignment="1">
      <alignment horizontal="right"/>
    </xf>
    <xf numFmtId="44" fontId="15" fillId="3" borderId="1" xfId="2" applyFont="1" applyFill="1" applyBorder="1" applyAlignment="1">
      <alignment horizontal="right"/>
    </xf>
    <xf numFmtId="44" fontId="10" fillId="3" borderId="1" xfId="2" applyFont="1" applyFill="1" applyBorder="1" applyAlignment="1">
      <alignment horizontal="right"/>
    </xf>
    <xf numFmtId="0" fontId="7" fillId="3" borderId="6" xfId="0" applyFont="1" applyFill="1" applyBorder="1"/>
    <xf numFmtId="44" fontId="14" fillId="0" borderId="1" xfId="2" applyFont="1" applyFill="1" applyBorder="1" applyAlignment="1">
      <alignment horizontal="right"/>
    </xf>
    <xf numFmtId="44" fontId="14" fillId="0" borderId="1" xfId="2" applyFont="1" applyBorder="1" applyAlignment="1">
      <alignment horizontal="right"/>
    </xf>
    <xf numFmtId="44" fontId="18" fillId="0" borderId="1" xfId="2" applyFont="1" applyBorder="1" applyAlignment="1">
      <alignment horizontal="right"/>
    </xf>
    <xf numFmtId="44" fontId="19" fillId="0" borderId="1" xfId="2" applyFont="1" applyBorder="1" applyAlignment="1">
      <alignment horizontal="right"/>
    </xf>
    <xf numFmtId="44" fontId="14" fillId="0" borderId="1" xfId="2" applyFont="1" applyBorder="1"/>
    <xf numFmtId="0" fontId="20" fillId="0" borderId="1" xfId="0" applyFont="1" applyBorder="1" applyAlignment="1">
      <alignment horizontal="center"/>
    </xf>
    <xf numFmtId="0" fontId="6" fillId="3" borderId="5" xfId="0" applyFont="1" applyFill="1" applyBorder="1"/>
    <xf numFmtId="2" fontId="21" fillId="0" borderId="1" xfId="1" applyNumberFormat="1" applyFont="1" applyBorder="1" applyAlignment="1">
      <alignment horizontal="center"/>
    </xf>
    <xf numFmtId="2" fontId="22" fillId="3" borderId="6" xfId="1" applyNumberFormat="1" applyFont="1" applyFill="1" applyBorder="1" applyAlignment="1">
      <alignment horizontal="left"/>
    </xf>
    <xf numFmtId="2" fontId="6" fillId="3" borderId="1" xfId="1" applyNumberFormat="1" applyFont="1" applyFill="1" applyBorder="1" applyAlignment="1">
      <alignment horizontal="left"/>
    </xf>
    <xf numFmtId="2" fontId="7" fillId="3" borderId="1" xfId="1" applyNumberFormat="1" applyFont="1" applyFill="1" applyBorder="1" applyAlignment="1">
      <alignment horizontal="left"/>
    </xf>
    <xf numFmtId="0" fontId="23" fillId="3" borderId="1" xfId="0" applyFont="1" applyFill="1" applyBorder="1"/>
    <xf numFmtId="2" fontId="6" fillId="3" borderId="6" xfId="1" applyNumberFormat="1" applyFont="1" applyFill="1" applyBorder="1" applyAlignment="1">
      <alignment horizontal="left"/>
    </xf>
    <xf numFmtId="0" fontId="5" fillId="0" borderId="1" xfId="0" applyFont="1" applyBorder="1"/>
    <xf numFmtId="44" fontId="25" fillId="0" borderId="1" xfId="2" applyFont="1" applyBorder="1"/>
    <xf numFmtId="2" fontId="14" fillId="3" borderId="1" xfId="1" applyNumberFormat="1" applyFont="1" applyFill="1" applyBorder="1"/>
    <xf numFmtId="0" fontId="7" fillId="0" borderId="3" xfId="0" applyFont="1" applyBorder="1" applyAlignment="1">
      <alignment horizontal="center"/>
    </xf>
    <xf numFmtId="165" fontId="14" fillId="3" borderId="1" xfId="1" applyNumberFormat="1" applyFont="1" applyFill="1" applyBorder="1" applyAlignment="1">
      <alignment wrapText="1"/>
    </xf>
    <xf numFmtId="0" fontId="26" fillId="3" borderId="0" xfId="0" applyFont="1" applyFill="1"/>
    <xf numFmtId="1" fontId="7" fillId="0" borderId="1" xfId="0" applyNumberFormat="1" applyFont="1" applyBorder="1" applyAlignment="1">
      <alignment horizontal="center"/>
    </xf>
    <xf numFmtId="165" fontId="14" fillId="3" borderId="1" xfId="1" applyNumberFormat="1" applyFont="1" applyFill="1" applyBorder="1"/>
    <xf numFmtId="2" fontId="6" fillId="3" borderId="1" xfId="0" applyNumberFormat="1" applyFont="1" applyFill="1" applyBorder="1" applyAlignment="1">
      <alignment horizontal="left"/>
    </xf>
    <xf numFmtId="165" fontId="14" fillId="3" borderId="1" xfId="1" applyNumberFormat="1" applyFont="1" applyFill="1" applyBorder="1" applyAlignment="1"/>
    <xf numFmtId="0" fontId="7" fillId="3" borderId="1" xfId="0" applyFont="1" applyFill="1" applyBorder="1"/>
    <xf numFmtId="44" fontId="25" fillId="0" borderId="1" xfId="2" applyFont="1" applyBorder="1" applyAlignment="1">
      <alignment horizontal="right"/>
    </xf>
    <xf numFmtId="44" fontId="29" fillId="0" borderId="1" xfId="2" applyFont="1" applyBorder="1" applyAlignment="1">
      <alignment horizontal="right"/>
    </xf>
    <xf numFmtId="0" fontId="7" fillId="0" borderId="1" xfId="0" applyFont="1" applyBorder="1"/>
    <xf numFmtId="0" fontId="14" fillId="0" borderId="1" xfId="0" applyFont="1" applyBorder="1" applyAlignment="1">
      <alignment horizontal="center"/>
    </xf>
    <xf numFmtId="44" fontId="13" fillId="0" borderId="2" xfId="2" applyFont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0" fontId="14" fillId="0" borderId="3" xfId="0" applyFont="1" applyBorder="1" applyAlignment="1">
      <alignment wrapText="1"/>
    </xf>
    <xf numFmtId="165" fontId="17" fillId="0" borderId="2" xfId="1" applyNumberFormat="1" applyFont="1" applyBorder="1"/>
    <xf numFmtId="0" fontId="14" fillId="0" borderId="2" xfId="0" applyFont="1" applyBorder="1" applyAlignment="1">
      <alignment wrapText="1"/>
    </xf>
    <xf numFmtId="0" fontId="5" fillId="0" borderId="10" xfId="0" applyFont="1" applyBorder="1"/>
    <xf numFmtId="0" fontId="7" fillId="0" borderId="11" xfId="0" applyFont="1" applyBorder="1"/>
    <xf numFmtId="44" fontId="12" fillId="0" borderId="10" xfId="2" applyFont="1" applyBorder="1" applyAlignment="1">
      <alignment horizontal="right"/>
    </xf>
    <xf numFmtId="0" fontId="5" fillId="0" borderId="0" xfId="0" applyFont="1"/>
    <xf numFmtId="0" fontId="7" fillId="0" borderId="0" xfId="0" applyFont="1"/>
    <xf numFmtId="49" fontId="0" fillId="0" borderId="0" xfId="0" applyNumberFormat="1"/>
    <xf numFmtId="164" fontId="6" fillId="0" borderId="0" xfId="0" applyNumberFormat="1" applyFont="1"/>
    <xf numFmtId="164" fontId="0" fillId="0" borderId="0" xfId="0" applyNumberFormat="1"/>
    <xf numFmtId="164" fontId="31" fillId="0" borderId="0" xfId="0" applyNumberFormat="1" applyFont="1"/>
    <xf numFmtId="44" fontId="30" fillId="0" borderId="14" xfId="2" applyFont="1" applyBorder="1" applyAlignment="1">
      <alignment horizontal="center"/>
    </xf>
    <xf numFmtId="164" fontId="7" fillId="0" borderId="0" xfId="0" applyNumberFormat="1" applyFont="1"/>
    <xf numFmtId="164" fontId="32" fillId="0" borderId="0" xfId="0" applyNumberFormat="1" applyFont="1"/>
    <xf numFmtId="0" fontId="14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/>
    </xf>
    <xf numFmtId="165" fontId="17" fillId="3" borderId="1" xfId="1" applyNumberFormat="1" applyFont="1" applyFill="1" applyBorder="1"/>
    <xf numFmtId="44" fontId="13" fillId="3" borderId="1" xfId="2" applyFont="1" applyFill="1" applyBorder="1" applyAlignment="1">
      <alignment horizontal="right"/>
    </xf>
    <xf numFmtId="0" fontId="6" fillId="3" borderId="1" xfId="0" applyFont="1" applyFill="1" applyBorder="1" applyAlignment="1">
      <alignment horizontal="left" wrapText="1"/>
    </xf>
    <xf numFmtId="2" fontId="15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right"/>
    </xf>
    <xf numFmtId="0" fontId="16" fillId="3" borderId="1" xfId="0" applyFont="1" applyFill="1" applyBorder="1"/>
    <xf numFmtId="2" fontId="6" fillId="3" borderId="1" xfId="0" applyNumberFormat="1" applyFont="1" applyFill="1" applyBorder="1" applyAlignment="1">
      <alignment wrapText="1"/>
    </xf>
    <xf numFmtId="2" fontId="14" fillId="3" borderId="1" xfId="0" applyNumberFormat="1" applyFont="1" applyFill="1" applyBorder="1" applyAlignment="1">
      <alignment wrapText="1"/>
    </xf>
    <xf numFmtId="165" fontId="14" fillId="3" borderId="1" xfId="1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2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/>
    </xf>
    <xf numFmtId="2" fontId="14" fillId="3" borderId="1" xfId="1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wrapText="1"/>
    </xf>
    <xf numFmtId="165" fontId="17" fillId="3" borderId="1" xfId="1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left"/>
    </xf>
    <xf numFmtId="2" fontId="13" fillId="3" borderId="1" xfId="2" applyNumberFormat="1" applyFont="1" applyFill="1" applyBorder="1" applyAlignment="1">
      <alignment horizontal="right"/>
    </xf>
    <xf numFmtId="2" fontId="6" fillId="3" borderId="1" xfId="1" applyNumberFormat="1" applyFont="1" applyFill="1" applyBorder="1"/>
    <xf numFmtId="0" fontId="7" fillId="3" borderId="1" xfId="0" applyFont="1" applyFill="1" applyBorder="1" applyAlignment="1">
      <alignment horizontal="left" wrapText="1"/>
    </xf>
    <xf numFmtId="165" fontId="6" fillId="3" borderId="1" xfId="1" applyNumberFormat="1" applyFont="1" applyFill="1" applyBorder="1"/>
    <xf numFmtId="0" fontId="20" fillId="3" borderId="1" xfId="0" applyFont="1" applyFill="1" applyBorder="1"/>
    <xf numFmtId="0" fontId="6" fillId="3" borderId="0" xfId="0" applyFont="1" applyFill="1" applyAlignment="1">
      <alignment horizontal="left"/>
    </xf>
    <xf numFmtId="2" fontId="27" fillId="3" borderId="1" xfId="1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2" fontId="17" fillId="3" borderId="1" xfId="1" applyNumberFormat="1" applyFont="1" applyFill="1" applyBorder="1"/>
    <xf numFmtId="2" fontId="9" fillId="3" borderId="1" xfId="0" applyNumberFormat="1" applyFont="1" applyFill="1" applyBorder="1" applyAlignment="1">
      <alignment horizontal="left" wrapText="1"/>
    </xf>
    <xf numFmtId="2" fontId="10" fillId="3" borderId="1" xfId="0" applyNumberFormat="1" applyFont="1" applyFill="1" applyBorder="1" applyAlignment="1">
      <alignment wrapText="1"/>
    </xf>
    <xf numFmtId="2" fontId="9" fillId="3" borderId="1" xfId="0" applyNumberFormat="1" applyFont="1" applyFill="1" applyBorder="1" applyAlignment="1">
      <alignment horizontal="right"/>
    </xf>
    <xf numFmtId="2" fontId="14" fillId="3" borderId="1" xfId="0" applyNumberFormat="1" applyFont="1" applyFill="1" applyBorder="1"/>
    <xf numFmtId="44" fontId="9" fillId="3" borderId="1" xfId="2" applyFont="1" applyFill="1" applyBorder="1" applyAlignment="1">
      <alignment horizontal="right" wrapText="1"/>
    </xf>
    <xf numFmtId="0" fontId="28" fillId="3" borderId="1" xfId="0" applyFont="1" applyFill="1" applyBorder="1" applyAlignment="1">
      <alignment horizontal="left"/>
    </xf>
    <xf numFmtId="2" fontId="9" fillId="3" borderId="1" xfId="0" applyNumberFormat="1" applyFont="1" applyFill="1" applyBorder="1" applyAlignment="1">
      <alignment horizontal="center" wrapText="1"/>
    </xf>
    <xf numFmtId="2" fontId="6" fillId="3" borderId="1" xfId="1" applyNumberFormat="1" applyFont="1" applyFill="1" applyBorder="1" applyAlignment="1"/>
    <xf numFmtId="165" fontId="6" fillId="3" borderId="1" xfId="1" applyNumberFormat="1" applyFont="1" applyFill="1" applyBorder="1" applyAlignment="1">
      <alignment wrapText="1"/>
    </xf>
    <xf numFmtId="0" fontId="5" fillId="3" borderId="1" xfId="0" applyFont="1" applyFill="1" applyBorder="1"/>
    <xf numFmtId="0" fontId="20" fillId="4" borderId="1" xfId="0" applyFont="1" applyFill="1" applyBorder="1"/>
    <xf numFmtId="2" fontId="6" fillId="4" borderId="1" xfId="0" applyNumberFormat="1" applyFont="1" applyFill="1" applyBorder="1" applyAlignment="1">
      <alignment horizontal="left"/>
    </xf>
    <xf numFmtId="0" fontId="36" fillId="0" borderId="0" xfId="0" applyFont="1"/>
    <xf numFmtId="0" fontId="40" fillId="0" borderId="0" xfId="0" applyFont="1"/>
    <xf numFmtId="0" fontId="0" fillId="3" borderId="0" xfId="0" applyFill="1"/>
    <xf numFmtId="0" fontId="34" fillId="3" borderId="0" xfId="0" applyFont="1" applyFill="1"/>
    <xf numFmtId="1" fontId="6" fillId="3" borderId="1" xfId="1" applyNumberFormat="1" applyFont="1" applyFill="1" applyBorder="1" applyAlignment="1">
      <alignment horizontal="center"/>
    </xf>
    <xf numFmtId="2" fontId="6" fillId="3" borderId="1" xfId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2" fillId="0" borderId="0" xfId="0" applyFont="1"/>
    <xf numFmtId="44" fontId="0" fillId="3" borderId="0" xfId="0" applyNumberFormat="1" applyFill="1"/>
    <xf numFmtId="0" fontId="42" fillId="3" borderId="0" xfId="0" applyFont="1" applyFill="1"/>
    <xf numFmtId="2" fontId="35" fillId="3" borderId="1" xfId="1" applyNumberFormat="1" applyFont="1" applyFill="1" applyBorder="1" applyAlignment="1">
      <alignment wrapText="1"/>
    </xf>
    <xf numFmtId="0" fontId="44" fillId="3" borderId="0" xfId="0" applyFont="1" applyFill="1"/>
    <xf numFmtId="0" fontId="34" fillId="0" borderId="0" xfId="0" applyFont="1"/>
    <xf numFmtId="0" fontId="46" fillId="3" borderId="0" xfId="0" applyFont="1" applyFill="1"/>
    <xf numFmtId="0" fontId="46" fillId="0" borderId="0" xfId="0" applyFont="1"/>
    <xf numFmtId="0" fontId="47" fillId="3" borderId="0" xfId="0" applyFont="1" applyFill="1"/>
    <xf numFmtId="1" fontId="35" fillId="3" borderId="1" xfId="1" applyNumberFormat="1" applyFont="1" applyFill="1" applyBorder="1" applyAlignment="1">
      <alignment horizontal="center"/>
    </xf>
    <xf numFmtId="2" fontId="35" fillId="3" borderId="1" xfId="1" applyNumberFormat="1" applyFont="1" applyFill="1" applyBorder="1" applyAlignment="1">
      <alignment horizontal="left"/>
    </xf>
    <xf numFmtId="2" fontId="37" fillId="3" borderId="1" xfId="0" applyNumberFormat="1" applyFont="1" applyFill="1" applyBorder="1" applyAlignment="1">
      <alignment horizontal="right"/>
    </xf>
    <xf numFmtId="2" fontId="35" fillId="3" borderId="1" xfId="1" applyNumberFormat="1" applyFont="1" applyFill="1" applyBorder="1" applyAlignment="1">
      <alignment horizontal="center"/>
    </xf>
    <xf numFmtId="0" fontId="35" fillId="3" borderId="5" xfId="0" applyFont="1" applyFill="1" applyBorder="1"/>
    <xf numFmtId="44" fontId="49" fillId="3" borderId="1" xfId="2" applyFont="1" applyFill="1" applyBorder="1" applyAlignment="1">
      <alignment horizontal="right"/>
    </xf>
    <xf numFmtId="44" fontId="46" fillId="3" borderId="1" xfId="2" applyFont="1" applyFill="1" applyBorder="1" applyAlignment="1">
      <alignment horizontal="right"/>
    </xf>
    <xf numFmtId="0" fontId="37" fillId="3" borderId="1" xfId="0" applyFont="1" applyFill="1" applyBorder="1" applyAlignment="1">
      <alignment horizontal="center"/>
    </xf>
    <xf numFmtId="44" fontId="37" fillId="3" borderId="1" xfId="2" applyFont="1" applyFill="1" applyBorder="1" applyAlignment="1">
      <alignment horizontal="right"/>
    </xf>
    <xf numFmtId="0" fontId="35" fillId="3" borderId="1" xfId="0" applyFont="1" applyFill="1" applyBorder="1" applyAlignment="1">
      <alignment horizontal="left"/>
    </xf>
    <xf numFmtId="0" fontId="35" fillId="3" borderId="1" xfId="0" applyFont="1" applyFill="1" applyBorder="1"/>
    <xf numFmtId="0" fontId="50" fillId="3" borderId="1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/>
    </xf>
    <xf numFmtId="2" fontId="51" fillId="3" borderId="1" xfId="1" applyNumberFormat="1" applyFont="1" applyFill="1" applyBorder="1" applyAlignment="1">
      <alignment horizontal="center"/>
    </xf>
    <xf numFmtId="0" fontId="37" fillId="3" borderId="1" xfId="0" applyFont="1" applyFill="1" applyBorder="1" applyAlignment="1">
      <alignment horizontal="left" wrapText="1"/>
    </xf>
    <xf numFmtId="0" fontId="37" fillId="3" borderId="1" xfId="0" applyFont="1" applyFill="1" applyBorder="1" applyAlignment="1">
      <alignment horizontal="center" wrapText="1"/>
    </xf>
    <xf numFmtId="49" fontId="37" fillId="3" borderId="1" xfId="0" applyNumberFormat="1" applyFont="1" applyFill="1" applyBorder="1" applyAlignment="1">
      <alignment horizontal="center"/>
    </xf>
    <xf numFmtId="0" fontId="52" fillId="3" borderId="1" xfId="0" applyFont="1" applyFill="1" applyBorder="1"/>
    <xf numFmtId="0" fontId="53" fillId="3" borderId="1" xfId="0" applyFont="1" applyFill="1" applyBorder="1" applyAlignment="1">
      <alignment horizontal="center"/>
    </xf>
    <xf numFmtId="44" fontId="35" fillId="3" borderId="1" xfId="2" applyFont="1" applyFill="1" applyBorder="1" applyAlignment="1">
      <alignment horizontal="center" vertical="center"/>
    </xf>
    <xf numFmtId="44" fontId="45" fillId="3" borderId="1" xfId="2" applyFont="1" applyFill="1" applyBorder="1" applyAlignment="1">
      <alignment horizontal="right"/>
    </xf>
    <xf numFmtId="2" fontId="35" fillId="3" borderId="1" xfId="1" applyNumberFormat="1" applyFont="1" applyFill="1" applyBorder="1" applyAlignment="1">
      <alignment horizontal="left" wrapText="1"/>
    </xf>
    <xf numFmtId="44" fontId="37" fillId="3" borderId="1" xfId="2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5" fillId="3" borderId="1" xfId="0" applyFont="1" applyFill="1" applyBorder="1" applyAlignment="1">
      <alignment wrapText="1"/>
    </xf>
    <xf numFmtId="1" fontId="37" fillId="3" borderId="1" xfId="0" applyNumberFormat="1" applyFont="1" applyFill="1" applyBorder="1" applyAlignment="1">
      <alignment horizontal="center"/>
    </xf>
    <xf numFmtId="1" fontId="37" fillId="3" borderId="1" xfId="0" applyNumberFormat="1" applyFont="1" applyFill="1" applyBorder="1" applyAlignment="1">
      <alignment horizontal="center" wrapText="1"/>
    </xf>
    <xf numFmtId="2" fontId="37" fillId="3" borderId="1" xfId="0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left" wrapText="1"/>
    </xf>
    <xf numFmtId="165" fontId="37" fillId="3" borderId="1" xfId="1" applyNumberFormat="1" applyFont="1" applyFill="1" applyBorder="1" applyAlignment="1">
      <alignment horizontal="left"/>
    </xf>
    <xf numFmtId="2" fontId="37" fillId="3" borderId="1" xfId="1" applyNumberFormat="1" applyFont="1" applyFill="1" applyBorder="1" applyAlignment="1">
      <alignment horizontal="left"/>
    </xf>
    <xf numFmtId="2" fontId="37" fillId="3" borderId="1" xfId="1" applyNumberFormat="1" applyFont="1" applyFill="1" applyBorder="1" applyAlignment="1">
      <alignment horizontal="left" wrapText="1"/>
    </xf>
    <xf numFmtId="165" fontId="37" fillId="3" borderId="1" xfId="1" applyNumberFormat="1" applyFont="1" applyFill="1" applyBorder="1" applyAlignment="1">
      <alignment horizontal="left" wrapText="1"/>
    </xf>
    <xf numFmtId="0" fontId="45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2" fontId="37" fillId="3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44" fontId="46" fillId="3" borderId="0" xfId="2" applyFont="1" applyFill="1" applyBorder="1" applyAlignment="1">
      <alignment horizontal="right"/>
    </xf>
    <xf numFmtId="44" fontId="57" fillId="3" borderId="0" xfId="0" applyNumberFormat="1" applyFont="1" applyFill="1"/>
    <xf numFmtId="2" fontId="35" fillId="3" borderId="1" xfId="0" applyNumberFormat="1" applyFont="1" applyFill="1" applyBorder="1" applyAlignment="1">
      <alignment horizontal="right"/>
    </xf>
    <xf numFmtId="44" fontId="35" fillId="3" borderId="1" xfId="2" applyFont="1" applyFill="1" applyBorder="1" applyAlignment="1">
      <alignment horizontal="right"/>
    </xf>
    <xf numFmtId="2" fontId="35" fillId="3" borderId="1" xfId="1" applyNumberFormat="1" applyFont="1" applyFill="1" applyBorder="1"/>
    <xf numFmtId="0" fontId="35" fillId="3" borderId="1" xfId="0" applyFont="1" applyFill="1" applyBorder="1" applyAlignment="1">
      <alignment horizontal="left" wrapText="1"/>
    </xf>
    <xf numFmtId="49" fontId="35" fillId="3" borderId="1" xfId="0" applyNumberFormat="1" applyFont="1" applyFill="1" applyBorder="1" applyAlignment="1">
      <alignment horizontal="center"/>
    </xf>
    <xf numFmtId="165" fontId="35" fillId="3" borderId="1" xfId="1" applyNumberFormat="1" applyFont="1" applyFill="1" applyBorder="1" applyAlignment="1">
      <alignment horizontal="left"/>
    </xf>
    <xf numFmtId="44" fontId="35" fillId="3" borderId="1" xfId="2" applyFont="1" applyFill="1" applyBorder="1" applyAlignment="1">
      <alignment horizontal="right" wrapText="1"/>
    </xf>
    <xf numFmtId="165" fontId="35" fillId="3" borderId="1" xfId="1" applyNumberFormat="1" applyFont="1" applyFill="1" applyBorder="1" applyAlignment="1">
      <alignment wrapText="1"/>
    </xf>
    <xf numFmtId="165" fontId="35" fillId="3" borderId="1" xfId="1" applyNumberFormat="1" applyFont="1" applyFill="1" applyBorder="1" applyAlignment="1">
      <alignment horizontal="left" wrapText="1"/>
    </xf>
    <xf numFmtId="44" fontId="42" fillId="3" borderId="0" xfId="0" applyNumberFormat="1" applyFont="1" applyFill="1"/>
    <xf numFmtId="0" fontId="49" fillId="3" borderId="0" xfId="0" applyFont="1" applyFill="1" applyAlignment="1">
      <alignment horizontal="center" wrapText="1"/>
    </xf>
    <xf numFmtId="44" fontId="49" fillId="3" borderId="0" xfId="2" applyFont="1" applyFill="1" applyBorder="1" applyAlignment="1">
      <alignment horizontal="right"/>
    </xf>
    <xf numFmtId="44" fontId="46" fillId="0" borderId="0" xfId="2" applyFont="1" applyFill="1" applyBorder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2" fontId="45" fillId="3" borderId="1" xfId="2" applyNumberFormat="1" applyFont="1" applyFill="1" applyBorder="1" applyAlignment="1">
      <alignment horizontal="right"/>
    </xf>
    <xf numFmtId="44" fontId="38" fillId="3" borderId="1" xfId="0" applyNumberFormat="1" applyFont="1" applyFill="1" applyBorder="1"/>
    <xf numFmtId="44" fontId="0" fillId="3" borderId="1" xfId="0" applyNumberFormat="1" applyFill="1" applyBorder="1"/>
    <xf numFmtId="0" fontId="35" fillId="3" borderId="1" xfId="0" applyFont="1" applyFill="1" applyBorder="1" applyAlignment="1">
      <alignment vertical="center" wrapText="1"/>
    </xf>
    <xf numFmtId="2" fontId="35" fillId="3" borderId="1" xfId="0" applyNumberFormat="1" applyFont="1" applyFill="1" applyBorder="1" applyAlignment="1">
      <alignment vertical="center" wrapText="1"/>
    </xf>
    <xf numFmtId="0" fontId="42" fillId="0" borderId="0" xfId="0" applyFont="1" applyAlignment="1">
      <alignment vertical="center"/>
    </xf>
    <xf numFmtId="0" fontId="36" fillId="3" borderId="0" xfId="0" applyFont="1" applyFill="1" applyAlignment="1">
      <alignment horizontal="left"/>
    </xf>
    <xf numFmtId="165" fontId="49" fillId="3" borderId="1" xfId="1" applyNumberFormat="1" applyFont="1" applyFill="1" applyBorder="1" applyAlignment="1">
      <alignment horizontal="left"/>
    </xf>
    <xf numFmtId="2" fontId="37" fillId="3" borderId="1" xfId="0" applyNumberFormat="1" applyFont="1" applyFill="1" applyBorder="1" applyAlignment="1">
      <alignment wrapText="1"/>
    </xf>
    <xf numFmtId="2" fontId="37" fillId="3" borderId="1" xfId="0" applyNumberFormat="1" applyFont="1" applyFill="1" applyBorder="1"/>
    <xf numFmtId="0" fontId="37" fillId="3" borderId="1" xfId="0" applyFont="1" applyFill="1" applyBorder="1" applyAlignment="1">
      <alignment horizontal="left"/>
    </xf>
    <xf numFmtId="0" fontId="37" fillId="3" borderId="6" xfId="0" applyFont="1" applyFill="1" applyBorder="1" applyAlignment="1">
      <alignment horizontal="left"/>
    </xf>
    <xf numFmtId="2" fontId="37" fillId="3" borderId="1" xfId="1" applyNumberFormat="1" applyFont="1" applyFill="1" applyBorder="1" applyAlignment="1">
      <alignment horizontal="left" vertical="center" wrapText="1"/>
    </xf>
    <xf numFmtId="0" fontId="49" fillId="3" borderId="1" xfId="0" applyFont="1" applyFill="1" applyBorder="1" applyAlignment="1">
      <alignment horizontal="left" wrapText="1"/>
    </xf>
    <xf numFmtId="2" fontId="35" fillId="3" borderId="1" xfId="0" applyNumberFormat="1" applyFont="1" applyFill="1" applyBorder="1" applyAlignment="1">
      <alignment wrapText="1"/>
    </xf>
    <xf numFmtId="2" fontId="49" fillId="3" borderId="6" xfId="1" applyNumberFormat="1" applyFont="1" applyFill="1" applyBorder="1" applyAlignment="1">
      <alignment horizontal="left" wrapText="1"/>
    </xf>
    <xf numFmtId="165" fontId="37" fillId="3" borderId="1" xfId="1" applyNumberFormat="1" applyFont="1" applyFill="1" applyBorder="1"/>
    <xf numFmtId="2" fontId="54" fillId="3" borderId="1" xfId="0" applyNumberFormat="1" applyFont="1" applyFill="1" applyBorder="1" applyAlignment="1">
      <alignment horizontal="left" wrapText="1"/>
    </xf>
    <xf numFmtId="165" fontId="49" fillId="3" borderId="1" xfId="1" applyNumberFormat="1" applyFont="1" applyFill="1" applyBorder="1"/>
    <xf numFmtId="165" fontId="49" fillId="3" borderId="5" xfId="1" applyNumberFormat="1" applyFont="1" applyFill="1" applyBorder="1" applyAlignment="1">
      <alignment horizontal="left"/>
    </xf>
    <xf numFmtId="2" fontId="54" fillId="3" borderId="1" xfId="0" applyNumberFormat="1" applyFont="1" applyFill="1" applyBorder="1" applyAlignment="1">
      <alignment wrapText="1"/>
    </xf>
    <xf numFmtId="165" fontId="49" fillId="3" borderId="5" xfId="1" applyNumberFormat="1" applyFont="1" applyFill="1" applyBorder="1" applyAlignment="1">
      <alignment wrapText="1"/>
    </xf>
    <xf numFmtId="0" fontId="54" fillId="3" borderId="1" xfId="0" applyFont="1" applyFill="1" applyBorder="1" applyAlignment="1">
      <alignment horizontal="left"/>
    </xf>
    <xf numFmtId="2" fontId="35" fillId="3" borderId="1" xfId="0" applyNumberFormat="1" applyFont="1" applyFill="1" applyBorder="1" applyAlignment="1">
      <alignment horizontal="left" wrapText="1"/>
    </xf>
    <xf numFmtId="2" fontId="37" fillId="3" borderId="1" xfId="2" applyNumberFormat="1" applyFont="1" applyFill="1" applyBorder="1" applyAlignment="1">
      <alignment horizontal="right"/>
    </xf>
    <xf numFmtId="44" fontId="58" fillId="3" borderId="1" xfId="2" applyFont="1" applyFill="1" applyBorder="1" applyAlignment="1">
      <alignment horizontal="right"/>
    </xf>
    <xf numFmtId="44" fontId="37" fillId="3" borderId="1" xfId="2" applyFont="1" applyFill="1" applyBorder="1"/>
    <xf numFmtId="0" fontId="36" fillId="3" borderId="0" xfId="0" applyFont="1" applyFill="1"/>
    <xf numFmtId="44" fontId="57" fillId="3" borderId="0" xfId="2" applyFont="1" applyFill="1" applyBorder="1"/>
    <xf numFmtId="44" fontId="38" fillId="3" borderId="1" xfId="0" applyNumberFormat="1" applyFont="1" applyFill="1" applyBorder="1" applyAlignment="1">
      <alignment wrapText="1"/>
    </xf>
    <xf numFmtId="2" fontId="35" fillId="3" borderId="1" xfId="2" applyNumberFormat="1" applyFont="1" applyFill="1" applyBorder="1" applyAlignment="1">
      <alignment horizontal="right"/>
    </xf>
    <xf numFmtId="0" fontId="54" fillId="3" borderId="2" xfId="0" applyFont="1" applyFill="1" applyBorder="1" applyAlignment="1">
      <alignment horizontal="left" wrapText="1"/>
    </xf>
    <xf numFmtId="0" fontId="0" fillId="3" borderId="1" xfId="0" applyFill="1" applyBorder="1"/>
    <xf numFmtId="0" fontId="55" fillId="3" borderId="1" xfId="0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 vertical="center" wrapText="1"/>
    </xf>
    <xf numFmtId="2" fontId="17" fillId="3" borderId="7" xfId="1" applyNumberFormat="1" applyFont="1" applyFill="1" applyBorder="1" applyAlignment="1">
      <alignment horizontal="left"/>
    </xf>
    <xf numFmtId="2" fontId="17" fillId="3" borderId="6" xfId="1" applyNumberFormat="1" applyFont="1" applyFill="1" applyBorder="1" applyAlignment="1">
      <alignment horizontal="left"/>
    </xf>
    <xf numFmtId="2" fontId="17" fillId="3" borderId="7" xfId="0" applyNumberFormat="1" applyFont="1" applyFill="1" applyBorder="1" applyAlignment="1">
      <alignment horizontal="left" wrapText="1"/>
    </xf>
    <xf numFmtId="2" fontId="17" fillId="3" borderId="6" xfId="0" applyNumberFormat="1" applyFont="1" applyFill="1" applyBorder="1" applyAlignment="1">
      <alignment horizontal="left" wrapText="1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2" fontId="30" fillId="3" borderId="7" xfId="1" applyNumberFormat="1" applyFont="1" applyFill="1" applyBorder="1" applyAlignment="1">
      <alignment horizontal="left" wrapText="1"/>
    </xf>
    <xf numFmtId="2" fontId="30" fillId="3" borderId="5" xfId="1" applyNumberFormat="1" applyFont="1" applyFill="1" applyBorder="1" applyAlignment="1">
      <alignment horizontal="left" wrapText="1"/>
    </xf>
    <xf numFmtId="2" fontId="30" fillId="3" borderId="6" xfId="1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left" vertical="center" wrapText="1"/>
    </xf>
    <xf numFmtId="0" fontId="48" fillId="3" borderId="1" xfId="0" applyFont="1" applyFill="1" applyBorder="1" applyAlignment="1">
      <alignment horizontal="left" vertical="center" wrapText="1"/>
    </xf>
    <xf numFmtId="49" fontId="48" fillId="3" borderId="1" xfId="0" applyNumberFormat="1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6" fillId="3" borderId="19" xfId="0" applyFont="1" applyFill="1" applyBorder="1" applyAlignment="1">
      <alignment horizontal="center" vertical="center" wrapText="1"/>
    </xf>
    <xf numFmtId="0" fontId="46" fillId="3" borderId="14" xfId="0" applyFont="1" applyFill="1" applyBorder="1" applyAlignment="1">
      <alignment horizontal="center" vertical="center" wrapText="1"/>
    </xf>
    <xf numFmtId="0" fontId="46" fillId="3" borderId="20" xfId="0" applyFont="1" applyFill="1" applyBorder="1" applyAlignment="1">
      <alignment horizontal="center" vertical="center" wrapText="1"/>
    </xf>
    <xf numFmtId="0" fontId="48" fillId="3" borderId="7" xfId="0" applyFont="1" applyFill="1" applyBorder="1" applyAlignment="1">
      <alignment horizontal="center" vertical="center" wrapText="1"/>
    </xf>
    <xf numFmtId="0" fontId="48" fillId="3" borderId="5" xfId="0" applyFont="1" applyFill="1" applyBorder="1" applyAlignment="1">
      <alignment horizontal="center" vertical="center" wrapText="1"/>
    </xf>
    <xf numFmtId="0" fontId="48" fillId="3" borderId="6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44" fontId="36" fillId="3" borderId="1" xfId="2" applyFont="1" applyFill="1" applyBorder="1"/>
    <xf numFmtId="0" fontId="37" fillId="3" borderId="1" xfId="2" applyNumberFormat="1" applyFont="1" applyFill="1" applyBorder="1" applyAlignment="1">
      <alignment horizontal="right"/>
    </xf>
    <xf numFmtId="165" fontId="49" fillId="3" borderId="5" xfId="1" applyNumberFormat="1" applyFont="1" applyFill="1" applyBorder="1" applyAlignment="1">
      <alignment horizontal="left"/>
    </xf>
    <xf numFmtId="165" fontId="49" fillId="3" borderId="6" xfId="1" applyNumberFormat="1" applyFont="1" applyFill="1" applyBorder="1" applyAlignment="1">
      <alignment horizontal="left"/>
    </xf>
    <xf numFmtId="49" fontId="37" fillId="3" borderId="1" xfId="0" applyNumberFormat="1" applyFont="1" applyFill="1" applyBorder="1" applyAlignment="1">
      <alignment horizontal="right"/>
    </xf>
    <xf numFmtId="165" fontId="49" fillId="3" borderId="6" xfId="1" applyNumberFormat="1" applyFont="1" applyFill="1" applyBorder="1" applyAlignment="1">
      <alignment horizontal="left"/>
    </xf>
    <xf numFmtId="2" fontId="49" fillId="3" borderId="5" xfId="1" applyNumberFormat="1" applyFont="1" applyFill="1" applyBorder="1" applyAlignment="1">
      <alignment horizontal="left" wrapText="1"/>
    </xf>
    <xf numFmtId="2" fontId="49" fillId="3" borderId="6" xfId="1" applyNumberFormat="1" applyFont="1" applyFill="1" applyBorder="1" applyAlignment="1">
      <alignment horizontal="left" wrapText="1"/>
    </xf>
    <xf numFmtId="0" fontId="36" fillId="3" borderId="1" xfId="0" applyFont="1" applyFill="1" applyBorder="1"/>
    <xf numFmtId="44" fontId="59" fillId="3" borderId="1" xfId="2" applyFont="1" applyFill="1" applyBorder="1" applyAlignment="1">
      <alignment horizontal="right"/>
    </xf>
    <xf numFmtId="44" fontId="59" fillId="3" borderId="1" xfId="2" applyFont="1" applyFill="1" applyBorder="1"/>
    <xf numFmtId="2" fontId="49" fillId="3" borderId="5" xfId="1" applyNumberFormat="1" applyFont="1" applyFill="1" applyBorder="1" applyAlignment="1">
      <alignment horizontal="left"/>
    </xf>
    <xf numFmtId="2" fontId="49" fillId="3" borderId="6" xfId="1" applyNumberFormat="1" applyFont="1" applyFill="1" applyBorder="1" applyAlignment="1">
      <alignment horizontal="left"/>
    </xf>
    <xf numFmtId="44" fontId="35" fillId="3" borderId="1" xfId="0" applyNumberFormat="1" applyFont="1" applyFill="1" applyBorder="1" applyAlignment="1">
      <alignment horizontal="right"/>
    </xf>
    <xf numFmtId="165" fontId="48" fillId="3" borderId="6" xfId="1" applyNumberFormat="1" applyFont="1" applyFill="1" applyBorder="1" applyAlignment="1">
      <alignment horizontal="left"/>
    </xf>
    <xf numFmtId="165" fontId="49" fillId="3" borderId="5" xfId="1" applyNumberFormat="1" applyFont="1" applyFill="1" applyBorder="1" applyAlignment="1">
      <alignment horizontal="left" wrapText="1"/>
    </xf>
    <xf numFmtId="165" fontId="49" fillId="3" borderId="6" xfId="1" applyNumberFormat="1" applyFont="1" applyFill="1" applyBorder="1" applyAlignment="1">
      <alignment horizontal="left" wrapText="1"/>
    </xf>
    <xf numFmtId="49" fontId="35" fillId="3" borderId="1" xfId="0" applyNumberFormat="1" applyFont="1" applyFill="1" applyBorder="1" applyAlignment="1">
      <alignment horizontal="right"/>
    </xf>
    <xf numFmtId="165" fontId="48" fillId="3" borderId="5" xfId="1" applyNumberFormat="1" applyFont="1" applyFill="1" applyBorder="1" applyAlignment="1">
      <alignment horizontal="left" wrapText="1"/>
    </xf>
    <xf numFmtId="165" fontId="48" fillId="3" borderId="6" xfId="1" applyNumberFormat="1" applyFont="1" applyFill="1" applyBorder="1" applyAlignment="1">
      <alignment horizontal="left" wrapText="1"/>
    </xf>
    <xf numFmtId="165" fontId="49" fillId="3" borderId="7" xfId="1" applyNumberFormat="1" applyFont="1" applyFill="1" applyBorder="1" applyAlignment="1">
      <alignment horizontal="center"/>
    </xf>
    <xf numFmtId="165" fontId="49" fillId="3" borderId="5" xfId="1" applyNumberFormat="1" applyFont="1" applyFill="1" applyBorder="1" applyAlignment="1">
      <alignment horizontal="center"/>
    </xf>
    <xf numFmtId="165" fontId="49" fillId="3" borderId="6" xfId="1" applyNumberFormat="1" applyFont="1" applyFill="1" applyBorder="1" applyAlignment="1">
      <alignment horizontal="center"/>
    </xf>
    <xf numFmtId="49" fontId="37" fillId="3" borderId="1" xfId="0" applyNumberFormat="1" applyFont="1" applyFill="1" applyBorder="1" applyAlignment="1">
      <alignment horizontal="center" wrapText="1"/>
    </xf>
    <xf numFmtId="44" fontId="37" fillId="3" borderId="1" xfId="2" applyFont="1" applyFill="1" applyBorder="1" applyAlignment="1">
      <alignment wrapText="1"/>
    </xf>
    <xf numFmtId="44" fontId="58" fillId="3" borderId="1" xfId="2" applyFont="1" applyFill="1" applyBorder="1" applyAlignment="1">
      <alignment horizontal="right" wrapText="1"/>
    </xf>
    <xf numFmtId="49" fontId="49" fillId="3" borderId="1" xfId="0" applyNumberFormat="1" applyFont="1" applyFill="1" applyBorder="1" applyAlignment="1">
      <alignment horizontal="center"/>
    </xf>
    <xf numFmtId="44" fontId="60" fillId="3" borderId="1" xfId="2" applyFont="1" applyFill="1" applyBorder="1" applyAlignment="1">
      <alignment horizontal="right"/>
    </xf>
    <xf numFmtId="2" fontId="49" fillId="3" borderId="1" xfId="2" applyNumberFormat="1" applyFont="1" applyFill="1" applyBorder="1" applyAlignment="1">
      <alignment horizontal="right"/>
    </xf>
    <xf numFmtId="0" fontId="46" fillId="3" borderId="1" xfId="2" applyNumberFormat="1" applyFont="1" applyFill="1" applyBorder="1" applyAlignment="1">
      <alignment horizontal="right"/>
    </xf>
    <xf numFmtId="2" fontId="35" fillId="3" borderId="1" xfId="0" applyNumberFormat="1" applyFont="1" applyFill="1" applyBorder="1" applyAlignment="1">
      <alignment horizontal="center" vertical="center"/>
    </xf>
    <xf numFmtId="2" fontId="49" fillId="3" borderId="6" xfId="1" applyNumberFormat="1" applyFont="1" applyFill="1" applyBorder="1" applyAlignment="1">
      <alignment horizontal="left"/>
    </xf>
    <xf numFmtId="2" fontId="49" fillId="3" borderId="7" xfId="0" applyNumberFormat="1" applyFont="1" applyFill="1" applyBorder="1" applyAlignment="1">
      <alignment horizontal="center" wrapText="1"/>
    </xf>
    <xf numFmtId="2" fontId="49" fillId="3" borderId="5" xfId="0" applyNumberFormat="1" applyFont="1" applyFill="1" applyBorder="1" applyAlignment="1">
      <alignment horizontal="center" wrapText="1"/>
    </xf>
    <xf numFmtId="2" fontId="49" fillId="3" borderId="6" xfId="0" applyNumberFormat="1" applyFont="1" applyFill="1" applyBorder="1" applyAlignment="1">
      <alignment horizontal="center" wrapText="1"/>
    </xf>
    <xf numFmtId="49" fontId="37" fillId="3" borderId="1" xfId="0" applyNumberFormat="1" applyFont="1" applyFill="1" applyBorder="1" applyAlignment="1">
      <alignment horizontal="center" vertical="center"/>
    </xf>
    <xf numFmtId="0" fontId="37" fillId="3" borderId="1" xfId="0" applyFont="1" applyFill="1" applyBorder="1"/>
    <xf numFmtId="165" fontId="49" fillId="3" borderId="6" xfId="1" applyNumberFormat="1" applyFont="1" applyFill="1" applyBorder="1" applyAlignment="1">
      <alignment wrapText="1"/>
    </xf>
    <xf numFmtId="0" fontId="49" fillId="3" borderId="1" xfId="0" applyFont="1" applyFill="1" applyBorder="1" applyAlignment="1">
      <alignment horizontal="center" wrapText="1"/>
    </xf>
    <xf numFmtId="44" fontId="46" fillId="3" borderId="2" xfId="2" applyFont="1" applyFill="1" applyBorder="1" applyAlignment="1">
      <alignment horizontal="right"/>
    </xf>
    <xf numFmtId="0" fontId="37" fillId="3" borderId="4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44" fontId="39" fillId="3" borderId="1" xfId="0" applyNumberFormat="1" applyFont="1" applyFill="1" applyBorder="1"/>
    <xf numFmtId="44" fontId="38" fillId="3" borderId="21" xfId="0" applyNumberFormat="1" applyFont="1" applyFill="1" applyBorder="1" applyAlignment="1">
      <alignment horizontal="center"/>
    </xf>
    <xf numFmtId="44" fontId="38" fillId="3" borderId="0" xfId="0" applyNumberFormat="1" applyFont="1" applyFill="1" applyAlignment="1">
      <alignment horizontal="center"/>
    </xf>
    <xf numFmtId="44" fontId="38" fillId="3" borderId="0" xfId="0" applyNumberFormat="1" applyFont="1" applyFill="1" applyAlignment="1">
      <alignment horizontal="center" wrapText="1"/>
    </xf>
    <xf numFmtId="0" fontId="57" fillId="3" borderId="0" xfId="0" applyFont="1" applyFill="1"/>
    <xf numFmtId="0" fontId="57" fillId="3" borderId="1" xfId="0" applyFont="1" applyFill="1" applyBorder="1" applyAlignment="1">
      <alignment horizontal="center"/>
    </xf>
    <xf numFmtId="44" fontId="38" fillId="3" borderId="21" xfId="2" applyFont="1" applyFill="1" applyBorder="1" applyAlignment="1">
      <alignment horizontal="center"/>
    </xf>
    <xf numFmtId="44" fontId="38" fillId="3" borderId="0" xfId="2" applyFont="1" applyFill="1" applyBorder="1" applyAlignment="1">
      <alignment horizontal="center"/>
    </xf>
    <xf numFmtId="44" fontId="38" fillId="3" borderId="0" xfId="2" applyFont="1" applyFill="1" applyBorder="1" applyAlignment="1"/>
    <xf numFmtId="44" fontId="57" fillId="3" borderId="0" xfId="2" applyFont="1" applyFill="1"/>
    <xf numFmtId="44" fontId="57" fillId="3" borderId="1" xfId="2" applyFont="1" applyFill="1" applyBorder="1"/>
    <xf numFmtId="44" fontId="41" fillId="3" borderId="0" xfId="0" applyNumberFormat="1" applyFont="1" applyFill="1"/>
    <xf numFmtId="0" fontId="57" fillId="3" borderId="1" xfId="0" applyFont="1" applyFill="1" applyBorder="1"/>
    <xf numFmtId="44" fontId="42" fillId="3" borderId="1" xfId="0" applyNumberFormat="1" applyFont="1" applyFill="1" applyBorder="1"/>
    <xf numFmtId="0" fontId="0" fillId="3" borderId="21" xfId="0" applyFill="1" applyBorder="1"/>
    <xf numFmtId="0" fontId="40" fillId="3" borderId="0" xfId="0" applyFont="1" applyFill="1"/>
    <xf numFmtId="0" fontId="33" fillId="3" borderId="0" xfId="0" applyFont="1" applyFill="1" applyAlignment="1">
      <alignment horizontal="center"/>
    </xf>
    <xf numFmtId="0" fontId="33" fillId="3" borderId="18" xfId="0" applyFont="1" applyFill="1" applyBorder="1" applyAlignment="1">
      <alignment horizontal="center"/>
    </xf>
    <xf numFmtId="0" fontId="45" fillId="3" borderId="1" xfId="0" applyFont="1" applyFill="1" applyBorder="1" applyAlignment="1">
      <alignment vertical="center" wrapText="1"/>
    </xf>
    <xf numFmtId="49" fontId="45" fillId="3" borderId="1" xfId="0" applyNumberFormat="1" applyFont="1" applyFill="1" applyBorder="1" applyAlignment="1">
      <alignment horizontal="center" vertical="center" wrapText="1"/>
    </xf>
    <xf numFmtId="0" fontId="45" fillId="3" borderId="15" xfId="0" applyFont="1" applyFill="1" applyBorder="1" applyAlignment="1">
      <alignment wrapText="1"/>
    </xf>
    <xf numFmtId="0" fontId="45" fillId="3" borderId="15" xfId="0" applyFont="1" applyFill="1" applyBorder="1" applyAlignment="1">
      <alignment horizontal="center" wrapText="1"/>
    </xf>
    <xf numFmtId="0" fontId="45" fillId="3" borderId="15" xfId="0" applyFont="1" applyFill="1" applyBorder="1" applyAlignment="1">
      <alignment horizontal="center" wrapText="1"/>
    </xf>
    <xf numFmtId="49" fontId="45" fillId="3" borderId="16" xfId="0" applyNumberFormat="1" applyFont="1" applyFill="1" applyBorder="1" applyAlignment="1">
      <alignment horizontal="center" wrapText="1"/>
    </xf>
    <xf numFmtId="0" fontId="45" fillId="3" borderId="1" xfId="0" applyFont="1" applyFill="1" applyBorder="1" applyAlignment="1">
      <alignment horizontal="center" wrapText="1"/>
    </xf>
    <xf numFmtId="49" fontId="45" fillId="3" borderId="17" xfId="0" applyNumberFormat="1" applyFont="1" applyFill="1" applyBorder="1" applyAlignment="1">
      <alignment horizontal="center" wrapText="1"/>
    </xf>
    <xf numFmtId="0" fontId="35" fillId="3" borderId="1" xfId="0" applyFont="1" applyFill="1" applyBorder="1" applyAlignment="1">
      <alignment vertical="center"/>
    </xf>
    <xf numFmtId="165" fontId="45" fillId="3" borderId="1" xfId="1" applyNumberFormat="1" applyFont="1" applyFill="1" applyBorder="1"/>
    <xf numFmtId="2" fontId="45" fillId="3" borderId="7" xfId="0" applyNumberFormat="1" applyFont="1" applyFill="1" applyBorder="1" applyAlignment="1">
      <alignment horizontal="center" wrapText="1"/>
    </xf>
    <xf numFmtId="2" fontId="45" fillId="3" borderId="6" xfId="0" applyNumberFormat="1" applyFont="1" applyFill="1" applyBorder="1" applyAlignment="1">
      <alignment horizontal="center" wrapText="1"/>
    </xf>
    <xf numFmtId="0" fontId="30" fillId="3" borderId="1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44" fontId="30" fillId="3" borderId="1" xfId="0" applyNumberFormat="1" applyFont="1" applyFill="1" applyBorder="1"/>
    <xf numFmtId="2" fontId="35" fillId="3" borderId="1" xfId="0" applyNumberFormat="1" applyFont="1" applyFill="1" applyBorder="1"/>
    <xf numFmtId="165" fontId="45" fillId="3" borderId="6" xfId="1" applyNumberFormat="1" applyFont="1" applyFill="1" applyBorder="1" applyAlignment="1">
      <alignment horizontal="left"/>
    </xf>
    <xf numFmtId="0" fontId="35" fillId="3" borderId="6" xfId="0" applyFont="1" applyFill="1" applyBorder="1" applyAlignment="1">
      <alignment wrapText="1"/>
    </xf>
    <xf numFmtId="165" fontId="35" fillId="3" borderId="1" xfId="1" applyNumberFormat="1" applyFont="1" applyFill="1" applyBorder="1"/>
    <xf numFmtId="2" fontId="35" fillId="3" borderId="1" xfId="1" applyNumberFormat="1" applyFont="1" applyFill="1" applyBorder="1" applyAlignment="1">
      <alignment vertical="center" wrapText="1"/>
    </xf>
    <xf numFmtId="2" fontId="35" fillId="3" borderId="1" xfId="0" applyNumberFormat="1" applyFont="1" applyFill="1" applyBorder="1" applyAlignment="1">
      <alignment vertical="center"/>
    </xf>
    <xf numFmtId="0" fontId="45" fillId="3" borderId="1" xfId="0" applyFont="1" applyFill="1" applyBorder="1"/>
    <xf numFmtId="0" fontId="45" fillId="3" borderId="1" xfId="0" applyFont="1" applyFill="1" applyBorder="1" applyAlignment="1">
      <alignment vertical="center"/>
    </xf>
    <xf numFmtId="44" fontId="46" fillId="3" borderId="1" xfId="2" applyFont="1" applyFill="1" applyBorder="1"/>
    <xf numFmtId="49" fontId="35" fillId="3" borderId="1" xfId="0" applyNumberFormat="1" applyFont="1" applyFill="1" applyBorder="1" applyAlignment="1">
      <alignment horizontal="center" wrapText="1"/>
    </xf>
    <xf numFmtId="0" fontId="45" fillId="3" borderId="1" xfId="0" applyFont="1" applyFill="1" applyBorder="1" applyAlignment="1">
      <alignment horizontal="left" wrapText="1"/>
    </xf>
    <xf numFmtId="0" fontId="45" fillId="3" borderId="1" xfId="0" applyFont="1" applyFill="1" applyBorder="1" applyAlignment="1">
      <alignment vertical="center" wrapText="1"/>
    </xf>
    <xf numFmtId="49" fontId="45" fillId="3" borderId="1" xfId="0" applyNumberFormat="1" applyFont="1" applyFill="1" applyBorder="1" applyAlignment="1">
      <alignment horizontal="center"/>
    </xf>
    <xf numFmtId="0" fontId="45" fillId="3" borderId="5" xfId="0" applyFont="1" applyFill="1" applyBorder="1"/>
    <xf numFmtId="0" fontId="45" fillId="3" borderId="5" xfId="0" applyFont="1" applyFill="1" applyBorder="1" applyAlignment="1">
      <alignment vertical="center"/>
    </xf>
    <xf numFmtId="2" fontId="45" fillId="3" borderId="1" xfId="1" applyNumberFormat="1" applyFont="1" applyFill="1" applyBorder="1"/>
    <xf numFmtId="0" fontId="43" fillId="3" borderId="1" xfId="0" applyFont="1" applyFill="1" applyBorder="1" applyAlignment="1">
      <alignment horizontal="center"/>
    </xf>
    <xf numFmtId="0" fontId="56" fillId="3" borderId="6" xfId="0" applyFont="1" applyFill="1" applyBorder="1"/>
    <xf numFmtId="0" fontId="56" fillId="3" borderId="6" xfId="0" applyFont="1" applyFill="1" applyBorder="1" applyAlignment="1">
      <alignment vertical="center"/>
    </xf>
    <xf numFmtId="44" fontId="45" fillId="3" borderId="6" xfId="2" applyFont="1" applyFill="1" applyBorder="1"/>
    <xf numFmtId="44" fontId="45" fillId="3" borderId="1" xfId="2" applyFont="1" applyFill="1" applyBorder="1"/>
    <xf numFmtId="2" fontId="42" fillId="3" borderId="1" xfId="0" applyNumberFormat="1" applyFont="1" applyFill="1" applyBorder="1"/>
    <xf numFmtId="165" fontId="45" fillId="3" borderId="1" xfId="1" applyNumberFormat="1" applyFont="1" applyFill="1" applyBorder="1" applyAlignment="1">
      <alignment horizontal="left"/>
    </xf>
    <xf numFmtId="2" fontId="35" fillId="3" borderId="1" xfId="1" applyNumberFormat="1" applyFont="1" applyFill="1" applyBorder="1" applyAlignment="1">
      <alignment horizontal="right"/>
    </xf>
    <xf numFmtId="49" fontId="35" fillId="3" borderId="1" xfId="0" applyNumberFormat="1" applyFont="1" applyFill="1" applyBorder="1" applyAlignment="1">
      <alignment horizontal="center" vertical="center"/>
    </xf>
    <xf numFmtId="165" fontId="45" fillId="3" borderId="7" xfId="1" applyNumberFormat="1" applyFont="1" applyFill="1" applyBorder="1" applyAlignment="1">
      <alignment horizontal="left" wrapText="1"/>
    </xf>
    <xf numFmtId="165" fontId="45" fillId="3" borderId="5" xfId="1" applyNumberFormat="1" applyFont="1" applyFill="1" applyBorder="1" applyAlignment="1">
      <alignment horizontal="left" wrapText="1"/>
    </xf>
    <xf numFmtId="165" fontId="45" fillId="3" borderId="6" xfId="1" applyNumberFormat="1" applyFont="1" applyFill="1" applyBorder="1" applyAlignment="1">
      <alignment horizontal="left" wrapText="1"/>
    </xf>
    <xf numFmtId="44" fontId="46" fillId="3" borderId="1" xfId="2" applyFont="1" applyFill="1" applyBorder="1" applyAlignment="1">
      <alignment horizontal="left" wrapText="1"/>
    </xf>
    <xf numFmtId="44" fontId="45" fillId="3" borderId="1" xfId="2" applyFont="1" applyFill="1" applyBorder="1" applyAlignment="1">
      <alignment horizontal="left"/>
    </xf>
    <xf numFmtId="44" fontId="45" fillId="3" borderId="1" xfId="2" applyFont="1" applyFill="1" applyBorder="1" applyAlignment="1">
      <alignment vertical="center"/>
    </xf>
    <xf numFmtId="44" fontId="46" fillId="3" borderId="1" xfId="2" applyFont="1" applyFill="1" applyBorder="1" applyAlignment="1">
      <alignment horizontal="left"/>
    </xf>
    <xf numFmtId="44" fontId="30" fillId="3" borderId="1" xfId="0" applyNumberFormat="1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5" Type="http://schemas.microsoft.com/office/2017/10/relationships/person" Target="persons/person.xml"/><Relationship Id="rId4" Type="http://schemas.openxmlformats.org/officeDocument/2006/relationships/externalLink" Target="externalLinks/externalLink1.xml"/><Relationship Id="rId14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Y%20DE%20SALARIOS%202023%20CORREGID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ACACIONES"/>
      <sheetName val="SALARIO"/>
      <sheetName val="Hoja2"/>
    </sheetNames>
    <sheetDataSet>
      <sheetData sheetId="0" refreshError="1"/>
      <sheetData sheetId="1" refreshError="1"/>
      <sheetData sheetId="2" refreshError="1">
        <row r="178">
          <cell r="A178">
            <v>141</v>
          </cell>
        </row>
        <row r="179">
          <cell r="H179">
            <v>21600</v>
          </cell>
          <cell r="I179">
            <v>70</v>
          </cell>
          <cell r="L179">
            <v>300</v>
          </cell>
          <cell r="M179">
            <v>0</v>
          </cell>
          <cell r="P179">
            <v>30</v>
          </cell>
          <cell r="Q179">
            <v>100</v>
          </cell>
          <cell r="S179">
            <v>0</v>
          </cell>
          <cell r="U179">
            <v>0</v>
          </cell>
          <cell r="V179">
            <v>0</v>
          </cell>
        </row>
      </sheetData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Q367"/>
  <sheetViews>
    <sheetView topLeftCell="A342" workbookViewId="0">
      <selection activeCell="B204" sqref="B204"/>
    </sheetView>
  </sheetViews>
  <sheetFormatPr baseColWidth="10" defaultRowHeight="14.4"/>
  <cols>
    <col min="1" max="1" width="4.5546875" customWidth="1"/>
    <col min="2" max="2" width="32.6640625" customWidth="1"/>
    <col min="3" max="3" width="26.33203125" customWidth="1"/>
    <col min="4" max="4" width="15.88671875" customWidth="1"/>
    <col min="6" max="6" width="8.44140625" customWidth="1"/>
  </cols>
  <sheetData>
    <row r="4" spans="1:43">
      <c r="A4" s="252" t="s">
        <v>0</v>
      </c>
      <c r="B4" s="253" t="s">
        <v>1</v>
      </c>
      <c r="C4" s="245" t="s">
        <v>2</v>
      </c>
      <c r="D4" s="245" t="s">
        <v>3</v>
      </c>
      <c r="E4" s="245" t="s">
        <v>4</v>
      </c>
      <c r="F4" s="249" t="s">
        <v>5</v>
      </c>
      <c r="G4" s="245" t="s">
        <v>6</v>
      </c>
      <c r="H4" s="245"/>
      <c r="I4" s="1"/>
      <c r="J4" s="245"/>
      <c r="K4" s="245"/>
      <c r="L4" s="245"/>
      <c r="M4" s="245"/>
      <c r="N4" s="245"/>
      <c r="O4" s="1"/>
      <c r="P4" s="245" t="s">
        <v>7</v>
      </c>
      <c r="Q4" s="245"/>
      <c r="R4" s="245"/>
      <c r="S4" s="245"/>
      <c r="T4" s="245"/>
      <c r="U4" s="245"/>
      <c r="V4" s="245"/>
      <c r="W4" s="245"/>
      <c r="X4" s="245"/>
      <c r="Y4" s="245"/>
      <c r="Z4" s="245" t="s">
        <v>8</v>
      </c>
      <c r="AA4" s="246" t="s">
        <v>9</v>
      </c>
      <c r="AB4" s="245" t="s">
        <v>10</v>
      </c>
      <c r="AC4" s="1"/>
      <c r="AD4" s="1"/>
      <c r="AE4" s="245" t="s">
        <v>11</v>
      </c>
      <c r="AF4" s="245"/>
      <c r="AG4" s="245"/>
      <c r="AH4" s="245"/>
      <c r="AI4" s="245"/>
      <c r="AJ4" s="245" t="s">
        <v>8</v>
      </c>
      <c r="AK4" s="245" t="s">
        <v>12</v>
      </c>
      <c r="AL4" s="245" t="s">
        <v>13</v>
      </c>
      <c r="AM4" s="245" t="s">
        <v>14</v>
      </c>
      <c r="AN4" s="245" t="s">
        <v>15</v>
      </c>
      <c r="AO4" s="245" t="s">
        <v>16</v>
      </c>
      <c r="AP4" s="245" t="s">
        <v>17</v>
      </c>
      <c r="AQ4" s="245" t="s">
        <v>18</v>
      </c>
    </row>
    <row r="5" spans="1:43">
      <c r="A5" s="252"/>
      <c r="B5" s="254"/>
      <c r="C5" s="245"/>
      <c r="D5" s="245"/>
      <c r="E5" s="245"/>
      <c r="F5" s="249"/>
      <c r="G5" s="250" t="s">
        <v>19</v>
      </c>
      <c r="H5" s="250" t="s">
        <v>20</v>
      </c>
      <c r="I5" s="251" t="s">
        <v>21</v>
      </c>
      <c r="J5" s="245" t="s">
        <v>22</v>
      </c>
      <c r="K5" s="245" t="s">
        <v>23</v>
      </c>
      <c r="L5" s="245" t="s">
        <v>24</v>
      </c>
      <c r="M5" s="245" t="s">
        <v>25</v>
      </c>
      <c r="N5" s="245" t="s">
        <v>26</v>
      </c>
      <c r="O5" s="245" t="s">
        <v>27</v>
      </c>
      <c r="P5" s="1" t="s">
        <v>28</v>
      </c>
      <c r="Q5" s="1" t="s">
        <v>29</v>
      </c>
      <c r="R5" s="1" t="s">
        <v>29</v>
      </c>
      <c r="S5" s="245" t="s">
        <v>30</v>
      </c>
      <c r="T5" s="245"/>
      <c r="U5" s="245"/>
      <c r="V5" s="245"/>
      <c r="W5" s="245"/>
      <c r="X5" s="245"/>
      <c r="Y5" s="245"/>
      <c r="Z5" s="245"/>
      <c r="AA5" s="247"/>
      <c r="AB5" s="245"/>
      <c r="AC5" s="1"/>
      <c r="AD5" s="1"/>
      <c r="AE5" s="1" t="s">
        <v>28</v>
      </c>
      <c r="AF5" s="245" t="s">
        <v>31</v>
      </c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</row>
    <row r="6" spans="1:43">
      <c r="A6" s="252"/>
      <c r="B6" s="255"/>
      <c r="C6" s="245"/>
      <c r="D6" s="245"/>
      <c r="E6" s="245"/>
      <c r="F6" s="249"/>
      <c r="G6" s="250"/>
      <c r="H6" s="250"/>
      <c r="I6" s="251"/>
      <c r="J6" s="245"/>
      <c r="K6" s="245"/>
      <c r="L6" s="245"/>
      <c r="M6" s="245"/>
      <c r="N6" s="245"/>
      <c r="O6" s="245" t="s">
        <v>32</v>
      </c>
      <c r="P6" s="1" t="s">
        <v>33</v>
      </c>
      <c r="Q6" s="1" t="s">
        <v>34</v>
      </c>
      <c r="R6" s="1" t="s">
        <v>35</v>
      </c>
      <c r="S6" s="1" t="s">
        <v>36</v>
      </c>
      <c r="T6" s="1" t="s">
        <v>37</v>
      </c>
      <c r="U6" s="1" t="s">
        <v>38</v>
      </c>
      <c r="V6" s="1" t="s">
        <v>39</v>
      </c>
      <c r="W6" s="1" t="s">
        <v>40</v>
      </c>
      <c r="X6" s="1" t="s">
        <v>41</v>
      </c>
      <c r="Y6" s="1" t="s">
        <v>42</v>
      </c>
      <c r="Z6" s="245"/>
      <c r="AA6" s="248"/>
      <c r="AB6" s="245"/>
      <c r="AC6" s="1"/>
      <c r="AD6" s="1"/>
      <c r="AE6" s="1" t="s">
        <v>33</v>
      </c>
      <c r="AF6" s="1" t="s">
        <v>36</v>
      </c>
      <c r="AG6" s="1" t="s">
        <v>38</v>
      </c>
      <c r="AH6" s="1" t="s">
        <v>40</v>
      </c>
      <c r="AI6" s="1" t="s">
        <v>42</v>
      </c>
      <c r="AJ6" s="245"/>
      <c r="AK6" s="245"/>
      <c r="AL6" s="245"/>
      <c r="AM6" s="245"/>
      <c r="AN6" s="245"/>
      <c r="AO6" s="245"/>
      <c r="AP6" s="245"/>
      <c r="AQ6" s="245"/>
    </row>
    <row r="7" spans="1:43">
      <c r="A7" s="2">
        <v>1</v>
      </c>
      <c r="B7" s="3" t="s">
        <v>43</v>
      </c>
      <c r="C7" s="4" t="s">
        <v>44</v>
      </c>
      <c r="D7" s="5" t="s">
        <v>45</v>
      </c>
      <c r="E7" s="6" t="s">
        <v>46</v>
      </c>
      <c r="F7" s="7" t="s">
        <v>47</v>
      </c>
      <c r="G7" s="8"/>
      <c r="H7" s="8"/>
      <c r="I7" s="8"/>
      <c r="J7" s="9">
        <v>10000</v>
      </c>
      <c r="K7" s="10">
        <v>3000</v>
      </c>
      <c r="L7" s="11"/>
      <c r="M7" s="10"/>
      <c r="N7" s="10"/>
      <c r="O7" s="9">
        <v>9730</v>
      </c>
      <c r="P7" s="12">
        <f t="shared" ref="P7:P20" si="0">AQ7*0.0775</f>
        <v>1309.75</v>
      </c>
      <c r="Q7" s="9"/>
      <c r="R7" s="12">
        <f>P7/13</f>
        <v>100.75</v>
      </c>
      <c r="S7" s="9"/>
      <c r="T7" s="9"/>
      <c r="U7" s="9">
        <v>975</v>
      </c>
      <c r="V7" s="12">
        <f t="shared" ref="V7:V20" si="1">U7/13</f>
        <v>75</v>
      </c>
      <c r="W7" s="9"/>
      <c r="X7" s="9"/>
      <c r="Y7" s="12">
        <f>P7+S7+U7+W7</f>
        <v>2284.75</v>
      </c>
      <c r="Z7" s="12">
        <v>130</v>
      </c>
      <c r="AA7" s="12">
        <f t="shared" ref="AA7:AA20" si="2">Z7/13</f>
        <v>10</v>
      </c>
      <c r="AB7" s="9"/>
      <c r="AC7" s="9"/>
      <c r="AD7" s="9"/>
      <c r="AE7" s="9"/>
      <c r="AF7" s="9"/>
      <c r="AG7" s="9"/>
      <c r="AH7" s="9"/>
      <c r="AI7" s="9"/>
      <c r="AJ7" s="9"/>
      <c r="AK7" s="9">
        <v>15915.89</v>
      </c>
      <c r="AL7" s="9">
        <f>110000</f>
        <v>110000</v>
      </c>
      <c r="AM7" s="9">
        <v>27900</v>
      </c>
      <c r="AN7" s="9">
        <v>9500</v>
      </c>
      <c r="AO7" s="9">
        <f>34903.78+7819.04</f>
        <v>42722.82</v>
      </c>
      <c r="AP7" s="9">
        <v>20000</v>
      </c>
      <c r="AQ7" s="9">
        <f t="shared" ref="AQ7:AQ20" si="3">1300*13</f>
        <v>16900</v>
      </c>
    </row>
    <row r="8" spans="1:43">
      <c r="A8" s="2">
        <f>A7+1</f>
        <v>2</v>
      </c>
      <c r="B8" s="3" t="s">
        <v>48</v>
      </c>
      <c r="C8" s="4" t="s">
        <v>49</v>
      </c>
      <c r="D8" s="5" t="s">
        <v>45</v>
      </c>
      <c r="E8" s="6" t="s">
        <v>46</v>
      </c>
      <c r="F8" s="7" t="s">
        <v>47</v>
      </c>
      <c r="G8" s="8"/>
      <c r="H8" s="8"/>
      <c r="I8" s="8"/>
      <c r="J8" s="8"/>
      <c r="K8" s="8"/>
      <c r="L8" s="11"/>
      <c r="M8" s="8"/>
      <c r="N8" s="10"/>
      <c r="O8" s="9"/>
      <c r="P8" s="12">
        <f t="shared" si="0"/>
        <v>1309.75</v>
      </c>
      <c r="Q8" s="9"/>
      <c r="R8" s="12">
        <f>P8/13</f>
        <v>100.75</v>
      </c>
      <c r="S8" s="9"/>
      <c r="T8" s="9"/>
      <c r="U8" s="9">
        <v>975</v>
      </c>
      <c r="V8" s="12">
        <f t="shared" si="1"/>
        <v>75</v>
      </c>
      <c r="W8" s="9"/>
      <c r="X8" s="9"/>
      <c r="Y8" s="12">
        <f t="shared" ref="Y8:Y20" si="4">P8+S8+U8+W8</f>
        <v>2284.75</v>
      </c>
      <c r="Z8" s="12">
        <v>130</v>
      </c>
      <c r="AA8" s="12">
        <f t="shared" si="2"/>
        <v>10</v>
      </c>
      <c r="AB8" s="9"/>
      <c r="AC8" s="9"/>
      <c r="AD8" s="9"/>
      <c r="AE8" s="9"/>
      <c r="AF8" s="9"/>
      <c r="AG8" s="9"/>
      <c r="AH8" s="9"/>
      <c r="AI8" s="9"/>
      <c r="AJ8" s="9"/>
      <c r="AK8" s="9"/>
      <c r="AL8" s="9" t="s">
        <v>50</v>
      </c>
      <c r="AM8" s="9"/>
      <c r="AN8" s="9"/>
      <c r="AO8" s="9"/>
      <c r="AP8" s="9"/>
      <c r="AQ8" s="9">
        <f t="shared" si="3"/>
        <v>16900</v>
      </c>
    </row>
    <row r="9" spans="1:43">
      <c r="A9" s="2">
        <f>A8+1</f>
        <v>3</v>
      </c>
      <c r="B9" s="3" t="s">
        <v>51</v>
      </c>
      <c r="C9" s="4" t="s">
        <v>52</v>
      </c>
      <c r="D9" s="5" t="s">
        <v>45</v>
      </c>
      <c r="E9" s="6" t="s">
        <v>46</v>
      </c>
      <c r="F9" s="7" t="s">
        <v>47</v>
      </c>
      <c r="G9" s="8"/>
      <c r="H9" s="8"/>
      <c r="I9" s="8"/>
      <c r="J9" s="8"/>
      <c r="K9" s="8"/>
      <c r="L9" s="11"/>
      <c r="M9" s="8"/>
      <c r="N9" s="10"/>
      <c r="O9" s="9"/>
      <c r="P9" s="12">
        <f t="shared" si="0"/>
        <v>1309.75</v>
      </c>
      <c r="Q9" s="9"/>
      <c r="R9" s="12">
        <f>P9/13</f>
        <v>100.75</v>
      </c>
      <c r="S9" s="9"/>
      <c r="T9" s="9"/>
      <c r="U9" s="9">
        <v>975</v>
      </c>
      <c r="V9" s="12">
        <f t="shared" si="1"/>
        <v>75</v>
      </c>
      <c r="W9" s="9"/>
      <c r="X9" s="9"/>
      <c r="Y9" s="12">
        <f t="shared" si="4"/>
        <v>2284.75</v>
      </c>
      <c r="Z9" s="12">
        <v>130</v>
      </c>
      <c r="AA9" s="12">
        <f t="shared" si="2"/>
        <v>10</v>
      </c>
      <c r="AB9" s="9"/>
      <c r="AC9" s="9"/>
      <c r="AD9" s="9"/>
      <c r="AE9" s="9"/>
      <c r="AF9" s="9"/>
      <c r="AG9" s="9"/>
      <c r="AH9" s="9"/>
      <c r="AI9" s="9"/>
      <c r="AJ9" s="9"/>
      <c r="AK9" s="9"/>
      <c r="AL9" s="13"/>
      <c r="AM9" s="13"/>
      <c r="AN9" s="13"/>
      <c r="AO9" s="13"/>
      <c r="AP9" s="9"/>
      <c r="AQ9" s="9">
        <f t="shared" si="3"/>
        <v>16900</v>
      </c>
    </row>
    <row r="10" spans="1:43">
      <c r="A10" s="2">
        <f t="shared" ref="A10:A20" si="5">A9+1</f>
        <v>4</v>
      </c>
      <c r="B10" s="3" t="s">
        <v>53</v>
      </c>
      <c r="C10" s="4" t="s">
        <v>54</v>
      </c>
      <c r="D10" s="5" t="s">
        <v>45</v>
      </c>
      <c r="E10" s="6" t="s">
        <v>46</v>
      </c>
      <c r="F10" s="7" t="s">
        <v>47</v>
      </c>
      <c r="G10" s="8"/>
      <c r="H10" s="8"/>
      <c r="I10" s="8"/>
      <c r="J10" s="8"/>
      <c r="K10" s="8"/>
      <c r="L10" s="11"/>
      <c r="M10" s="8"/>
      <c r="N10" s="10"/>
      <c r="O10" s="9"/>
      <c r="P10" s="12">
        <f t="shared" si="0"/>
        <v>1309.75</v>
      </c>
      <c r="Q10" s="9"/>
      <c r="R10" s="12">
        <f>P10/13</f>
        <v>100.75</v>
      </c>
      <c r="S10" s="9"/>
      <c r="T10" s="9"/>
      <c r="U10" s="9">
        <v>975</v>
      </c>
      <c r="V10" s="12">
        <f t="shared" si="1"/>
        <v>75</v>
      </c>
      <c r="W10" s="9"/>
      <c r="X10" s="9"/>
      <c r="Y10" s="12">
        <f t="shared" si="4"/>
        <v>2284.75</v>
      </c>
      <c r="Z10" s="12">
        <v>130</v>
      </c>
      <c r="AA10" s="12">
        <f t="shared" si="2"/>
        <v>10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>
        <f t="shared" si="3"/>
        <v>16900</v>
      </c>
    </row>
    <row r="11" spans="1:43">
      <c r="A11" s="2">
        <f t="shared" si="5"/>
        <v>5</v>
      </c>
      <c r="B11" s="3" t="s">
        <v>55</v>
      </c>
      <c r="C11" s="4" t="s">
        <v>56</v>
      </c>
      <c r="D11" s="5" t="s">
        <v>45</v>
      </c>
      <c r="E11" s="6" t="s">
        <v>46</v>
      </c>
      <c r="F11" s="7" t="s">
        <v>47</v>
      </c>
      <c r="G11" s="8"/>
      <c r="H11" s="8"/>
      <c r="I11" s="8"/>
      <c r="J11" s="8"/>
      <c r="K11" s="8"/>
      <c r="L11" s="11"/>
      <c r="M11" s="8"/>
      <c r="N11" s="10"/>
      <c r="O11" s="9"/>
      <c r="P11" s="12">
        <f t="shared" si="0"/>
        <v>1309.75</v>
      </c>
      <c r="Q11" s="9"/>
      <c r="R11" s="12">
        <f>P11/13</f>
        <v>100.75</v>
      </c>
      <c r="S11" s="9"/>
      <c r="T11" s="9"/>
      <c r="U11" s="9">
        <v>975</v>
      </c>
      <c r="V11" s="12">
        <f t="shared" si="1"/>
        <v>75</v>
      </c>
      <c r="W11" s="9"/>
      <c r="X11" s="9"/>
      <c r="Y11" s="12">
        <f t="shared" si="4"/>
        <v>2284.75</v>
      </c>
      <c r="Z11" s="12">
        <v>130</v>
      </c>
      <c r="AA11" s="12">
        <f t="shared" si="2"/>
        <v>10</v>
      </c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>
        <f t="shared" si="3"/>
        <v>16900</v>
      </c>
    </row>
    <row r="12" spans="1:43">
      <c r="A12" s="2">
        <f t="shared" si="5"/>
        <v>6</v>
      </c>
      <c r="B12" s="3" t="s">
        <v>57</v>
      </c>
      <c r="C12" s="4" t="s">
        <v>58</v>
      </c>
      <c r="D12" s="5" t="s">
        <v>45</v>
      </c>
      <c r="E12" s="6" t="s">
        <v>46</v>
      </c>
      <c r="F12" s="7" t="s">
        <v>47</v>
      </c>
      <c r="G12" s="8"/>
      <c r="H12" s="8"/>
      <c r="I12" s="8"/>
      <c r="J12" s="8"/>
      <c r="K12" s="8"/>
      <c r="L12" s="11"/>
      <c r="M12" s="8"/>
      <c r="N12" s="10"/>
      <c r="O12" s="9"/>
      <c r="P12" s="12">
        <f t="shared" si="0"/>
        <v>1309.75</v>
      </c>
      <c r="Q12" s="9">
        <f t="shared" ref="Q12:Q19" si="6">P12/13</f>
        <v>100.75</v>
      </c>
      <c r="R12" s="9"/>
      <c r="S12" s="9"/>
      <c r="T12" s="9"/>
      <c r="U12" s="9">
        <v>975</v>
      </c>
      <c r="V12" s="12">
        <f t="shared" si="1"/>
        <v>75</v>
      </c>
      <c r="W12" s="9"/>
      <c r="X12" s="9"/>
      <c r="Y12" s="12">
        <f t="shared" si="4"/>
        <v>2284.75</v>
      </c>
      <c r="Z12" s="12">
        <v>130</v>
      </c>
      <c r="AA12" s="12">
        <f t="shared" si="2"/>
        <v>10</v>
      </c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>
        <f t="shared" si="3"/>
        <v>16900</v>
      </c>
    </row>
    <row r="13" spans="1:43">
      <c r="A13" s="2">
        <f t="shared" si="5"/>
        <v>7</v>
      </c>
      <c r="B13" s="3" t="s">
        <v>59</v>
      </c>
      <c r="C13" s="4" t="s">
        <v>60</v>
      </c>
      <c r="D13" s="5" t="s">
        <v>45</v>
      </c>
      <c r="E13" s="6" t="s">
        <v>46</v>
      </c>
      <c r="F13" s="7" t="s">
        <v>47</v>
      </c>
      <c r="G13" s="8"/>
      <c r="H13" s="8"/>
      <c r="I13" s="8"/>
      <c r="J13" s="8"/>
      <c r="K13" s="8"/>
      <c r="L13" s="11"/>
      <c r="M13" s="8"/>
      <c r="N13" s="10"/>
      <c r="O13" s="9"/>
      <c r="P13" s="12">
        <f t="shared" si="0"/>
        <v>1309.75</v>
      </c>
      <c r="Q13" s="9"/>
      <c r="R13" s="12">
        <f>P13/13</f>
        <v>100.75</v>
      </c>
      <c r="S13" s="9"/>
      <c r="T13" s="9"/>
      <c r="U13" s="9">
        <v>975</v>
      </c>
      <c r="V13" s="12">
        <f t="shared" si="1"/>
        <v>75</v>
      </c>
      <c r="W13" s="9"/>
      <c r="X13" s="9"/>
      <c r="Y13" s="12">
        <f t="shared" si="4"/>
        <v>2284.75</v>
      </c>
      <c r="Z13" s="12">
        <v>130</v>
      </c>
      <c r="AA13" s="12">
        <f t="shared" si="2"/>
        <v>10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>
        <f t="shared" si="3"/>
        <v>16900</v>
      </c>
    </row>
    <row r="14" spans="1:43">
      <c r="A14" s="2">
        <f t="shared" si="5"/>
        <v>8</v>
      </c>
      <c r="B14" s="3" t="s">
        <v>61</v>
      </c>
      <c r="C14" s="4" t="s">
        <v>62</v>
      </c>
      <c r="D14" s="5" t="s">
        <v>45</v>
      </c>
      <c r="E14" s="6" t="s">
        <v>46</v>
      </c>
      <c r="F14" s="7" t="s">
        <v>47</v>
      </c>
      <c r="G14" s="8"/>
      <c r="H14" s="8"/>
      <c r="I14" s="8"/>
      <c r="J14" s="8"/>
      <c r="K14" s="8"/>
      <c r="L14" s="11"/>
      <c r="M14" s="8"/>
      <c r="N14" s="10"/>
      <c r="O14" s="9"/>
      <c r="P14" s="12">
        <f t="shared" si="0"/>
        <v>1309.75</v>
      </c>
      <c r="Q14" s="9">
        <f t="shared" si="6"/>
        <v>100.75</v>
      </c>
      <c r="R14" s="9"/>
      <c r="S14" s="9"/>
      <c r="T14" s="9"/>
      <c r="U14" s="9">
        <v>975</v>
      </c>
      <c r="V14" s="12">
        <f t="shared" si="1"/>
        <v>75</v>
      </c>
      <c r="W14" s="9"/>
      <c r="X14" s="9"/>
      <c r="Y14" s="12">
        <f t="shared" si="4"/>
        <v>2284.75</v>
      </c>
      <c r="Z14" s="12">
        <v>130</v>
      </c>
      <c r="AA14" s="12">
        <f t="shared" si="2"/>
        <v>10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>
        <f t="shared" si="3"/>
        <v>16900</v>
      </c>
    </row>
    <row r="15" spans="1:43">
      <c r="A15" s="2">
        <f t="shared" si="5"/>
        <v>9</v>
      </c>
      <c r="B15" s="3" t="s">
        <v>63</v>
      </c>
      <c r="C15" s="4" t="s">
        <v>64</v>
      </c>
      <c r="D15" s="5" t="s">
        <v>45</v>
      </c>
      <c r="E15" s="6" t="s">
        <v>46</v>
      </c>
      <c r="F15" s="7" t="s">
        <v>47</v>
      </c>
      <c r="G15" s="8"/>
      <c r="H15" s="8"/>
      <c r="I15" s="8"/>
      <c r="J15" s="8"/>
      <c r="K15" s="8"/>
      <c r="L15" s="11"/>
      <c r="M15" s="8"/>
      <c r="N15" s="10"/>
      <c r="O15" s="9"/>
      <c r="P15" s="12">
        <f t="shared" si="0"/>
        <v>1309.75</v>
      </c>
      <c r="Q15" s="9">
        <f t="shared" si="6"/>
        <v>100.75</v>
      </c>
      <c r="R15" s="12"/>
      <c r="S15" s="9"/>
      <c r="T15" s="9"/>
      <c r="U15" s="9">
        <v>975</v>
      </c>
      <c r="V15" s="12">
        <f t="shared" si="1"/>
        <v>75</v>
      </c>
      <c r="W15" s="9"/>
      <c r="X15" s="9"/>
      <c r="Y15" s="12">
        <f t="shared" si="4"/>
        <v>2284.75</v>
      </c>
      <c r="Z15" s="12">
        <v>130</v>
      </c>
      <c r="AA15" s="12">
        <f t="shared" si="2"/>
        <v>10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>
        <f t="shared" si="3"/>
        <v>16900</v>
      </c>
    </row>
    <row r="16" spans="1:43">
      <c r="A16" s="2">
        <f t="shared" si="5"/>
        <v>10</v>
      </c>
      <c r="B16" s="3" t="s">
        <v>65</v>
      </c>
      <c r="C16" s="4" t="s">
        <v>66</v>
      </c>
      <c r="D16" s="5" t="s">
        <v>45</v>
      </c>
      <c r="E16" s="6" t="s">
        <v>46</v>
      </c>
      <c r="F16" s="7" t="s">
        <v>47</v>
      </c>
      <c r="G16" s="8"/>
      <c r="H16" s="8"/>
      <c r="I16" s="8"/>
      <c r="J16" s="8"/>
      <c r="K16" s="8"/>
      <c r="L16" s="11"/>
      <c r="M16" s="8"/>
      <c r="N16" s="10"/>
      <c r="O16" s="9"/>
      <c r="P16" s="12">
        <f t="shared" si="0"/>
        <v>1309.75</v>
      </c>
      <c r="Q16" s="9">
        <f t="shared" si="6"/>
        <v>100.75</v>
      </c>
      <c r="R16" s="9"/>
      <c r="S16" s="9"/>
      <c r="T16" s="9"/>
      <c r="U16" s="9">
        <v>975</v>
      </c>
      <c r="V16" s="12">
        <f t="shared" si="1"/>
        <v>75</v>
      </c>
      <c r="W16" s="9"/>
      <c r="X16" s="9"/>
      <c r="Y16" s="12">
        <f t="shared" si="4"/>
        <v>2284.75</v>
      </c>
      <c r="Z16" s="12">
        <v>130</v>
      </c>
      <c r="AA16" s="12">
        <f t="shared" si="2"/>
        <v>10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>
        <f t="shared" si="3"/>
        <v>16900</v>
      </c>
    </row>
    <row r="17" spans="1:43">
      <c r="A17" s="2">
        <f t="shared" si="5"/>
        <v>11</v>
      </c>
      <c r="B17" s="3" t="s">
        <v>67</v>
      </c>
      <c r="C17" s="4" t="s">
        <v>68</v>
      </c>
      <c r="D17" s="5" t="s">
        <v>45</v>
      </c>
      <c r="E17" s="6" t="s">
        <v>46</v>
      </c>
      <c r="F17" s="7" t="s">
        <v>47</v>
      </c>
      <c r="G17" s="8"/>
      <c r="H17" s="8"/>
      <c r="I17" s="8"/>
      <c r="J17" s="8"/>
      <c r="K17" s="8"/>
      <c r="L17" s="11"/>
      <c r="M17" s="8"/>
      <c r="N17" s="10"/>
      <c r="O17" s="9"/>
      <c r="P17" s="12">
        <f t="shared" si="0"/>
        <v>1309.75</v>
      </c>
      <c r="Q17" s="9"/>
      <c r="R17" s="12">
        <f>P17/13</f>
        <v>100.75</v>
      </c>
      <c r="S17" s="9"/>
      <c r="T17" s="9"/>
      <c r="U17" s="9">
        <v>975</v>
      </c>
      <c r="V17" s="12">
        <f t="shared" si="1"/>
        <v>75</v>
      </c>
      <c r="W17" s="9"/>
      <c r="X17" s="9"/>
      <c r="Y17" s="12">
        <f t="shared" si="4"/>
        <v>2284.75</v>
      </c>
      <c r="Z17" s="12">
        <v>130</v>
      </c>
      <c r="AA17" s="12">
        <f t="shared" si="2"/>
        <v>10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>
        <f t="shared" si="3"/>
        <v>16900</v>
      </c>
    </row>
    <row r="18" spans="1:43">
      <c r="A18" s="2">
        <f t="shared" si="5"/>
        <v>12</v>
      </c>
      <c r="B18" s="3" t="s">
        <v>69</v>
      </c>
      <c r="C18" s="4" t="s">
        <v>70</v>
      </c>
      <c r="D18" s="5" t="s">
        <v>45</v>
      </c>
      <c r="E18" s="6" t="s">
        <v>46</v>
      </c>
      <c r="F18" s="7" t="s">
        <v>47</v>
      </c>
      <c r="G18" s="8"/>
      <c r="H18" s="8"/>
      <c r="I18" s="8"/>
      <c r="J18" s="8"/>
      <c r="K18" s="8"/>
      <c r="L18" s="11"/>
      <c r="M18" s="8"/>
      <c r="N18" s="10"/>
      <c r="O18" s="9"/>
      <c r="P18" s="12">
        <f t="shared" si="0"/>
        <v>1309.75</v>
      </c>
      <c r="Q18" s="9">
        <f t="shared" si="6"/>
        <v>100.75</v>
      </c>
      <c r="R18" s="9"/>
      <c r="S18" s="9"/>
      <c r="T18" s="9"/>
      <c r="U18" s="9">
        <v>975</v>
      </c>
      <c r="V18" s="12">
        <f t="shared" si="1"/>
        <v>75</v>
      </c>
      <c r="W18" s="9"/>
      <c r="X18" s="9"/>
      <c r="Y18" s="12">
        <f t="shared" si="4"/>
        <v>2284.75</v>
      </c>
      <c r="Z18" s="12">
        <v>130</v>
      </c>
      <c r="AA18" s="12">
        <f t="shared" si="2"/>
        <v>10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>
        <f t="shared" si="3"/>
        <v>16900</v>
      </c>
    </row>
    <row r="19" spans="1:43">
      <c r="A19" s="2">
        <f t="shared" si="5"/>
        <v>13</v>
      </c>
      <c r="B19" s="3" t="s">
        <v>71</v>
      </c>
      <c r="C19" s="4" t="s">
        <v>72</v>
      </c>
      <c r="D19" s="5" t="s">
        <v>45</v>
      </c>
      <c r="E19" s="6" t="s">
        <v>46</v>
      </c>
      <c r="F19" s="7" t="s">
        <v>47</v>
      </c>
      <c r="G19" s="8"/>
      <c r="H19" s="8"/>
      <c r="I19" s="8"/>
      <c r="J19" s="8"/>
      <c r="K19" s="8"/>
      <c r="L19" s="11"/>
      <c r="M19" s="8"/>
      <c r="N19" s="10"/>
      <c r="O19" s="9"/>
      <c r="P19" s="12">
        <f t="shared" si="0"/>
        <v>1309.75</v>
      </c>
      <c r="Q19" s="9">
        <f t="shared" si="6"/>
        <v>100.75</v>
      </c>
      <c r="R19" s="9"/>
      <c r="S19" s="9"/>
      <c r="T19" s="9"/>
      <c r="U19" s="9">
        <v>975</v>
      </c>
      <c r="V19" s="12">
        <f t="shared" si="1"/>
        <v>75</v>
      </c>
      <c r="W19" s="9"/>
      <c r="X19" s="9"/>
      <c r="Y19" s="12">
        <f t="shared" si="4"/>
        <v>2284.75</v>
      </c>
      <c r="Z19" s="12">
        <v>130</v>
      </c>
      <c r="AA19" s="12">
        <f t="shared" si="2"/>
        <v>10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>
        <f t="shared" si="3"/>
        <v>16900</v>
      </c>
    </row>
    <row r="20" spans="1:43">
      <c r="A20" s="2">
        <f t="shared" si="5"/>
        <v>14</v>
      </c>
      <c r="B20" s="3" t="s">
        <v>73</v>
      </c>
      <c r="C20" s="4" t="s">
        <v>74</v>
      </c>
      <c r="D20" s="5" t="s">
        <v>45</v>
      </c>
      <c r="E20" s="6" t="s">
        <v>46</v>
      </c>
      <c r="F20" s="7" t="s">
        <v>47</v>
      </c>
      <c r="G20" s="8"/>
      <c r="H20" s="8"/>
      <c r="I20" s="8"/>
      <c r="J20" s="8"/>
      <c r="K20" s="8"/>
      <c r="L20" s="11"/>
      <c r="M20" s="8"/>
      <c r="N20" s="10"/>
      <c r="O20" s="9"/>
      <c r="P20" s="12">
        <f t="shared" si="0"/>
        <v>1309.75</v>
      </c>
      <c r="Q20" s="9"/>
      <c r="R20" s="12">
        <f>P20/13</f>
        <v>100.75</v>
      </c>
      <c r="S20" s="9"/>
      <c r="T20" s="9"/>
      <c r="U20" s="9">
        <v>975</v>
      </c>
      <c r="V20" s="12">
        <f t="shared" si="1"/>
        <v>75</v>
      </c>
      <c r="W20" s="9"/>
      <c r="X20" s="9"/>
      <c r="Y20" s="12">
        <f t="shared" si="4"/>
        <v>2284.75</v>
      </c>
      <c r="Z20" s="12">
        <v>130</v>
      </c>
      <c r="AA20" s="12">
        <f t="shared" si="2"/>
        <v>10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>
        <f t="shared" si="3"/>
        <v>16900</v>
      </c>
    </row>
    <row r="21" spans="1:43">
      <c r="A21" s="14"/>
      <c r="B21" s="15"/>
      <c r="C21" s="16" t="s">
        <v>75</v>
      </c>
      <c r="D21" s="17"/>
      <c r="E21" s="6"/>
      <c r="F21" s="18"/>
      <c r="G21" s="9"/>
      <c r="H21" s="9"/>
      <c r="I21" s="9"/>
      <c r="J21" s="19">
        <f>SUM(J7:J20)</f>
        <v>10000</v>
      </c>
      <c r="K21" s="19">
        <f>SUM(K7:K20)</f>
        <v>3000</v>
      </c>
      <c r="L21" s="19"/>
      <c r="M21" s="9"/>
      <c r="N21" s="19"/>
      <c r="O21" s="19">
        <f t="shared" ref="O21:V21" si="7">SUM(O7:O20)</f>
        <v>9730</v>
      </c>
      <c r="P21" s="19">
        <f t="shared" si="7"/>
        <v>18336.5</v>
      </c>
      <c r="Q21" s="20">
        <f t="shared" si="7"/>
        <v>604.5</v>
      </c>
      <c r="R21" s="20">
        <f t="shared" si="7"/>
        <v>806</v>
      </c>
      <c r="S21" s="19">
        <f t="shared" si="7"/>
        <v>0</v>
      </c>
      <c r="T21" s="19">
        <f t="shared" si="7"/>
        <v>0</v>
      </c>
      <c r="U21" s="20">
        <f t="shared" si="7"/>
        <v>13650</v>
      </c>
      <c r="V21" s="20">
        <f t="shared" si="7"/>
        <v>1050</v>
      </c>
      <c r="W21" s="9"/>
      <c r="X21" s="9"/>
      <c r="Y21" s="20">
        <f>SUM(Y7:Y20)</f>
        <v>31986.5</v>
      </c>
      <c r="Z21" s="20">
        <f>SUM(Z7:Z20)</f>
        <v>1820</v>
      </c>
      <c r="AA21" s="20">
        <f>SUM(AA7:AA20)</f>
        <v>140</v>
      </c>
      <c r="AB21" s="9"/>
      <c r="AC21" s="9"/>
      <c r="AD21" s="9"/>
      <c r="AE21" s="9"/>
      <c r="AF21" s="9"/>
      <c r="AG21" s="9"/>
      <c r="AH21" s="9"/>
      <c r="AI21" s="9"/>
      <c r="AJ21" s="9"/>
      <c r="AK21" s="19">
        <f>AK7</f>
        <v>15915.89</v>
      </c>
      <c r="AL21" s="19">
        <f>AL7</f>
        <v>110000</v>
      </c>
      <c r="AM21" s="19">
        <f>AM7</f>
        <v>27900</v>
      </c>
      <c r="AN21" s="19">
        <f>AN7</f>
        <v>9500</v>
      </c>
      <c r="AO21" s="19">
        <f>AO7</f>
        <v>42722.82</v>
      </c>
      <c r="AP21" s="19">
        <f>SUM(AP7:AP20)</f>
        <v>20000</v>
      </c>
      <c r="AQ21" s="19">
        <f>SUM(AQ7:AQ20)</f>
        <v>236600</v>
      </c>
    </row>
    <row r="22" spans="1:43">
      <c r="A22" s="21">
        <v>1</v>
      </c>
      <c r="B22" s="22" t="s">
        <v>76</v>
      </c>
      <c r="C22" s="25" t="s">
        <v>77</v>
      </c>
      <c r="D22" s="82" t="s">
        <v>78</v>
      </c>
      <c r="E22" s="83" t="s">
        <v>79</v>
      </c>
      <c r="F22" s="84" t="s">
        <v>47</v>
      </c>
      <c r="G22" s="26">
        <v>3850</v>
      </c>
      <c r="H22" s="12">
        <f>G22*12</f>
        <v>46200</v>
      </c>
      <c r="I22" s="12">
        <v>60</v>
      </c>
      <c r="J22" s="12">
        <v>4000</v>
      </c>
      <c r="K22" s="12">
        <f>G22</f>
        <v>3850</v>
      </c>
      <c r="L22" s="12">
        <v>300</v>
      </c>
      <c r="M22" s="12">
        <v>2000</v>
      </c>
      <c r="N22" s="24">
        <v>125</v>
      </c>
      <c r="O22" s="24"/>
      <c r="P22" s="12">
        <f>G22*0.0775*13</f>
        <v>3878.875</v>
      </c>
      <c r="Q22" s="12">
        <f>P22/13</f>
        <v>298.375</v>
      </c>
      <c r="S22" s="12"/>
      <c r="T22" s="12"/>
      <c r="U22" s="12">
        <f>75*13</f>
        <v>975</v>
      </c>
      <c r="V22" s="12">
        <f>U22/13</f>
        <v>75</v>
      </c>
      <c r="W22" s="12"/>
      <c r="X22" s="12"/>
      <c r="Y22" s="12">
        <f>P22+S22+U22+W22</f>
        <v>4853.875</v>
      </c>
      <c r="Z22" s="12">
        <v>130</v>
      </c>
      <c r="AA22" s="12">
        <f>Z22/13</f>
        <v>10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>
      <c r="A23" s="21">
        <f>A22+1</f>
        <v>2</v>
      </c>
      <c r="B23" s="25" t="s">
        <v>80</v>
      </c>
      <c r="C23" s="25" t="s">
        <v>81</v>
      </c>
      <c r="D23" s="82" t="s">
        <v>78</v>
      </c>
      <c r="E23" s="83" t="s">
        <v>79</v>
      </c>
      <c r="F23" s="84" t="s">
        <v>47</v>
      </c>
      <c r="G23" s="26">
        <v>500</v>
      </c>
      <c r="H23" s="12">
        <f>G23*12</f>
        <v>6000</v>
      </c>
      <c r="I23" s="12">
        <v>60</v>
      </c>
      <c r="J23" s="12"/>
      <c r="K23" s="12">
        <f>G23</f>
        <v>500</v>
      </c>
      <c r="L23" s="12">
        <v>300</v>
      </c>
      <c r="M23" s="12"/>
      <c r="N23" s="24">
        <v>125</v>
      </c>
      <c r="O23" s="24"/>
      <c r="P23" s="12">
        <f>G23*0.0775*13</f>
        <v>503.75</v>
      </c>
      <c r="Q23" s="26"/>
      <c r="R23" s="12">
        <f>P23/13</f>
        <v>38.75</v>
      </c>
      <c r="S23" s="12"/>
      <c r="T23" s="12"/>
      <c r="U23" s="12">
        <f>G23*0.075*13</f>
        <v>487.5</v>
      </c>
      <c r="V23" s="12">
        <f>U23/13</f>
        <v>37.5</v>
      </c>
      <c r="W23" s="12"/>
      <c r="X23" s="12"/>
      <c r="Y23" s="12">
        <f>P23+S23+U23+W23</f>
        <v>991.25</v>
      </c>
      <c r="Z23" s="12">
        <f>G23*0.01*13</f>
        <v>65</v>
      </c>
      <c r="AA23" s="12">
        <f>Z23/13</f>
        <v>5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>
      <c r="A24" s="21">
        <f>A23+1</f>
        <v>3</v>
      </c>
      <c r="B24" s="25" t="s">
        <v>82</v>
      </c>
      <c r="C24" s="25" t="s">
        <v>83</v>
      </c>
      <c r="D24" s="82" t="s">
        <v>78</v>
      </c>
      <c r="E24" s="83" t="s">
        <v>79</v>
      </c>
      <c r="F24" s="84" t="s">
        <v>47</v>
      </c>
      <c r="G24" s="26">
        <v>500</v>
      </c>
      <c r="H24" s="12">
        <f>G24*12</f>
        <v>6000</v>
      </c>
      <c r="I24" s="12">
        <v>60</v>
      </c>
      <c r="J24" s="12"/>
      <c r="K24" s="12">
        <f>G24</f>
        <v>500</v>
      </c>
      <c r="L24" s="12">
        <v>300</v>
      </c>
      <c r="M24" s="12"/>
      <c r="N24" s="24">
        <v>125</v>
      </c>
      <c r="O24" s="24"/>
      <c r="P24" s="12">
        <f>G24*0.0775*13</f>
        <v>503.75</v>
      </c>
      <c r="Q24" s="12">
        <f>P24/13</f>
        <v>38.75</v>
      </c>
      <c r="R24" s="12"/>
      <c r="S24" s="12"/>
      <c r="T24" s="12"/>
      <c r="U24" s="12">
        <f>G24*0.075*13</f>
        <v>487.5</v>
      </c>
      <c r="V24" s="12">
        <f>U24/13</f>
        <v>37.5</v>
      </c>
      <c r="W24" s="12"/>
      <c r="X24" s="12"/>
      <c r="Y24" s="12">
        <f>P24+S24+U24+W24</f>
        <v>991.25</v>
      </c>
      <c r="Z24" s="12">
        <f>G24*0.01*13</f>
        <v>65</v>
      </c>
      <c r="AA24" s="12">
        <f>Z24/13</f>
        <v>5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>
      <c r="A25" s="21">
        <f>A24+1</f>
        <v>4</v>
      </c>
      <c r="B25" s="27" t="s">
        <v>84</v>
      </c>
      <c r="C25" s="25" t="s">
        <v>85</v>
      </c>
      <c r="D25" s="82" t="s">
        <v>78</v>
      </c>
      <c r="E25" s="83" t="s">
        <v>79</v>
      </c>
      <c r="F25" s="84" t="s">
        <v>47</v>
      </c>
      <c r="G25" s="26">
        <f>467+30+50</f>
        <v>547</v>
      </c>
      <c r="H25" s="12">
        <f>G25*12</f>
        <v>6564</v>
      </c>
      <c r="I25" s="12">
        <v>60</v>
      </c>
      <c r="J25" s="12"/>
      <c r="K25" s="12">
        <f>G25</f>
        <v>547</v>
      </c>
      <c r="L25" s="12">
        <v>300</v>
      </c>
      <c r="M25" s="12"/>
      <c r="N25" s="24">
        <v>125</v>
      </c>
      <c r="O25" s="24"/>
      <c r="P25" s="12">
        <f>G25*0.0775*13</f>
        <v>551.10249999999996</v>
      </c>
      <c r="Q25" s="26">
        <f>P25/13</f>
        <v>42.392499999999998</v>
      </c>
      <c r="S25" s="12"/>
      <c r="T25" s="12"/>
      <c r="U25" s="12">
        <f>G25*0.075*13</f>
        <v>533.32499999999993</v>
      </c>
      <c r="V25" s="12">
        <f>U25/13</f>
        <v>41.024999999999991</v>
      </c>
      <c r="W25" s="12"/>
      <c r="X25" s="12"/>
      <c r="Y25" s="12">
        <f>P25+S25+U25+W25</f>
        <v>1084.4274999999998</v>
      </c>
      <c r="Z25" s="12">
        <f>G25*0.01*13</f>
        <v>71.11</v>
      </c>
      <c r="AA25" s="12">
        <f>Z25/13</f>
        <v>5.47</v>
      </c>
      <c r="AB25" s="12">
        <f>G25/30/7*1.5*45</f>
        <v>175.82142857142858</v>
      </c>
      <c r="AC25" s="12"/>
      <c r="AD25" s="12"/>
      <c r="AE25" s="12">
        <f>AB25*0.0775</f>
        <v>13.626160714285716</v>
      </c>
      <c r="AF25" s="12"/>
      <c r="AG25" s="12">
        <f>AB25*0.075</f>
        <v>13.186607142857143</v>
      </c>
      <c r="AH25" s="12"/>
      <c r="AI25" s="12">
        <f>AE25+AF25+AG25+AH25+0.01</f>
        <v>26.82276785714286</v>
      </c>
      <c r="AJ25" s="12">
        <f>AB25*0.01</f>
        <v>1.758214285714286</v>
      </c>
      <c r="AK25" s="12"/>
      <c r="AL25" s="12"/>
      <c r="AM25" s="12"/>
      <c r="AN25" s="12"/>
      <c r="AO25" s="12"/>
      <c r="AP25" s="12"/>
      <c r="AQ25" s="12"/>
    </row>
    <row r="26" spans="1:43">
      <c r="A26" s="28"/>
      <c r="B26" s="15"/>
      <c r="C26" s="85" t="s">
        <v>86</v>
      </c>
      <c r="D26" s="82"/>
      <c r="E26" s="83"/>
      <c r="F26" s="84"/>
      <c r="G26" s="86">
        <f t="shared" ref="G26:N26" si="8">SUM(G22:G25)</f>
        <v>5397</v>
      </c>
      <c r="H26" s="30">
        <f t="shared" si="8"/>
        <v>64764</v>
      </c>
      <c r="I26" s="30">
        <f t="shared" si="8"/>
        <v>240</v>
      </c>
      <c r="J26" s="30">
        <f t="shared" si="8"/>
        <v>4000</v>
      </c>
      <c r="K26" s="30">
        <f t="shared" si="8"/>
        <v>5397</v>
      </c>
      <c r="L26" s="30">
        <f t="shared" si="8"/>
        <v>1200</v>
      </c>
      <c r="M26" s="20">
        <f t="shared" si="8"/>
        <v>2000</v>
      </c>
      <c r="N26" s="31">
        <f t="shared" si="8"/>
        <v>500</v>
      </c>
      <c r="O26" s="31"/>
      <c r="P26" s="20">
        <f t="shared" ref="P26:V26" si="9">SUM(P22:P25)</f>
        <v>5437.4775</v>
      </c>
      <c r="Q26" s="20">
        <f t="shared" si="9"/>
        <v>379.51749999999998</v>
      </c>
      <c r="R26" s="20">
        <f t="shared" si="9"/>
        <v>38.75</v>
      </c>
      <c r="S26" s="12">
        <f t="shared" si="9"/>
        <v>0</v>
      </c>
      <c r="T26" s="12">
        <f t="shared" si="9"/>
        <v>0</v>
      </c>
      <c r="U26" s="20">
        <f t="shared" si="9"/>
        <v>2483.3249999999998</v>
      </c>
      <c r="V26" s="20">
        <f t="shared" si="9"/>
        <v>191.02499999999998</v>
      </c>
      <c r="W26" s="12"/>
      <c r="X26" s="12"/>
      <c r="Y26" s="20">
        <f>SUM(Y22:Y25)+0.01</f>
        <v>7920.8125</v>
      </c>
      <c r="Z26" s="20">
        <f>SUM(Z22:Z25)</f>
        <v>331.11</v>
      </c>
      <c r="AA26" s="20">
        <f>SUM(AA22:AA25)</f>
        <v>25.47</v>
      </c>
      <c r="AB26" s="20">
        <f>SUM(AB22:AB25)</f>
        <v>175.82142857142858</v>
      </c>
      <c r="AC26" s="12"/>
      <c r="AD26" s="12"/>
      <c r="AE26" s="20">
        <f>SUM(AE22:AE25)</f>
        <v>13.626160714285716</v>
      </c>
      <c r="AF26" s="12"/>
      <c r="AG26" s="20">
        <f>SUM(AG22:AG25)</f>
        <v>13.186607142857143</v>
      </c>
      <c r="AH26" s="12"/>
      <c r="AI26" s="20">
        <f>SUM(AI22:AI25)</f>
        <v>26.82276785714286</v>
      </c>
      <c r="AJ26" s="20">
        <f>SUM(AJ22:AJ25)</f>
        <v>1.758214285714286</v>
      </c>
      <c r="AK26" s="20"/>
      <c r="AL26" s="20"/>
      <c r="AM26" s="20"/>
      <c r="AN26" s="20"/>
      <c r="AO26" s="20"/>
      <c r="AP26" s="20"/>
      <c r="AQ26" s="20"/>
    </row>
    <row r="27" spans="1:43" ht="31.5" customHeight="1">
      <c r="A27" s="21">
        <f>A25+1</f>
        <v>5</v>
      </c>
      <c r="B27" s="25" t="s">
        <v>87</v>
      </c>
      <c r="C27" s="25" t="s">
        <v>88</v>
      </c>
      <c r="D27" s="82" t="s">
        <v>89</v>
      </c>
      <c r="E27" s="83" t="s">
        <v>79</v>
      </c>
      <c r="F27" s="84" t="s">
        <v>47</v>
      </c>
      <c r="G27" s="26">
        <v>700</v>
      </c>
      <c r="H27" s="32">
        <f>G27*12</f>
        <v>8400</v>
      </c>
      <c r="I27" s="32">
        <v>60</v>
      </c>
      <c r="J27" s="32"/>
      <c r="K27" s="32">
        <f>G27</f>
        <v>700</v>
      </c>
      <c r="L27" s="32">
        <v>300</v>
      </c>
      <c r="M27" s="26"/>
      <c r="N27" s="33">
        <v>125</v>
      </c>
      <c r="O27" s="33"/>
      <c r="P27" s="26">
        <f>G27*0.0775*13</f>
        <v>705.25</v>
      </c>
      <c r="Q27" s="34">
        <f>P27/13</f>
        <v>54.25</v>
      </c>
      <c r="R27" s="26"/>
      <c r="S27" s="26"/>
      <c r="T27" s="26"/>
      <c r="U27" s="26">
        <f>G27*0.075*13</f>
        <v>682.5</v>
      </c>
      <c r="V27" s="26">
        <f>U27/13</f>
        <v>52.5</v>
      </c>
      <c r="W27" s="26"/>
      <c r="X27" s="26"/>
      <c r="Y27" s="26">
        <f>P27+S27+U27+W27</f>
        <v>1387.75</v>
      </c>
      <c r="Z27" s="26">
        <f>G27*0.01*13</f>
        <v>91</v>
      </c>
      <c r="AA27" s="26">
        <f>Z27/13</f>
        <v>7</v>
      </c>
      <c r="AB27" s="26"/>
      <c r="AC27" s="26"/>
      <c r="AD27" s="26"/>
      <c r="AE27" s="26"/>
      <c r="AF27" s="26"/>
      <c r="AG27" s="26"/>
      <c r="AH27" s="26"/>
      <c r="AI27" s="26"/>
      <c r="AJ27" s="12"/>
      <c r="AK27" s="12"/>
      <c r="AL27" s="12"/>
      <c r="AM27" s="12"/>
      <c r="AN27" s="12"/>
      <c r="AO27" s="12"/>
      <c r="AP27" s="12"/>
      <c r="AQ27" s="12"/>
    </row>
    <row r="28" spans="1:43" ht="24">
      <c r="A28" s="21">
        <f>A27+1</f>
        <v>6</v>
      </c>
      <c r="B28" s="45" t="s">
        <v>90</v>
      </c>
      <c r="C28" s="56" t="s">
        <v>91</v>
      </c>
      <c r="D28" s="82" t="s">
        <v>89</v>
      </c>
      <c r="E28" s="83" t="s">
        <v>79</v>
      </c>
      <c r="F28" s="84" t="s">
        <v>47</v>
      </c>
      <c r="G28" s="26">
        <f>547</f>
        <v>547</v>
      </c>
      <c r="H28" s="32">
        <f>G28*12</f>
        <v>6564</v>
      </c>
      <c r="I28" s="32">
        <v>60</v>
      </c>
      <c r="J28" s="32"/>
      <c r="K28" s="32">
        <f>G28</f>
        <v>547</v>
      </c>
      <c r="L28" s="32">
        <v>300</v>
      </c>
      <c r="M28" s="12"/>
      <c r="N28" s="24">
        <v>125</v>
      </c>
      <c r="O28" s="24"/>
      <c r="P28" s="12">
        <f>G28*0.0775*13</f>
        <v>551.10249999999996</v>
      </c>
      <c r="Q28" s="34">
        <f>P28/13</f>
        <v>42.392499999999998</v>
      </c>
      <c r="R28" s="12"/>
      <c r="S28" s="12"/>
      <c r="T28" s="12"/>
      <c r="U28" s="12">
        <f>G28*0.075*13</f>
        <v>533.32499999999993</v>
      </c>
      <c r="V28" s="12">
        <f>U28/13</f>
        <v>41.024999999999991</v>
      </c>
      <c r="W28" s="12"/>
      <c r="X28" s="12"/>
      <c r="Y28" s="12">
        <f>P28+S28+U28+W28</f>
        <v>1084.4274999999998</v>
      </c>
      <c r="Z28" s="12">
        <f>G28*0.01*13</f>
        <v>71.11</v>
      </c>
      <c r="AA28" s="12">
        <f>Z28/13</f>
        <v>5.47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ht="24">
      <c r="A29" s="21">
        <f>A28+1</f>
        <v>7</v>
      </c>
      <c r="B29" s="15" t="s">
        <v>92</v>
      </c>
      <c r="C29" s="56" t="s">
        <v>93</v>
      </c>
      <c r="D29" s="82" t="s">
        <v>89</v>
      </c>
      <c r="E29" s="83" t="s">
        <v>79</v>
      </c>
      <c r="F29" s="84" t="s">
        <v>47</v>
      </c>
      <c r="G29" s="26">
        <f>547</f>
        <v>547</v>
      </c>
      <c r="H29" s="32">
        <f>G29*12</f>
        <v>6564</v>
      </c>
      <c r="I29" s="32">
        <v>60</v>
      </c>
      <c r="J29" s="32"/>
      <c r="K29" s="32">
        <f>G29</f>
        <v>547</v>
      </c>
      <c r="L29" s="32">
        <v>300</v>
      </c>
      <c r="M29" s="12"/>
      <c r="N29" s="24">
        <v>125</v>
      </c>
      <c r="O29" s="24"/>
      <c r="P29" s="12">
        <f>G29*0.0775*13</f>
        <v>551.10249999999996</v>
      </c>
      <c r="Q29" s="34">
        <f>P29/13</f>
        <v>42.392499999999998</v>
      </c>
      <c r="R29" s="12"/>
      <c r="S29" s="12"/>
      <c r="T29" s="12"/>
      <c r="U29" s="12">
        <f>G29*0.075*13</f>
        <v>533.32499999999993</v>
      </c>
      <c r="V29" s="12">
        <f>U29/13</f>
        <v>41.024999999999991</v>
      </c>
      <c r="W29" s="12"/>
      <c r="X29" s="12"/>
      <c r="Y29" s="12">
        <f>P29+S29+U29+W29</f>
        <v>1084.4274999999998</v>
      </c>
      <c r="Z29" s="12">
        <f>G29*0.01*13</f>
        <v>71.11</v>
      </c>
      <c r="AA29" s="12">
        <f>Z29/13</f>
        <v>5.47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>
      <c r="A30" s="21"/>
      <c r="B30" s="35"/>
      <c r="C30" s="85" t="s">
        <v>94</v>
      </c>
      <c r="D30" s="82"/>
      <c r="E30" s="83"/>
      <c r="F30" s="84"/>
      <c r="G30" s="86">
        <f>SUM(G27:G29)</f>
        <v>1794</v>
      </c>
      <c r="H30" s="30">
        <f>SUM(H27:H29)</f>
        <v>21528</v>
      </c>
      <c r="I30" s="30">
        <f>SUM(I27:I29)</f>
        <v>180</v>
      </c>
      <c r="J30" s="30">
        <f>SUM(J29)</f>
        <v>0</v>
      </c>
      <c r="K30" s="30">
        <f>SUM(K27:K29)</f>
        <v>1794</v>
      </c>
      <c r="L30" s="30">
        <f>SUM(L27:L29)</f>
        <v>900</v>
      </c>
      <c r="M30" s="20">
        <f>SUM(M29)</f>
        <v>0</v>
      </c>
      <c r="N30" s="20">
        <f>SUM(N27:N29)</f>
        <v>375</v>
      </c>
      <c r="O30" s="20">
        <f>SUM(O29)</f>
        <v>0</v>
      </c>
      <c r="P30" s="20">
        <f>SUM(P27:P29)-0.01</f>
        <v>1807.4449999999999</v>
      </c>
      <c r="Q30" s="20">
        <f>SUM(Q27:Q29)-0.01</f>
        <v>139.02500000000001</v>
      </c>
      <c r="R30" s="20">
        <f>SUM(R27:R29)</f>
        <v>0</v>
      </c>
      <c r="S30" s="20">
        <f>SUM(S27:S29)</f>
        <v>0</v>
      </c>
      <c r="T30" s="20">
        <f>SUM(T27:T29)</f>
        <v>0</v>
      </c>
      <c r="U30" s="20">
        <f>SUM(U27:U29)+0.01</f>
        <v>1749.1599999999996</v>
      </c>
      <c r="V30" s="20">
        <f>SUM(V27:V29)+0.01</f>
        <v>134.55999999999997</v>
      </c>
      <c r="W30" s="20">
        <f>SUM(W29)</f>
        <v>0</v>
      </c>
      <c r="X30" s="20">
        <f>SUM(X29)</f>
        <v>0</v>
      </c>
      <c r="Y30" s="20">
        <f>SUM(Y27:Y29)</f>
        <v>3556.6049999999996</v>
      </c>
      <c r="Z30" s="20">
        <f>SUM(Z27:Z29)</f>
        <v>233.22000000000003</v>
      </c>
      <c r="AA30" s="20">
        <f>SUM(AA27:AA29)</f>
        <v>17.939999999999998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20"/>
      <c r="AN30" s="20"/>
      <c r="AO30" s="20"/>
      <c r="AP30" s="12"/>
      <c r="AQ30" s="12"/>
    </row>
    <row r="31" spans="1:43" ht="24">
      <c r="A31" s="21">
        <f>A29+1</f>
        <v>8</v>
      </c>
      <c r="B31" s="27" t="s">
        <v>95</v>
      </c>
      <c r="C31" s="25" t="s">
        <v>96</v>
      </c>
      <c r="D31" s="82" t="s">
        <v>97</v>
      </c>
      <c r="E31" s="83" t="s">
        <v>79</v>
      </c>
      <c r="F31" s="84" t="s">
        <v>47</v>
      </c>
      <c r="G31" s="26">
        <f>467+30+50</f>
        <v>547</v>
      </c>
      <c r="H31" s="32">
        <f>G31*12</f>
        <v>6564</v>
      </c>
      <c r="I31" s="32">
        <v>60</v>
      </c>
      <c r="J31" s="36"/>
      <c r="K31" s="32">
        <f>G31</f>
        <v>547</v>
      </c>
      <c r="L31" s="32">
        <v>300</v>
      </c>
      <c r="M31" s="37"/>
      <c r="N31" s="24">
        <v>125</v>
      </c>
      <c r="O31" s="24"/>
      <c r="P31" s="12">
        <f>G31*0.0775*13</f>
        <v>551.10249999999996</v>
      </c>
      <c r="Q31" s="9">
        <f>P31/13</f>
        <v>42.392499999999998</v>
      </c>
      <c r="R31" s="12"/>
      <c r="S31" s="12"/>
      <c r="T31" s="12"/>
      <c r="U31" s="12">
        <f>G31*0.075*13</f>
        <v>533.32499999999993</v>
      </c>
      <c r="V31" s="12">
        <f>U31/13</f>
        <v>41.024999999999991</v>
      </c>
      <c r="W31" s="12"/>
      <c r="X31" s="12"/>
      <c r="Y31" s="12">
        <f>P31+S31+U31+W31</f>
        <v>1084.4274999999998</v>
      </c>
      <c r="Z31" s="12">
        <f>G31*0.01*13</f>
        <v>71.11</v>
      </c>
      <c r="AA31" s="12">
        <f>Z31/13</f>
        <v>5.47</v>
      </c>
      <c r="AB31" s="38"/>
      <c r="AC31" s="38"/>
      <c r="AD31" s="38"/>
      <c r="AE31" s="38"/>
      <c r="AF31" s="37"/>
      <c r="AG31" s="38"/>
      <c r="AH31" s="37"/>
      <c r="AI31" s="12"/>
      <c r="AJ31" s="38"/>
      <c r="AK31" s="38"/>
      <c r="AL31" s="38"/>
      <c r="AM31" s="12"/>
      <c r="AN31" s="12"/>
      <c r="AO31" s="12"/>
      <c r="AP31" s="38"/>
      <c r="AQ31" s="37"/>
    </row>
    <row r="32" spans="1:43">
      <c r="A32" s="21"/>
      <c r="B32" s="35"/>
      <c r="C32" s="85" t="s">
        <v>98</v>
      </c>
      <c r="D32" s="82"/>
      <c r="E32" s="83"/>
      <c r="F32" s="84"/>
      <c r="G32" s="86">
        <f>SUM(G31)</f>
        <v>547</v>
      </c>
      <c r="H32" s="30">
        <f>SUM(H31)</f>
        <v>6564</v>
      </c>
      <c r="I32" s="30">
        <f>SUM(I31)</f>
        <v>60</v>
      </c>
      <c r="J32" s="36"/>
      <c r="K32" s="30">
        <f>SUM(K31)</f>
        <v>547</v>
      </c>
      <c r="L32" s="30">
        <f>SUM(L31)</f>
        <v>300</v>
      </c>
      <c r="M32" s="37"/>
      <c r="N32" s="31">
        <f>SUM(N31)</f>
        <v>125</v>
      </c>
      <c r="O32" s="31"/>
      <c r="P32" s="20">
        <f>SUM(P31)</f>
        <v>551.10249999999996</v>
      </c>
      <c r="Q32" s="20">
        <f>SUM(Q31)</f>
        <v>42.392499999999998</v>
      </c>
      <c r="R32" s="20">
        <f>SUM(R31)</f>
        <v>0</v>
      </c>
      <c r="S32" s="12">
        <f>SUM(S31)</f>
        <v>0</v>
      </c>
      <c r="T32" s="12"/>
      <c r="U32" s="20">
        <f>SUM(U31)</f>
        <v>533.32499999999993</v>
      </c>
      <c r="V32" s="20">
        <f>SUM(V31)</f>
        <v>41.024999999999991</v>
      </c>
      <c r="W32" s="12"/>
      <c r="X32" s="12"/>
      <c r="Y32" s="20">
        <f>SUM(Y31)</f>
        <v>1084.4274999999998</v>
      </c>
      <c r="Z32" s="20">
        <f>SUM(Z31)</f>
        <v>71.11</v>
      </c>
      <c r="AA32" s="20">
        <f>AA31</f>
        <v>5.47</v>
      </c>
      <c r="AB32" s="38"/>
      <c r="AC32" s="38"/>
      <c r="AD32" s="38"/>
      <c r="AE32" s="38"/>
      <c r="AF32" s="37"/>
      <c r="AG32" s="38"/>
      <c r="AH32" s="37"/>
      <c r="AI32" s="12"/>
      <c r="AJ32" s="38"/>
      <c r="AK32" s="38"/>
      <c r="AL32" s="38"/>
      <c r="AM32" s="39"/>
      <c r="AN32" s="39"/>
      <c r="AO32" s="39"/>
      <c r="AP32" s="38"/>
      <c r="AQ32" s="37"/>
    </row>
    <row r="33" spans="1:43" ht="50.25" customHeight="1">
      <c r="A33" s="21">
        <f>A31+1</f>
        <v>9</v>
      </c>
      <c r="B33" s="27" t="s">
        <v>99</v>
      </c>
      <c r="C33" s="25" t="s">
        <v>100</v>
      </c>
      <c r="D33" s="87" t="s">
        <v>101</v>
      </c>
      <c r="E33" s="83" t="s">
        <v>79</v>
      </c>
      <c r="F33" s="84" t="s">
        <v>47</v>
      </c>
      <c r="G33" s="26">
        <v>650</v>
      </c>
      <c r="H33" s="32">
        <f>G33*12</f>
        <v>7800</v>
      </c>
      <c r="I33" s="32">
        <v>60</v>
      </c>
      <c r="J33" s="36"/>
      <c r="K33" s="32">
        <f>G33</f>
        <v>650</v>
      </c>
      <c r="L33" s="32">
        <v>300</v>
      </c>
      <c r="M33" s="37"/>
      <c r="N33" s="24">
        <v>125</v>
      </c>
      <c r="O33" s="24"/>
      <c r="P33" s="12">
        <f>G33*0.0775*13</f>
        <v>654.875</v>
      </c>
      <c r="Q33" s="40"/>
      <c r="R33" s="12">
        <f>P33/13</f>
        <v>50.375</v>
      </c>
      <c r="S33" s="12"/>
      <c r="T33" s="12"/>
      <c r="U33" s="12">
        <f>G33*0.075*13</f>
        <v>633.75</v>
      </c>
      <c r="V33" s="12">
        <f>U33/13</f>
        <v>48.75</v>
      </c>
      <c r="W33" s="12"/>
      <c r="X33" s="12"/>
      <c r="Y33" s="12">
        <f>P33+S33+U33+W33</f>
        <v>1288.625</v>
      </c>
      <c r="Z33" s="12">
        <f>G33*0.01*13</f>
        <v>84.5</v>
      </c>
      <c r="AA33" s="12">
        <f t="shared" ref="AA33:AA40" si="10">Z33/13</f>
        <v>6.5</v>
      </c>
      <c r="AB33" s="38"/>
      <c r="AC33" s="38"/>
      <c r="AD33" s="38"/>
      <c r="AE33" s="38"/>
      <c r="AF33" s="37"/>
      <c r="AG33" s="38"/>
      <c r="AH33" s="37"/>
      <c r="AI33" s="12"/>
      <c r="AJ33" s="38"/>
      <c r="AK33" s="38"/>
      <c r="AL33" s="38"/>
      <c r="AM33" s="12"/>
      <c r="AN33" s="12"/>
      <c r="AO33" s="12"/>
      <c r="AP33" s="38"/>
      <c r="AQ33" s="37"/>
    </row>
    <row r="34" spans="1:43" ht="31.8">
      <c r="A34" s="21">
        <f>A33+1</f>
        <v>10</v>
      </c>
      <c r="B34" s="27" t="s">
        <v>102</v>
      </c>
      <c r="C34" s="25" t="s">
        <v>103</v>
      </c>
      <c r="D34" s="87" t="s">
        <v>101</v>
      </c>
      <c r="E34" s="83" t="s">
        <v>79</v>
      </c>
      <c r="F34" s="84" t="s">
        <v>47</v>
      </c>
      <c r="G34" s="26">
        <f>547+30+50</f>
        <v>627</v>
      </c>
      <c r="H34" s="32">
        <f>G34*12</f>
        <v>7524</v>
      </c>
      <c r="I34" s="32">
        <v>60</v>
      </c>
      <c r="J34" s="36"/>
      <c r="K34" s="32">
        <f>G34</f>
        <v>627</v>
      </c>
      <c r="L34" s="32">
        <v>300</v>
      </c>
      <c r="M34" s="37"/>
      <c r="N34" s="24">
        <v>125</v>
      </c>
      <c r="O34" s="24"/>
      <c r="P34" s="12">
        <f>G34*0.0775*13</f>
        <v>631.70249999999999</v>
      </c>
      <c r="Q34" s="9">
        <f>P34/13</f>
        <v>48.592500000000001</v>
      </c>
      <c r="R34" s="12"/>
      <c r="S34" s="12"/>
      <c r="T34" s="12"/>
      <c r="U34" s="12">
        <f>G34*0.075*13</f>
        <v>611.32499999999993</v>
      </c>
      <c r="V34" s="12">
        <f>U34/13</f>
        <v>47.024999999999991</v>
      </c>
      <c r="W34" s="12"/>
      <c r="X34" s="12"/>
      <c r="Y34" s="12">
        <f>P34+S34+U34+W34</f>
        <v>1243.0274999999999</v>
      </c>
      <c r="Z34" s="12">
        <f>G34*0.01*13</f>
        <v>81.510000000000005</v>
      </c>
      <c r="AA34" s="12">
        <f t="shared" si="10"/>
        <v>6.2700000000000005</v>
      </c>
      <c r="AB34" s="38"/>
      <c r="AC34" s="38"/>
      <c r="AD34" s="38"/>
      <c r="AE34" s="38"/>
      <c r="AF34" s="37"/>
      <c r="AG34" s="38"/>
      <c r="AH34" s="37"/>
      <c r="AI34" s="12"/>
      <c r="AJ34" s="38"/>
      <c r="AK34" s="38"/>
      <c r="AL34" s="38"/>
      <c r="AM34" s="12"/>
      <c r="AN34" s="12"/>
      <c r="AO34" s="12"/>
      <c r="AP34" s="38"/>
      <c r="AQ34" s="37"/>
    </row>
    <row r="35" spans="1:43">
      <c r="A35" s="21"/>
      <c r="B35" s="27"/>
      <c r="C35" s="85" t="s">
        <v>619</v>
      </c>
      <c r="D35" s="87"/>
      <c r="E35" s="83"/>
      <c r="F35" s="84"/>
      <c r="G35" s="86">
        <f>SUM(G33:G34)</f>
        <v>1277</v>
      </c>
      <c r="H35" s="86">
        <f t="shared" ref="H35:AQ35" si="11">SUM(H33:H34)</f>
        <v>15324</v>
      </c>
      <c r="I35" s="86">
        <f t="shared" si="11"/>
        <v>120</v>
      </c>
      <c r="J35" s="86">
        <f t="shared" si="11"/>
        <v>0</v>
      </c>
      <c r="K35" s="86">
        <f t="shared" si="11"/>
        <v>1277</v>
      </c>
      <c r="L35" s="86">
        <f t="shared" si="11"/>
        <v>600</v>
      </c>
      <c r="M35" s="86">
        <f t="shared" si="11"/>
        <v>0</v>
      </c>
      <c r="N35" s="86">
        <f t="shared" si="11"/>
        <v>250</v>
      </c>
      <c r="O35" s="86">
        <f t="shared" si="11"/>
        <v>0</v>
      </c>
      <c r="P35" s="86">
        <f t="shared" si="11"/>
        <v>1286.5774999999999</v>
      </c>
      <c r="Q35" s="86">
        <f t="shared" si="11"/>
        <v>48.592500000000001</v>
      </c>
      <c r="R35" s="86">
        <f t="shared" si="11"/>
        <v>50.375</v>
      </c>
      <c r="S35" s="86">
        <f t="shared" si="11"/>
        <v>0</v>
      </c>
      <c r="T35" s="86">
        <f t="shared" si="11"/>
        <v>0</v>
      </c>
      <c r="U35" s="86">
        <f t="shared" si="11"/>
        <v>1245.0749999999998</v>
      </c>
      <c r="V35" s="86">
        <f t="shared" si="11"/>
        <v>95.774999999999991</v>
      </c>
      <c r="W35" s="86">
        <f t="shared" si="11"/>
        <v>0</v>
      </c>
      <c r="X35" s="86">
        <f t="shared" si="11"/>
        <v>0</v>
      </c>
      <c r="Y35" s="86">
        <f t="shared" si="11"/>
        <v>2531.6525000000001</v>
      </c>
      <c r="Z35" s="86">
        <f t="shared" si="11"/>
        <v>166.01</v>
      </c>
      <c r="AA35" s="86">
        <f t="shared" si="11"/>
        <v>12.77</v>
      </c>
      <c r="AB35" s="86">
        <f t="shared" si="11"/>
        <v>0</v>
      </c>
      <c r="AC35" s="86">
        <f t="shared" si="11"/>
        <v>0</v>
      </c>
      <c r="AD35" s="86">
        <f t="shared" si="11"/>
        <v>0</v>
      </c>
      <c r="AE35" s="86">
        <f t="shared" si="11"/>
        <v>0</v>
      </c>
      <c r="AF35" s="86">
        <f t="shared" si="11"/>
        <v>0</v>
      </c>
      <c r="AG35" s="86">
        <f t="shared" si="11"/>
        <v>0</v>
      </c>
      <c r="AH35" s="86">
        <f t="shared" si="11"/>
        <v>0</v>
      </c>
      <c r="AI35" s="86">
        <f t="shared" si="11"/>
        <v>0</v>
      </c>
      <c r="AJ35" s="86">
        <f t="shared" si="11"/>
        <v>0</v>
      </c>
      <c r="AK35" s="86">
        <f t="shared" si="11"/>
        <v>0</v>
      </c>
      <c r="AL35" s="86">
        <f t="shared" si="11"/>
        <v>0</v>
      </c>
      <c r="AM35" s="86">
        <f t="shared" si="11"/>
        <v>0</v>
      </c>
      <c r="AN35" s="86">
        <f t="shared" si="11"/>
        <v>0</v>
      </c>
      <c r="AO35" s="86">
        <f t="shared" si="11"/>
        <v>0</v>
      </c>
      <c r="AP35" s="86">
        <f t="shared" si="11"/>
        <v>0</v>
      </c>
      <c r="AQ35" s="86">
        <f t="shared" si="11"/>
        <v>0</v>
      </c>
    </row>
    <row r="36" spans="1:43" ht="31.8">
      <c r="A36" s="21">
        <f>A34+1</f>
        <v>11</v>
      </c>
      <c r="B36" s="45" t="s">
        <v>104</v>
      </c>
      <c r="C36" s="25" t="s">
        <v>105</v>
      </c>
      <c r="D36" s="87" t="s">
        <v>101</v>
      </c>
      <c r="E36" s="83" t="s">
        <v>79</v>
      </c>
      <c r="F36" s="88" t="s">
        <v>47</v>
      </c>
      <c r="G36" s="26">
        <v>417</v>
      </c>
      <c r="H36" s="32">
        <f>G36*12</f>
        <v>5004</v>
      </c>
      <c r="I36" s="32">
        <v>60</v>
      </c>
      <c r="J36" s="36"/>
      <c r="K36" s="32">
        <f>G36</f>
        <v>417</v>
      </c>
      <c r="L36" s="32">
        <v>300</v>
      </c>
      <c r="M36" s="37"/>
      <c r="N36" s="24">
        <v>125</v>
      </c>
      <c r="O36" s="24"/>
      <c r="P36" s="12">
        <f>G36*0.0775*13</f>
        <v>420.12750000000005</v>
      </c>
      <c r="Q36" s="9"/>
      <c r="R36" s="12">
        <f>P36/13</f>
        <v>32.317500000000003</v>
      </c>
      <c r="S36" s="37"/>
      <c r="T36" s="37"/>
      <c r="U36" s="12">
        <f>G36*0.075*13</f>
        <v>406.57499999999999</v>
      </c>
      <c r="V36" s="12">
        <f>U36/13</f>
        <v>31.274999999999999</v>
      </c>
      <c r="W36" s="37"/>
      <c r="X36" s="37"/>
      <c r="Y36" s="12">
        <f>P36+S36+U36+W36+0.01</f>
        <v>826.71250000000009</v>
      </c>
      <c r="Z36" s="12">
        <f>G36*0.01*13</f>
        <v>54.21</v>
      </c>
      <c r="AA36" s="12">
        <f t="shared" si="10"/>
        <v>4.17</v>
      </c>
      <c r="AB36" s="38"/>
      <c r="AC36" s="38"/>
      <c r="AD36" s="38"/>
      <c r="AE36" s="38"/>
      <c r="AF36" s="37"/>
      <c r="AG36" s="38"/>
      <c r="AH36" s="37"/>
      <c r="AI36" s="12"/>
      <c r="AJ36" s="38"/>
      <c r="AK36" s="38"/>
      <c r="AL36" s="38"/>
      <c r="AM36" s="12"/>
      <c r="AN36" s="12"/>
      <c r="AO36" s="12"/>
      <c r="AP36" s="38"/>
      <c r="AQ36" s="37"/>
    </row>
    <row r="37" spans="1:43">
      <c r="A37" s="21"/>
      <c r="B37" s="25"/>
      <c r="C37" s="85" t="s">
        <v>106</v>
      </c>
      <c r="D37" s="89"/>
      <c r="E37" s="83"/>
      <c r="F37" s="90"/>
      <c r="G37" s="86">
        <f>SUM(G36)</f>
        <v>417</v>
      </c>
      <c r="H37" s="86">
        <f t="shared" ref="H37:AQ37" si="12">SUM(H36)</f>
        <v>5004</v>
      </c>
      <c r="I37" s="86">
        <f t="shared" si="12"/>
        <v>60</v>
      </c>
      <c r="J37" s="86">
        <f t="shared" si="12"/>
        <v>0</v>
      </c>
      <c r="K37" s="86">
        <f t="shared" si="12"/>
        <v>417</v>
      </c>
      <c r="L37" s="86">
        <f t="shared" si="12"/>
        <v>300</v>
      </c>
      <c r="M37" s="86">
        <f t="shared" si="12"/>
        <v>0</v>
      </c>
      <c r="N37" s="86">
        <f t="shared" si="12"/>
        <v>125</v>
      </c>
      <c r="O37" s="86">
        <f t="shared" si="12"/>
        <v>0</v>
      </c>
      <c r="P37" s="86">
        <f t="shared" si="12"/>
        <v>420.12750000000005</v>
      </c>
      <c r="Q37" s="86">
        <f t="shared" si="12"/>
        <v>0</v>
      </c>
      <c r="R37" s="86">
        <f t="shared" si="12"/>
        <v>32.317500000000003</v>
      </c>
      <c r="S37" s="86">
        <f t="shared" si="12"/>
        <v>0</v>
      </c>
      <c r="T37" s="86">
        <f t="shared" si="12"/>
        <v>0</v>
      </c>
      <c r="U37" s="86">
        <f t="shared" si="12"/>
        <v>406.57499999999999</v>
      </c>
      <c r="V37" s="86">
        <f t="shared" si="12"/>
        <v>31.274999999999999</v>
      </c>
      <c r="W37" s="86">
        <f t="shared" si="12"/>
        <v>0</v>
      </c>
      <c r="X37" s="86">
        <f t="shared" si="12"/>
        <v>0</v>
      </c>
      <c r="Y37" s="86">
        <f t="shared" si="12"/>
        <v>826.71250000000009</v>
      </c>
      <c r="Z37" s="86">
        <f t="shared" si="12"/>
        <v>54.21</v>
      </c>
      <c r="AA37" s="86">
        <f t="shared" si="12"/>
        <v>4.17</v>
      </c>
      <c r="AB37" s="86">
        <f t="shared" si="12"/>
        <v>0</v>
      </c>
      <c r="AC37" s="86">
        <f t="shared" si="12"/>
        <v>0</v>
      </c>
      <c r="AD37" s="86">
        <f t="shared" si="12"/>
        <v>0</v>
      </c>
      <c r="AE37" s="86">
        <f t="shared" si="12"/>
        <v>0</v>
      </c>
      <c r="AF37" s="86">
        <f t="shared" si="12"/>
        <v>0</v>
      </c>
      <c r="AG37" s="86">
        <f t="shared" si="12"/>
        <v>0</v>
      </c>
      <c r="AH37" s="86">
        <f t="shared" si="12"/>
        <v>0</v>
      </c>
      <c r="AI37" s="86">
        <f t="shared" si="12"/>
        <v>0</v>
      </c>
      <c r="AJ37" s="86">
        <f t="shared" si="12"/>
        <v>0</v>
      </c>
      <c r="AK37" s="86">
        <f t="shared" si="12"/>
        <v>0</v>
      </c>
      <c r="AL37" s="86">
        <f t="shared" si="12"/>
        <v>0</v>
      </c>
      <c r="AM37" s="86">
        <f t="shared" si="12"/>
        <v>0</v>
      </c>
      <c r="AN37" s="86">
        <f t="shared" si="12"/>
        <v>0</v>
      </c>
      <c r="AO37" s="86">
        <f t="shared" si="12"/>
        <v>0</v>
      </c>
      <c r="AP37" s="86">
        <f t="shared" si="12"/>
        <v>0</v>
      </c>
      <c r="AQ37" s="86">
        <f t="shared" si="12"/>
        <v>0</v>
      </c>
    </row>
    <row r="38" spans="1:43">
      <c r="A38" s="21">
        <f>A36+1</f>
        <v>12</v>
      </c>
      <c r="B38" s="57" t="s">
        <v>107</v>
      </c>
      <c r="C38" s="25" t="s">
        <v>108</v>
      </c>
      <c r="D38" s="82" t="s">
        <v>108</v>
      </c>
      <c r="E38" s="83" t="s">
        <v>79</v>
      </c>
      <c r="F38" s="84" t="s">
        <v>47</v>
      </c>
      <c r="G38" s="26">
        <v>1500</v>
      </c>
      <c r="H38" s="32">
        <f>G38*12</f>
        <v>18000</v>
      </c>
      <c r="I38" s="32">
        <v>60</v>
      </c>
      <c r="J38" s="32"/>
      <c r="K38" s="32">
        <f>G38</f>
        <v>1500</v>
      </c>
      <c r="L38" s="32">
        <v>300</v>
      </c>
      <c r="M38" s="12">
        <v>1145</v>
      </c>
      <c r="N38" s="24">
        <v>125</v>
      </c>
      <c r="O38" s="24"/>
      <c r="P38" s="12">
        <f>G38*0.0775*13</f>
        <v>1511.25</v>
      </c>
      <c r="Q38" s="9">
        <f>P38/13</f>
        <v>116.25</v>
      </c>
      <c r="R38" s="12"/>
      <c r="S38" s="12"/>
      <c r="T38" s="12"/>
      <c r="U38" s="12">
        <f>75*13</f>
        <v>975</v>
      </c>
      <c r="V38" s="12">
        <f>U38/13</f>
        <v>75</v>
      </c>
      <c r="W38" s="12"/>
      <c r="X38" s="12"/>
      <c r="Y38" s="12">
        <f>P38+S38+U38+W38</f>
        <v>2486.25</v>
      </c>
      <c r="Z38" s="12">
        <f>10*13</f>
        <v>130</v>
      </c>
      <c r="AA38" s="12">
        <f t="shared" si="10"/>
        <v>10</v>
      </c>
      <c r="AB38" s="12">
        <f>G38/30/8*1.5*45</f>
        <v>421.875</v>
      </c>
      <c r="AC38" s="12">
        <v>192.86</v>
      </c>
      <c r="AD38" s="12">
        <f>AB38-AC38</f>
        <v>229.01499999999999</v>
      </c>
      <c r="AE38" s="12">
        <f>AB38*0.0775</f>
        <v>32.6953125</v>
      </c>
      <c r="AF38" s="12"/>
      <c r="AG38" s="12">
        <f>AB38*0.075</f>
        <v>31.640625</v>
      </c>
      <c r="AH38" s="12"/>
      <c r="AI38" s="12">
        <f>AE38+AF38+AG38+AH38+0.01</f>
        <v>64.345937500000005</v>
      </c>
      <c r="AJ38" s="12">
        <f>AB38*0.01</f>
        <v>4.21875</v>
      </c>
      <c r="AK38" s="12"/>
      <c r="AL38" s="12"/>
      <c r="AM38" s="12"/>
      <c r="AN38" s="12"/>
      <c r="AO38" s="12"/>
      <c r="AP38" s="12"/>
      <c r="AQ38" s="12"/>
    </row>
    <row r="39" spans="1:43">
      <c r="A39" s="21">
        <f>A38+1</f>
        <v>13</v>
      </c>
      <c r="B39" s="27" t="s">
        <v>109</v>
      </c>
      <c r="C39" s="25" t="s">
        <v>110</v>
      </c>
      <c r="D39" s="82" t="s">
        <v>108</v>
      </c>
      <c r="E39" s="83" t="s">
        <v>79</v>
      </c>
      <c r="F39" s="84" t="s">
        <v>47</v>
      </c>
      <c r="G39" s="26">
        <f>945+30+50</f>
        <v>1025</v>
      </c>
      <c r="H39" s="32">
        <f>G39*12</f>
        <v>12300</v>
      </c>
      <c r="I39" s="32">
        <v>60</v>
      </c>
      <c r="J39" s="32"/>
      <c r="K39" s="32">
        <f>G39</f>
        <v>1025</v>
      </c>
      <c r="L39" s="32">
        <v>300</v>
      </c>
      <c r="M39" s="26"/>
      <c r="N39" s="33">
        <v>125</v>
      </c>
      <c r="O39" s="33"/>
      <c r="P39" s="26">
        <f>G39*0.0775*13</f>
        <v>1032.6875</v>
      </c>
      <c r="Q39" s="34">
        <f>P39/13</f>
        <v>79.4375</v>
      </c>
      <c r="R39" s="26"/>
      <c r="S39" s="26"/>
      <c r="T39" s="26"/>
      <c r="U39" s="12">
        <f>75*13</f>
        <v>975</v>
      </c>
      <c r="V39" s="26">
        <f>U39/13</f>
        <v>75</v>
      </c>
      <c r="W39" s="26"/>
      <c r="X39" s="26"/>
      <c r="Y39" s="26">
        <f>P39+S39+U39+W39+0.01</f>
        <v>2007.6975</v>
      </c>
      <c r="Z39" s="26">
        <f>G39*0.01*13</f>
        <v>133.25</v>
      </c>
      <c r="AA39" s="26">
        <f>Z39/13</f>
        <v>10.25</v>
      </c>
      <c r="AB39" s="26"/>
      <c r="AC39" s="26"/>
      <c r="AD39" s="26"/>
      <c r="AE39" s="26"/>
      <c r="AF39" s="26"/>
      <c r="AG39" s="26"/>
      <c r="AH39" s="26"/>
      <c r="AI39" s="26"/>
      <c r="AJ39" s="12"/>
      <c r="AK39" s="12"/>
      <c r="AL39" s="12"/>
      <c r="AM39" s="12"/>
      <c r="AN39" s="12"/>
      <c r="AO39" s="12"/>
      <c r="AP39" s="12"/>
      <c r="AQ39" s="12"/>
    </row>
    <row r="40" spans="1:43">
      <c r="A40" s="21">
        <f>A39+1</f>
        <v>14</v>
      </c>
      <c r="B40" s="27" t="s">
        <v>111</v>
      </c>
      <c r="C40" s="51" t="s">
        <v>112</v>
      </c>
      <c r="D40" s="82" t="s">
        <v>108</v>
      </c>
      <c r="E40" s="83" t="s">
        <v>79</v>
      </c>
      <c r="F40" s="84" t="s">
        <v>47</v>
      </c>
      <c r="G40" s="26">
        <f>567+30+50</f>
        <v>647</v>
      </c>
      <c r="H40" s="32">
        <f>G40*12</f>
        <v>7764</v>
      </c>
      <c r="I40" s="32">
        <v>60</v>
      </c>
      <c r="J40" s="32"/>
      <c r="K40" s="32">
        <f>G40</f>
        <v>647</v>
      </c>
      <c r="L40" s="32">
        <v>300</v>
      </c>
      <c r="M40" s="12"/>
      <c r="N40" s="24">
        <v>125</v>
      </c>
      <c r="O40" s="24"/>
      <c r="P40" s="12">
        <f>G40*0.0775*13</f>
        <v>651.85249999999996</v>
      </c>
      <c r="Q40" s="9">
        <f>P40/13</f>
        <v>50.142499999999998</v>
      </c>
      <c r="R40" s="12"/>
      <c r="S40" s="12"/>
      <c r="T40" s="12"/>
      <c r="U40" s="12">
        <f>G40*0.075*13</f>
        <v>630.82499999999993</v>
      </c>
      <c r="V40" s="12">
        <f>U40/13</f>
        <v>48.524999999999991</v>
      </c>
      <c r="W40" s="12"/>
      <c r="X40" s="12"/>
      <c r="Y40" s="12">
        <f>P40+S40+U40+W40</f>
        <v>1282.6774999999998</v>
      </c>
      <c r="Z40" s="12">
        <f>G40*0.01*13</f>
        <v>84.11</v>
      </c>
      <c r="AA40" s="12">
        <f t="shared" si="10"/>
        <v>6.47</v>
      </c>
      <c r="AB40" s="12">
        <f>G40/30/7*1.5*45</f>
        <v>207.96428571428572</v>
      </c>
      <c r="AC40" s="12">
        <v>192.86</v>
      </c>
      <c r="AD40" s="12">
        <f>AB40-AC40</f>
        <v>15.104285714285709</v>
      </c>
      <c r="AE40" s="12">
        <f>AB40*0.0775</f>
        <v>16.117232142857144</v>
      </c>
      <c r="AF40" s="12"/>
      <c r="AG40" s="12">
        <f>AB40*0.075</f>
        <v>15.597321428571428</v>
      </c>
      <c r="AH40" s="12"/>
      <c r="AI40" s="12">
        <f>AE40+AF40+AG40+AH40+0.01</f>
        <v>31.724553571428576</v>
      </c>
      <c r="AJ40" s="12">
        <f>AB40*0.01</f>
        <v>2.0796428571428573</v>
      </c>
      <c r="AK40" s="12"/>
      <c r="AL40" s="12"/>
      <c r="AM40" s="12"/>
      <c r="AN40" s="12"/>
      <c r="AO40" s="12"/>
      <c r="AP40" s="12"/>
      <c r="AQ40" s="12"/>
    </row>
    <row r="41" spans="1:43">
      <c r="A41" s="21"/>
      <c r="B41" s="15"/>
      <c r="C41" s="85" t="s">
        <v>113</v>
      </c>
      <c r="D41" s="82"/>
      <c r="E41" s="83"/>
      <c r="F41" s="84"/>
      <c r="G41" s="86">
        <f>SUM(G38:G40)</f>
        <v>3172</v>
      </c>
      <c r="H41" s="30">
        <f>SUM(H38:H40)</f>
        <v>38064</v>
      </c>
      <c r="I41" s="30">
        <f>SUM(I38:I40)</f>
        <v>180</v>
      </c>
      <c r="J41" s="36"/>
      <c r="K41" s="30">
        <f>SUM(K38:K40)</f>
        <v>3172</v>
      </c>
      <c r="L41" s="30">
        <f>SUM(L38:L40)</f>
        <v>900</v>
      </c>
      <c r="M41" s="20">
        <f>SUM(M38:M40)</f>
        <v>1145</v>
      </c>
      <c r="N41" s="31">
        <f>SUM(N38:N40)</f>
        <v>375</v>
      </c>
      <c r="O41" s="31"/>
      <c r="P41" s="20">
        <f>SUM(P38:P40)</f>
        <v>3195.79</v>
      </c>
      <c r="Q41" s="20">
        <f>SUM(Q38:Q40)</f>
        <v>245.82999999999998</v>
      </c>
      <c r="R41" s="20">
        <f>SUM(R38:R40)</f>
        <v>0</v>
      </c>
      <c r="S41" s="20">
        <f>SUM(S38:S40)</f>
        <v>0</v>
      </c>
      <c r="T41" s="20">
        <f>SUM(T38:T40)</f>
        <v>0</v>
      </c>
      <c r="U41" s="20">
        <f>SUM(U38:U40)+0.01</f>
        <v>2580.835</v>
      </c>
      <c r="V41" s="20">
        <f>SUM(V38:V40)+0.01</f>
        <v>198.53499999999997</v>
      </c>
      <c r="W41" s="20"/>
      <c r="X41" s="20"/>
      <c r="Y41" s="20">
        <f>SUM(Y38:Y40)</f>
        <v>5776.625</v>
      </c>
      <c r="Z41" s="20">
        <f>SUM(Z38:Z40)</f>
        <v>347.36</v>
      </c>
      <c r="AA41" s="20">
        <f>SUM(AA38:AA40)</f>
        <v>26.72</v>
      </c>
      <c r="AB41" s="20">
        <f>SUM(AB38:AB40)</f>
        <v>629.83928571428578</v>
      </c>
      <c r="AC41" s="20">
        <f t="shared" ref="AC41:AJ41" si="13">AC38+AC40</f>
        <v>385.72</v>
      </c>
      <c r="AD41" s="20">
        <f t="shared" si="13"/>
        <v>244.1192857142857</v>
      </c>
      <c r="AE41" s="20">
        <f>AE38+AE40+0.01</f>
        <v>48.822544642857146</v>
      </c>
      <c r="AF41" s="20"/>
      <c r="AG41" s="20">
        <f t="shared" si="13"/>
        <v>47.237946428571426</v>
      </c>
      <c r="AH41" s="20"/>
      <c r="AI41" s="20">
        <f>AI38+AI40</f>
        <v>96.070491071428577</v>
      </c>
      <c r="AJ41" s="20">
        <f t="shared" si="13"/>
        <v>6.2983928571428578</v>
      </c>
      <c r="AK41" s="38"/>
      <c r="AL41" s="38"/>
      <c r="AM41" s="39"/>
      <c r="AN41" s="39"/>
      <c r="AO41" s="39"/>
      <c r="AP41" s="38"/>
      <c r="AQ41" s="37"/>
    </row>
    <row r="42" spans="1:43" ht="40.5" customHeight="1">
      <c r="A42" s="21">
        <f>A40+1</f>
        <v>15</v>
      </c>
      <c r="B42" s="91" t="s">
        <v>114</v>
      </c>
      <c r="C42" s="25" t="s">
        <v>115</v>
      </c>
      <c r="D42" s="82" t="s">
        <v>116</v>
      </c>
      <c r="E42" s="83" t="s">
        <v>79</v>
      </c>
      <c r="F42" s="84" t="s">
        <v>47</v>
      </c>
      <c r="G42" s="26">
        <f>467</f>
        <v>467</v>
      </c>
      <c r="H42" s="32">
        <f>G42*12</f>
        <v>5604</v>
      </c>
      <c r="I42" s="32">
        <v>60</v>
      </c>
      <c r="J42" s="32"/>
      <c r="K42" s="32">
        <f>G42</f>
        <v>467</v>
      </c>
      <c r="L42" s="32">
        <v>300</v>
      </c>
      <c r="M42" s="12"/>
      <c r="N42" s="24">
        <v>125</v>
      </c>
      <c r="O42" s="24"/>
      <c r="P42" s="12">
        <f>G42*0.0775*13</f>
        <v>470.50250000000005</v>
      </c>
      <c r="Q42" s="9">
        <f>P42/13</f>
        <v>36.192500000000003</v>
      </c>
      <c r="R42" s="12"/>
      <c r="S42" s="12"/>
      <c r="T42" s="12"/>
      <c r="U42" s="12">
        <f>G42*0.075*13</f>
        <v>455.32499999999999</v>
      </c>
      <c r="V42" s="12">
        <f>U42/13</f>
        <v>35.024999999999999</v>
      </c>
      <c r="W42" s="12"/>
      <c r="X42" s="12"/>
      <c r="Y42" s="12">
        <f>P42+S42+U42+W42</f>
        <v>925.8275000000001</v>
      </c>
      <c r="Z42" s="12">
        <f>G42*0.01*13</f>
        <v>60.71</v>
      </c>
      <c r="AA42" s="12">
        <f>Z42/13</f>
        <v>4.67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3" ht="24">
      <c r="A43" s="21">
        <f>A42+1</f>
        <v>16</v>
      </c>
      <c r="B43" s="25" t="s">
        <v>117</v>
      </c>
      <c r="C43" s="25" t="s">
        <v>91</v>
      </c>
      <c r="D43" s="82" t="s">
        <v>116</v>
      </c>
      <c r="E43" s="83" t="s">
        <v>79</v>
      </c>
      <c r="F43" s="84" t="s">
        <v>47</v>
      </c>
      <c r="G43" s="26">
        <v>417</v>
      </c>
      <c r="H43" s="32">
        <f>G43*12</f>
        <v>5004</v>
      </c>
      <c r="I43" s="32">
        <v>60</v>
      </c>
      <c r="J43" s="32"/>
      <c r="K43" s="32">
        <f>G43</f>
        <v>417</v>
      </c>
      <c r="L43" s="32">
        <v>300</v>
      </c>
      <c r="M43" s="12"/>
      <c r="N43" s="24">
        <v>125</v>
      </c>
      <c r="O43" s="24"/>
      <c r="P43" s="12">
        <f>G43*0.0775*13</f>
        <v>420.12750000000005</v>
      </c>
      <c r="Q43" s="9">
        <f>P43/13</f>
        <v>32.317500000000003</v>
      </c>
      <c r="R43" s="12"/>
      <c r="S43" s="12"/>
      <c r="T43" s="12"/>
      <c r="U43" s="12">
        <f>G43*0.075*13</f>
        <v>406.57499999999999</v>
      </c>
      <c r="V43" s="12">
        <f>U43/13</f>
        <v>31.274999999999999</v>
      </c>
      <c r="W43" s="12"/>
      <c r="X43" s="12"/>
      <c r="Y43" s="12">
        <f>P43+S43+U43+W43</f>
        <v>826.7025000000001</v>
      </c>
      <c r="Z43" s="12">
        <f>G43*0.01*13</f>
        <v>54.21</v>
      </c>
      <c r="AA43" s="12">
        <f>Z43/13</f>
        <v>4.17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>
      <c r="A44" s="41"/>
      <c r="B44" s="42"/>
      <c r="C44" s="235" t="s">
        <v>118</v>
      </c>
      <c r="D44" s="236"/>
      <c r="E44" s="83"/>
      <c r="F44" s="84"/>
      <c r="G44" s="86">
        <f>SUM(G42:G43)</f>
        <v>884</v>
      </c>
      <c r="H44" s="30">
        <f>SUM(H42:H43)</f>
        <v>10608</v>
      </c>
      <c r="I44" s="30">
        <f>SUM(I42:I43)</f>
        <v>120</v>
      </c>
      <c r="J44" s="36"/>
      <c r="K44" s="30">
        <f>SUM(K42:K43)</f>
        <v>884</v>
      </c>
      <c r="L44" s="30">
        <f>SUM(L42:L43)</f>
        <v>600</v>
      </c>
      <c r="M44" s="37"/>
      <c r="N44" s="30">
        <f>SUM(N42:N43)</f>
        <v>250</v>
      </c>
      <c r="O44" s="31"/>
      <c r="P44" s="30">
        <f>SUM(P42:P43)</f>
        <v>890.63000000000011</v>
      </c>
      <c r="Q44" s="30">
        <f>SUM(Q42:Q43)</f>
        <v>68.510000000000005</v>
      </c>
      <c r="R44" s="20"/>
      <c r="S44" s="12">
        <f>SUM(S42)</f>
        <v>0</v>
      </c>
      <c r="T44" s="12">
        <f>SUM(T42)</f>
        <v>0</v>
      </c>
      <c r="U44" s="30">
        <f>SUM(U42:U43)+0.01</f>
        <v>861.91</v>
      </c>
      <c r="V44" s="30">
        <f>SUM(V42:V43)+0.01</f>
        <v>66.31</v>
      </c>
      <c r="W44" s="12"/>
      <c r="X44" s="12"/>
      <c r="Y44" s="30">
        <f>SUM(Y42:Y43)</f>
        <v>1752.5300000000002</v>
      </c>
      <c r="Z44" s="30">
        <f>SUM(Z42:Z43)</f>
        <v>114.92</v>
      </c>
      <c r="AA44" s="30">
        <f>SUM(AA42:AA43)</f>
        <v>8.84</v>
      </c>
      <c r="AB44" s="38"/>
      <c r="AC44" s="38"/>
      <c r="AD44" s="38"/>
      <c r="AE44" s="38"/>
      <c r="AF44" s="37"/>
      <c r="AG44" s="38"/>
      <c r="AH44" s="37"/>
      <c r="AI44" s="12"/>
      <c r="AJ44" s="38"/>
      <c r="AK44" s="38"/>
      <c r="AL44" s="38"/>
      <c r="AM44" s="39"/>
      <c r="AN44" s="39"/>
      <c r="AO44" s="39"/>
      <c r="AP44" s="38"/>
      <c r="AQ44" s="37"/>
    </row>
    <row r="45" spans="1:43" ht="51.75" customHeight="1">
      <c r="A45" s="21">
        <f>A43+1</f>
        <v>17</v>
      </c>
      <c r="B45" s="27" t="s">
        <v>119</v>
      </c>
      <c r="C45" s="51" t="s">
        <v>120</v>
      </c>
      <c r="D45" s="92" t="s">
        <v>121</v>
      </c>
      <c r="E45" s="83" t="s">
        <v>79</v>
      </c>
      <c r="F45" s="84" t="s">
        <v>47</v>
      </c>
      <c r="G45" s="26">
        <f>687+30+50</f>
        <v>767</v>
      </c>
      <c r="H45" s="32">
        <f>G45*12</f>
        <v>9204</v>
      </c>
      <c r="I45" s="32">
        <v>60</v>
      </c>
      <c r="J45" s="32"/>
      <c r="K45" s="32">
        <f>G45</f>
        <v>767</v>
      </c>
      <c r="L45" s="32">
        <v>300</v>
      </c>
      <c r="M45" s="12"/>
      <c r="N45" s="24">
        <v>125</v>
      </c>
      <c r="O45" s="24"/>
      <c r="P45" s="12">
        <f>G45*0.0775*13</f>
        <v>772.75250000000005</v>
      </c>
      <c r="Q45" s="40"/>
      <c r="R45" s="12">
        <f>P45/13</f>
        <v>59.442500000000003</v>
      </c>
      <c r="S45" s="12"/>
      <c r="T45" s="12"/>
      <c r="U45" s="12">
        <f>G45*0.075*13</f>
        <v>747.82499999999993</v>
      </c>
      <c r="V45" s="12">
        <f>U45/13</f>
        <v>57.524999999999991</v>
      </c>
      <c r="W45" s="12"/>
      <c r="X45" s="12"/>
      <c r="Y45" s="12">
        <f>P45+S45+U45+W45</f>
        <v>1520.5774999999999</v>
      </c>
      <c r="Z45" s="12">
        <f>G45*0.01*13</f>
        <v>99.71</v>
      </c>
      <c r="AA45" s="12">
        <f>Z45/13</f>
        <v>7.67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ht="56.25" customHeight="1">
      <c r="A46" s="21">
        <f>A45+1</f>
        <v>18</v>
      </c>
      <c r="B46" s="27" t="s">
        <v>122</v>
      </c>
      <c r="C46" s="93" t="s">
        <v>123</v>
      </c>
      <c r="D46" s="92" t="s">
        <v>121</v>
      </c>
      <c r="E46" s="83" t="s">
        <v>79</v>
      </c>
      <c r="F46" s="84" t="s">
        <v>47</v>
      </c>
      <c r="G46" s="26">
        <f>467+30+50</f>
        <v>547</v>
      </c>
      <c r="H46" s="32">
        <f>G46*12</f>
        <v>6564</v>
      </c>
      <c r="I46" s="32">
        <v>60</v>
      </c>
      <c r="J46" s="36"/>
      <c r="K46" s="32">
        <f>G46</f>
        <v>547</v>
      </c>
      <c r="L46" s="32">
        <v>300</v>
      </c>
      <c r="M46" s="37"/>
      <c r="N46" s="24">
        <v>125</v>
      </c>
      <c r="O46" s="24"/>
      <c r="P46" s="12">
        <f>G46*0.0775*13</f>
        <v>551.10249999999996</v>
      </c>
      <c r="Q46" s="9">
        <f>P46/13</f>
        <v>42.392499999999998</v>
      </c>
      <c r="R46" s="12"/>
      <c r="S46" s="12"/>
      <c r="T46" s="12"/>
      <c r="U46" s="12">
        <f>G46*0.075*13</f>
        <v>533.32499999999993</v>
      </c>
      <c r="V46" s="12">
        <f>U46/13</f>
        <v>41.024999999999991</v>
      </c>
      <c r="W46" s="12"/>
      <c r="X46" s="12"/>
      <c r="Y46" s="12">
        <f>P46+S46+U46+W46</f>
        <v>1084.4274999999998</v>
      </c>
      <c r="Z46" s="12">
        <f>G46*0.01*13</f>
        <v>71.11</v>
      </c>
      <c r="AA46" s="12">
        <f>Z46/13</f>
        <v>5.47</v>
      </c>
      <c r="AB46" s="38"/>
      <c r="AC46" s="38"/>
      <c r="AD46" s="38"/>
      <c r="AE46" s="38"/>
      <c r="AF46" s="37"/>
      <c r="AG46" s="38"/>
      <c r="AH46" s="37"/>
      <c r="AI46" s="12"/>
      <c r="AJ46" s="38"/>
      <c r="AK46" s="38"/>
      <c r="AL46" s="38"/>
      <c r="AM46" s="12"/>
      <c r="AN46" s="12"/>
      <c r="AO46" s="12"/>
      <c r="AP46" s="38"/>
      <c r="AQ46" s="37"/>
    </row>
    <row r="47" spans="1:43" ht="55.5" customHeight="1">
      <c r="A47" s="21">
        <f>A46+1</f>
        <v>19</v>
      </c>
      <c r="B47" s="25" t="s">
        <v>124</v>
      </c>
      <c r="C47" s="93" t="s">
        <v>123</v>
      </c>
      <c r="D47" s="92" t="s">
        <v>121</v>
      </c>
      <c r="E47" s="83" t="s">
        <v>79</v>
      </c>
      <c r="F47" s="84" t="s">
        <v>47</v>
      </c>
      <c r="G47" s="26">
        <v>497</v>
      </c>
      <c r="H47" s="32">
        <f>G47*12</f>
        <v>5964</v>
      </c>
      <c r="I47" s="32">
        <v>60</v>
      </c>
      <c r="J47" s="36"/>
      <c r="K47" s="32">
        <f>G47</f>
        <v>497</v>
      </c>
      <c r="L47" s="32">
        <v>300</v>
      </c>
      <c r="M47" s="37"/>
      <c r="N47" s="24">
        <v>125</v>
      </c>
      <c r="O47" s="24"/>
      <c r="P47" s="12">
        <f>G47*0.0775*13</f>
        <v>500.72749999999996</v>
      </c>
      <c r="Q47" s="9">
        <f>P47/13</f>
        <v>38.517499999999998</v>
      </c>
      <c r="R47" s="12"/>
      <c r="S47" s="12"/>
      <c r="T47" s="12"/>
      <c r="U47" s="12">
        <f>G47*0.075*13</f>
        <v>484.57499999999999</v>
      </c>
      <c r="V47" s="12">
        <f>U47/13</f>
        <v>37.274999999999999</v>
      </c>
      <c r="W47" s="12"/>
      <c r="X47" s="12"/>
      <c r="Y47" s="12">
        <f>P47+S47+U47+W47+0.01</f>
        <v>985.3125</v>
      </c>
      <c r="Z47" s="12">
        <f>G47*0.01*13</f>
        <v>64.61</v>
      </c>
      <c r="AA47" s="12">
        <f>Z47/13</f>
        <v>4.97</v>
      </c>
      <c r="AB47" s="38"/>
      <c r="AC47" s="38"/>
      <c r="AD47" s="38"/>
      <c r="AE47" s="38"/>
      <c r="AF47" s="37"/>
      <c r="AG47" s="38"/>
      <c r="AH47" s="37"/>
      <c r="AI47" s="12"/>
      <c r="AJ47" s="38"/>
      <c r="AK47" s="38"/>
      <c r="AL47" s="38"/>
      <c r="AM47" s="12"/>
      <c r="AN47" s="12"/>
      <c r="AO47" s="12"/>
      <c r="AP47" s="38"/>
      <c r="AQ47" s="37"/>
    </row>
    <row r="48" spans="1:43" ht="48.75" customHeight="1">
      <c r="A48" s="21">
        <f>A47+1</f>
        <v>20</v>
      </c>
      <c r="B48" s="27" t="s">
        <v>125</v>
      </c>
      <c r="C48" s="93" t="s">
        <v>123</v>
      </c>
      <c r="D48" s="92" t="s">
        <v>121</v>
      </c>
      <c r="E48" s="83" t="s">
        <v>79</v>
      </c>
      <c r="F48" s="84" t="s">
        <v>47</v>
      </c>
      <c r="G48" s="26">
        <f>417+50</f>
        <v>467</v>
      </c>
      <c r="H48" s="32">
        <f>G48*12</f>
        <v>5604</v>
      </c>
      <c r="I48" s="32">
        <v>60</v>
      </c>
      <c r="J48" s="36"/>
      <c r="K48" s="32">
        <f>G48</f>
        <v>467</v>
      </c>
      <c r="L48" s="32">
        <v>300</v>
      </c>
      <c r="M48" s="37"/>
      <c r="N48" s="24">
        <v>125</v>
      </c>
      <c r="O48" s="24"/>
      <c r="P48" s="12">
        <f>G48*0.0775*13</f>
        <v>470.50250000000005</v>
      </c>
      <c r="Q48" s="9">
        <f>P48/13</f>
        <v>36.192500000000003</v>
      </c>
      <c r="R48" s="12"/>
      <c r="S48" s="12"/>
      <c r="T48" s="12"/>
      <c r="U48" s="12">
        <f>G48*0.075*13</f>
        <v>455.32499999999999</v>
      </c>
      <c r="V48" s="12">
        <f>U48/13</f>
        <v>35.024999999999999</v>
      </c>
      <c r="W48" s="12"/>
      <c r="X48" s="12"/>
      <c r="Y48" s="12">
        <f>P48+S48+U48+W48</f>
        <v>925.8275000000001</v>
      </c>
      <c r="Z48" s="12">
        <f>G48*0.01*13</f>
        <v>60.71</v>
      </c>
      <c r="AA48" s="12">
        <f>Z48/13</f>
        <v>4.67</v>
      </c>
      <c r="AB48" s="38"/>
      <c r="AC48" s="38"/>
      <c r="AD48" s="38"/>
      <c r="AE48" s="38"/>
      <c r="AF48" s="37"/>
      <c r="AG48" s="38"/>
      <c r="AH48" s="37"/>
      <c r="AI48" s="12"/>
      <c r="AJ48" s="38"/>
      <c r="AK48" s="38"/>
      <c r="AL48" s="38"/>
      <c r="AM48" s="12"/>
      <c r="AN48" s="12"/>
      <c r="AO48" s="12"/>
      <c r="AP48" s="38"/>
      <c r="AQ48" s="37"/>
    </row>
    <row r="49" spans="1:43" ht="25.5" customHeight="1">
      <c r="A49" s="43"/>
      <c r="B49" s="44"/>
      <c r="C49" s="242" t="s">
        <v>126</v>
      </c>
      <c r="D49" s="243"/>
      <c r="E49" s="244"/>
      <c r="F49" s="84"/>
      <c r="G49" s="86">
        <f>SUM(G45:G48)</f>
        <v>2278</v>
      </c>
      <c r="H49" s="30">
        <f>SUM(H45:H48)</f>
        <v>27336</v>
      </c>
      <c r="I49" s="30">
        <f>SUM(I45:I48)</f>
        <v>240</v>
      </c>
      <c r="J49" s="36"/>
      <c r="K49" s="30">
        <f>SUM(K45:K48)</f>
        <v>2278</v>
      </c>
      <c r="L49" s="30">
        <f>SUM(L45:L48)</f>
        <v>1200</v>
      </c>
      <c r="M49" s="37"/>
      <c r="N49" s="20">
        <f>SUM(N45:N48)</f>
        <v>500</v>
      </c>
      <c r="O49" s="31"/>
      <c r="P49" s="20">
        <f>SUM(P45:P48)-0.01</f>
        <v>2295.0749999999998</v>
      </c>
      <c r="Q49" s="20">
        <f>SUM(Q45:Q48)</f>
        <v>117.10249999999999</v>
      </c>
      <c r="R49" s="20">
        <f>SUM(R45:R48)-0.01</f>
        <v>59.432500000000005</v>
      </c>
      <c r="S49" s="20">
        <f>SUM(S45:S48)</f>
        <v>0</v>
      </c>
      <c r="T49" s="20">
        <f>SUM(T45:T48)</f>
        <v>0</v>
      </c>
      <c r="U49" s="20">
        <f>SUM(U45:U48)+0.02</f>
        <v>2221.0699999999997</v>
      </c>
      <c r="V49" s="20">
        <f>SUM(V45:V48)+0.02</f>
        <v>170.87</v>
      </c>
      <c r="W49" s="20">
        <f>SUM(W45:W48)</f>
        <v>0</v>
      </c>
      <c r="X49" s="20">
        <f>SUM(X45:X48)</f>
        <v>0</v>
      </c>
      <c r="Y49" s="20">
        <f>SUM(Y45:Y48)</f>
        <v>4516.1449999999995</v>
      </c>
      <c r="Z49" s="20">
        <f>SUM(Z45:Z48)</f>
        <v>296.14</v>
      </c>
      <c r="AA49" s="20">
        <f>SUM(AA45:AA48)</f>
        <v>22.78</v>
      </c>
      <c r="AB49" s="38"/>
      <c r="AC49" s="38"/>
      <c r="AD49" s="38"/>
      <c r="AE49" s="38"/>
      <c r="AF49" s="37"/>
      <c r="AG49" s="38"/>
      <c r="AH49" s="37"/>
      <c r="AI49" s="12"/>
      <c r="AJ49" s="38"/>
      <c r="AK49" s="38"/>
      <c r="AL49" s="38"/>
      <c r="AM49" s="39"/>
      <c r="AN49" s="39"/>
      <c r="AO49" s="39"/>
      <c r="AP49" s="38"/>
      <c r="AQ49" s="37"/>
    </row>
    <row r="50" spans="1:43" ht="38.25" customHeight="1">
      <c r="A50" s="21">
        <f>A48+1</f>
        <v>21</v>
      </c>
      <c r="B50" s="27" t="s">
        <v>127</v>
      </c>
      <c r="C50" s="93" t="s">
        <v>128</v>
      </c>
      <c r="D50" s="82" t="s">
        <v>129</v>
      </c>
      <c r="E50" s="83" t="s">
        <v>79</v>
      </c>
      <c r="F50" s="84" t="s">
        <v>47</v>
      </c>
      <c r="G50" s="26">
        <f>595+30+50</f>
        <v>675</v>
      </c>
      <c r="H50" s="32">
        <f>G50*12</f>
        <v>8100</v>
      </c>
      <c r="I50" s="32">
        <v>60</v>
      </c>
      <c r="J50" s="36"/>
      <c r="K50" s="32">
        <f>G50</f>
        <v>675</v>
      </c>
      <c r="L50" s="32">
        <v>300</v>
      </c>
      <c r="M50" s="37"/>
      <c r="N50" s="24">
        <v>125</v>
      </c>
      <c r="O50" s="24"/>
      <c r="P50" s="12">
        <f>G50*0.0775*13</f>
        <v>680.0625</v>
      </c>
      <c r="Q50" s="40"/>
      <c r="R50" s="12">
        <f>P50/13</f>
        <v>52.3125</v>
      </c>
      <c r="S50" s="12"/>
      <c r="T50" s="12"/>
      <c r="U50" s="12">
        <f>G50*0.075*13</f>
        <v>658.125</v>
      </c>
      <c r="V50" s="12">
        <f>U50/13</f>
        <v>50.625</v>
      </c>
      <c r="W50" s="12"/>
      <c r="X50" s="12"/>
      <c r="Y50" s="12">
        <f>P50+S50+U50+W50</f>
        <v>1338.1875</v>
      </c>
      <c r="Z50" s="12">
        <f>G50*0.01*13</f>
        <v>87.75</v>
      </c>
      <c r="AA50" s="12">
        <f>Z50/13</f>
        <v>6.75</v>
      </c>
      <c r="AB50" s="38"/>
      <c r="AC50" s="38"/>
      <c r="AD50" s="38"/>
      <c r="AE50" s="38"/>
      <c r="AF50" s="37"/>
      <c r="AG50" s="38"/>
      <c r="AH50" s="37"/>
      <c r="AI50" s="12"/>
      <c r="AJ50" s="38"/>
      <c r="AK50" s="38"/>
      <c r="AL50" s="38"/>
      <c r="AM50" s="12"/>
      <c r="AN50" s="12"/>
      <c r="AO50" s="12"/>
      <c r="AP50" s="38"/>
      <c r="AQ50" s="37"/>
    </row>
    <row r="51" spans="1:43">
      <c r="A51" s="21"/>
      <c r="B51" s="15"/>
      <c r="C51" s="85" t="s">
        <v>130</v>
      </c>
      <c r="D51" s="82"/>
      <c r="E51" s="83"/>
      <c r="F51" s="84"/>
      <c r="G51" s="86">
        <f>SUM(G50)</f>
        <v>675</v>
      </c>
      <c r="H51" s="30">
        <f>SUM(H50)</f>
        <v>8100</v>
      </c>
      <c r="I51" s="30">
        <f>SUM(I50)</f>
        <v>60</v>
      </c>
      <c r="J51" s="36"/>
      <c r="K51" s="30">
        <f t="shared" ref="K51:R51" si="14">SUM(K50)</f>
        <v>675</v>
      </c>
      <c r="L51" s="30">
        <f t="shared" si="14"/>
        <v>300</v>
      </c>
      <c r="M51" s="37"/>
      <c r="N51" s="20">
        <f t="shared" si="14"/>
        <v>125</v>
      </c>
      <c r="O51" s="31"/>
      <c r="P51" s="20">
        <f t="shared" si="14"/>
        <v>680.0625</v>
      </c>
      <c r="Q51" s="20">
        <f t="shared" si="14"/>
        <v>0</v>
      </c>
      <c r="R51" s="20">
        <f t="shared" si="14"/>
        <v>52.3125</v>
      </c>
      <c r="S51" s="12">
        <f>SUM(S50)</f>
        <v>0</v>
      </c>
      <c r="T51" s="12">
        <f>SUM(T50)</f>
        <v>0</v>
      </c>
      <c r="U51" s="20">
        <f>SUM(U50)</f>
        <v>658.125</v>
      </c>
      <c r="V51" s="20">
        <f>SUM(V50)</f>
        <v>50.625</v>
      </c>
      <c r="W51" s="12"/>
      <c r="X51" s="12"/>
      <c r="Y51" s="20">
        <f>SUM(Y50)</f>
        <v>1338.1875</v>
      </c>
      <c r="Z51" s="20">
        <f>SUM(Z50)</f>
        <v>87.75</v>
      </c>
      <c r="AA51" s="20">
        <f>SUM(AA50)</f>
        <v>6.75</v>
      </c>
      <c r="AB51" s="38"/>
      <c r="AC51" s="38"/>
      <c r="AD51" s="38"/>
      <c r="AE51" s="38"/>
      <c r="AF51" s="37"/>
      <c r="AG51" s="12"/>
      <c r="AH51" s="37"/>
      <c r="AI51" s="12"/>
      <c r="AJ51" s="38"/>
      <c r="AK51" s="38"/>
      <c r="AL51" s="38"/>
      <c r="AM51" s="39"/>
      <c r="AN51" s="39"/>
      <c r="AO51" s="39"/>
      <c r="AP51" s="38"/>
      <c r="AQ51" s="37"/>
    </row>
    <row r="52" spans="1:43">
      <c r="A52" s="21">
        <f>A50+1</f>
        <v>22</v>
      </c>
      <c r="B52" s="45" t="s">
        <v>131</v>
      </c>
      <c r="C52" s="94" t="s">
        <v>132</v>
      </c>
      <c r="D52" s="82" t="s">
        <v>133</v>
      </c>
      <c r="E52" s="83" t="s">
        <v>79</v>
      </c>
      <c r="F52" s="84" t="s">
        <v>47</v>
      </c>
      <c r="G52" s="26">
        <f>734.86+30+50</f>
        <v>814.86</v>
      </c>
      <c r="H52" s="32">
        <f>G52*12</f>
        <v>9778.32</v>
      </c>
      <c r="I52" s="32">
        <v>60</v>
      </c>
      <c r="J52" s="36"/>
      <c r="K52" s="32">
        <f>G52</f>
        <v>814.86</v>
      </c>
      <c r="L52" s="32">
        <v>300</v>
      </c>
      <c r="M52" s="37"/>
      <c r="N52" s="24">
        <v>125</v>
      </c>
      <c r="O52" s="24"/>
      <c r="P52" s="12">
        <f>G52*0.0775*13</f>
        <v>820.97145</v>
      </c>
      <c r="Q52" s="9">
        <f>P52/13</f>
        <v>63.151650000000004</v>
      </c>
      <c r="R52" s="12"/>
      <c r="S52" s="12"/>
      <c r="T52" s="12"/>
      <c r="U52" s="12">
        <f>G52*0.075*13</f>
        <v>794.48850000000004</v>
      </c>
      <c r="V52" s="12">
        <f>U52/13</f>
        <v>61.114500000000007</v>
      </c>
      <c r="W52" s="12"/>
      <c r="X52" s="12"/>
      <c r="Y52" s="12">
        <f>P52+S52+U52+W52</f>
        <v>1615.4599499999999</v>
      </c>
      <c r="Z52" s="12">
        <f>G52*0.01*13</f>
        <v>105.9318</v>
      </c>
      <c r="AA52" s="12">
        <f>Z52/13</f>
        <v>8.1486000000000001</v>
      </c>
      <c r="AB52" s="38"/>
      <c r="AC52" s="38"/>
      <c r="AD52" s="38"/>
      <c r="AE52" s="38"/>
      <c r="AF52" s="37"/>
      <c r="AG52" s="12"/>
      <c r="AH52" s="37"/>
      <c r="AI52" s="12"/>
      <c r="AJ52" s="38"/>
      <c r="AK52" s="38"/>
      <c r="AL52" s="38"/>
      <c r="AM52" s="12"/>
      <c r="AN52" s="12"/>
      <c r="AO52" s="12"/>
      <c r="AP52" s="38"/>
      <c r="AQ52" s="37"/>
    </row>
    <row r="53" spans="1:43">
      <c r="A53" s="21">
        <f>A52+1</f>
        <v>23</v>
      </c>
      <c r="B53" s="45" t="s">
        <v>134</v>
      </c>
      <c r="C53" s="94" t="s">
        <v>135</v>
      </c>
      <c r="D53" s="82" t="s">
        <v>133</v>
      </c>
      <c r="E53" s="83" t="s">
        <v>79</v>
      </c>
      <c r="F53" s="84" t="s">
        <v>47</v>
      </c>
      <c r="G53" s="26">
        <f>570+30+50</f>
        <v>650</v>
      </c>
      <c r="H53" s="32">
        <f>G53*12</f>
        <v>7800</v>
      </c>
      <c r="I53" s="32">
        <v>60</v>
      </c>
      <c r="J53" s="32"/>
      <c r="K53" s="32">
        <f>G53</f>
        <v>650</v>
      </c>
      <c r="L53" s="32">
        <v>300</v>
      </c>
      <c r="M53" s="12"/>
      <c r="N53" s="24">
        <v>125</v>
      </c>
      <c r="O53" s="24"/>
      <c r="P53" s="12">
        <f>G53*0.0775*13</f>
        <v>654.875</v>
      </c>
      <c r="Q53" s="12">
        <f>P53/13</f>
        <v>50.375</v>
      </c>
      <c r="S53" s="12"/>
      <c r="T53" s="12"/>
      <c r="U53" s="12">
        <f>G53*0.075*13</f>
        <v>633.75</v>
      </c>
      <c r="V53" s="12">
        <f>U53/13</f>
        <v>48.75</v>
      </c>
      <c r="W53" s="12"/>
      <c r="X53" s="12"/>
      <c r="Y53" s="12">
        <f>P53+S53+U53+W53</f>
        <v>1288.625</v>
      </c>
      <c r="Z53" s="12">
        <f>G53*0.01*13</f>
        <v>84.5</v>
      </c>
      <c r="AA53" s="12">
        <f>Z53/13</f>
        <v>6.5</v>
      </c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>
      <c r="A54" s="21">
        <f>A53+1</f>
        <v>24</v>
      </c>
      <c r="B54" s="45" t="s">
        <v>136</v>
      </c>
      <c r="C54" s="94" t="s">
        <v>137</v>
      </c>
      <c r="D54" s="82" t="s">
        <v>133</v>
      </c>
      <c r="E54" s="83" t="s">
        <v>79</v>
      </c>
      <c r="F54" s="84" t="s">
        <v>47</v>
      </c>
      <c r="G54" s="26">
        <f>477+30+50</f>
        <v>557</v>
      </c>
      <c r="H54" s="32">
        <f>G54*12</f>
        <v>6684</v>
      </c>
      <c r="I54" s="32">
        <v>60</v>
      </c>
      <c r="J54" s="36"/>
      <c r="K54" s="32">
        <f>G54</f>
        <v>557</v>
      </c>
      <c r="L54" s="32">
        <v>300</v>
      </c>
      <c r="M54" s="37"/>
      <c r="N54" s="24">
        <v>125</v>
      </c>
      <c r="O54" s="24"/>
      <c r="P54" s="12">
        <f>G54*0.0775*13</f>
        <v>561.17750000000001</v>
      </c>
      <c r="Q54" s="9">
        <f>P54/13</f>
        <v>43.167500000000004</v>
      </c>
      <c r="R54" s="12"/>
      <c r="S54" s="12"/>
      <c r="T54" s="12"/>
      <c r="U54" s="12">
        <f>G54*0.075*13</f>
        <v>543.07499999999993</v>
      </c>
      <c r="V54" s="12">
        <f>U54/13</f>
        <v>41.774999999999991</v>
      </c>
      <c r="W54" s="12"/>
      <c r="X54" s="12"/>
      <c r="Y54" s="12">
        <f>P54+S54+U54+W54+0.01</f>
        <v>1104.2625</v>
      </c>
      <c r="Z54" s="12">
        <f>G54*0.01*13</f>
        <v>72.41</v>
      </c>
      <c r="AA54" s="12">
        <f>Z54/13</f>
        <v>5.5699999999999994</v>
      </c>
      <c r="AB54" s="38"/>
      <c r="AC54" s="38"/>
      <c r="AD54" s="38"/>
      <c r="AE54" s="38"/>
      <c r="AF54" s="37"/>
      <c r="AG54" s="38"/>
      <c r="AH54" s="37"/>
      <c r="AI54" s="12"/>
      <c r="AJ54" s="38"/>
      <c r="AK54" s="38"/>
      <c r="AL54" s="38"/>
      <c r="AM54" s="12"/>
      <c r="AN54" s="12"/>
      <c r="AO54" s="12"/>
      <c r="AP54" s="38"/>
      <c r="AQ54" s="37"/>
    </row>
    <row r="55" spans="1:43">
      <c r="A55" s="21"/>
      <c r="B55" s="15"/>
      <c r="C55" s="85" t="s">
        <v>138</v>
      </c>
      <c r="D55" s="89"/>
      <c r="E55" s="83"/>
      <c r="F55" s="90"/>
      <c r="G55" s="86">
        <f>SUM(G52:G54)</f>
        <v>2021.8600000000001</v>
      </c>
      <c r="H55" s="30">
        <f>SUM(H52:H54)</f>
        <v>24262.32</v>
      </c>
      <c r="I55" s="30">
        <f>SUM(I52:I54)</f>
        <v>180</v>
      </c>
      <c r="J55" s="30"/>
      <c r="K55" s="30">
        <f>SUM(K52:K54)</f>
        <v>2021.8600000000001</v>
      </c>
      <c r="L55" s="30">
        <f>SUM(L52:L54)</f>
        <v>900</v>
      </c>
      <c r="M55" s="20"/>
      <c r="N55" s="20">
        <f>SUM(N52:N54)</f>
        <v>375</v>
      </c>
      <c r="O55" s="31"/>
      <c r="P55" s="20">
        <f>SUM(P52:P54)+0.01</f>
        <v>2037.03395</v>
      </c>
      <c r="Q55" s="20">
        <f>SUM(Q52:Q54)+0.01</f>
        <v>156.70415</v>
      </c>
      <c r="R55" s="20">
        <f>SUM(R52:R54)</f>
        <v>0</v>
      </c>
      <c r="S55" s="20">
        <f>SUM(S52:S54)</f>
        <v>0</v>
      </c>
      <c r="T55" s="20">
        <f>SUM(T52:T54)</f>
        <v>0</v>
      </c>
      <c r="U55" s="20">
        <f>SUM(U52:U54)+0.01</f>
        <v>1971.3234999999997</v>
      </c>
      <c r="V55" s="20">
        <f>SUM(V52:V54)</f>
        <v>151.6395</v>
      </c>
      <c r="W55" s="20"/>
      <c r="X55" s="20">
        <f>SUM(X52:X54)</f>
        <v>0</v>
      </c>
      <c r="Y55" s="20">
        <f>SUM(Y52:Y54)</f>
        <v>4008.3474500000002</v>
      </c>
      <c r="Z55" s="20">
        <f>SUM(Z52:Z54)</f>
        <v>262.84180000000003</v>
      </c>
      <c r="AA55" s="20">
        <f>SUM(AA52:AA54)</f>
        <v>20.218599999999999</v>
      </c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:43">
      <c r="A56" s="21">
        <f>A54+1</f>
        <v>25</v>
      </c>
      <c r="B56" s="46" t="s">
        <v>139</v>
      </c>
      <c r="C56" s="56" t="s">
        <v>140</v>
      </c>
      <c r="D56" s="82" t="s">
        <v>141</v>
      </c>
      <c r="E56" s="83" t="s">
        <v>79</v>
      </c>
      <c r="F56" s="84" t="s">
        <v>47</v>
      </c>
      <c r="G56" s="26">
        <f>2200</f>
        <v>2200</v>
      </c>
      <c r="H56" s="32">
        <f>G56*12</f>
        <v>26400</v>
      </c>
      <c r="I56" s="32">
        <v>60</v>
      </c>
      <c r="J56" s="32" t="e">
        <v>#REF!</v>
      </c>
      <c r="K56" s="32">
        <f>G56</f>
        <v>2200</v>
      </c>
      <c r="L56" s="32">
        <v>300</v>
      </c>
      <c r="M56" s="12" t="e">
        <v>#REF!</v>
      </c>
      <c r="N56" s="24">
        <v>125</v>
      </c>
      <c r="O56" s="24"/>
      <c r="P56" s="12">
        <f>G56*0.0775*13</f>
        <v>2216.5</v>
      </c>
      <c r="Q56" s="9">
        <f>P56/13</f>
        <v>170.5</v>
      </c>
      <c r="R56" s="12"/>
      <c r="S56" s="12"/>
      <c r="T56" s="12"/>
      <c r="U56" s="12">
        <f>75*13</f>
        <v>975</v>
      </c>
      <c r="V56" s="12">
        <f>U56/13</f>
        <v>75</v>
      </c>
      <c r="W56" s="12"/>
      <c r="X56" s="12"/>
      <c r="Y56" s="12">
        <f>P56+S56+U56+W56</f>
        <v>3191.5</v>
      </c>
      <c r="Z56" s="12">
        <f>10*13</f>
        <v>130</v>
      </c>
      <c r="AA56" s="12">
        <f>Z56/13</f>
        <v>10</v>
      </c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>
      <c r="A57" s="21">
        <f>A56+1</f>
        <v>26</v>
      </c>
      <c r="B57" s="45" t="s">
        <v>142</v>
      </c>
      <c r="C57" s="56" t="s">
        <v>143</v>
      </c>
      <c r="D57" s="82" t="s">
        <v>141</v>
      </c>
      <c r="E57" s="83" t="s">
        <v>79</v>
      </c>
      <c r="F57" s="84" t="s">
        <v>47</v>
      </c>
      <c r="G57" s="26">
        <v>500</v>
      </c>
      <c r="H57" s="32">
        <f>G57*12</f>
        <v>6000</v>
      </c>
      <c r="I57" s="32">
        <v>60</v>
      </c>
      <c r="J57" s="32"/>
      <c r="K57" s="32">
        <f>G57</f>
        <v>500</v>
      </c>
      <c r="L57" s="32">
        <v>300</v>
      </c>
      <c r="M57" s="12"/>
      <c r="N57" s="24">
        <v>125</v>
      </c>
      <c r="O57" s="24"/>
      <c r="P57" s="12">
        <f>G57*0.0775*13</f>
        <v>503.75</v>
      </c>
      <c r="Q57" s="13"/>
      <c r="R57" s="12">
        <f>P57/13</f>
        <v>38.75</v>
      </c>
      <c r="S57" s="12"/>
      <c r="T57" s="12"/>
      <c r="U57" s="12">
        <f>G57*0.075*13</f>
        <v>487.5</v>
      </c>
      <c r="V57" s="12">
        <f>U57/13</f>
        <v>37.5</v>
      </c>
      <c r="W57" s="12"/>
      <c r="X57" s="12"/>
      <c r="Y57" s="12">
        <f>P57+S57+U57+W57</f>
        <v>991.25</v>
      </c>
      <c r="Z57" s="12">
        <f>G57*0.01*13</f>
        <v>65</v>
      </c>
      <c r="AA57" s="12">
        <f>Z57/13</f>
        <v>5</v>
      </c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>
      <c r="A58" s="21"/>
      <c r="B58" s="47"/>
      <c r="C58" s="85" t="s">
        <v>144</v>
      </c>
      <c r="D58" s="89"/>
      <c r="E58" s="83"/>
      <c r="F58" s="90"/>
      <c r="G58" s="86">
        <f t="shared" ref="G58:N58" si="15">SUM(G56:G57)</f>
        <v>2700</v>
      </c>
      <c r="H58" s="30">
        <f t="shared" si="15"/>
        <v>32400</v>
      </c>
      <c r="I58" s="30">
        <f t="shared" si="15"/>
        <v>120</v>
      </c>
      <c r="J58" s="30" t="e">
        <f t="shared" si="15"/>
        <v>#REF!</v>
      </c>
      <c r="K58" s="30">
        <f t="shared" si="15"/>
        <v>2700</v>
      </c>
      <c r="L58" s="30">
        <f t="shared" si="15"/>
        <v>600</v>
      </c>
      <c r="M58" s="20" t="e">
        <f t="shared" si="15"/>
        <v>#REF!</v>
      </c>
      <c r="N58" s="31">
        <f t="shared" si="15"/>
        <v>250</v>
      </c>
      <c r="O58" s="31"/>
      <c r="P58" s="20">
        <f t="shared" ref="P58:V58" si="16">SUM(P56:P57)</f>
        <v>2720.25</v>
      </c>
      <c r="Q58" s="20">
        <f t="shared" si="16"/>
        <v>170.5</v>
      </c>
      <c r="R58" s="20">
        <f t="shared" si="16"/>
        <v>38.75</v>
      </c>
      <c r="S58" s="20">
        <f t="shared" si="16"/>
        <v>0</v>
      </c>
      <c r="T58" s="20">
        <f t="shared" si="16"/>
        <v>0</v>
      </c>
      <c r="U58" s="20">
        <f t="shared" si="16"/>
        <v>1462.5</v>
      </c>
      <c r="V58" s="20">
        <f t="shared" si="16"/>
        <v>112.5</v>
      </c>
      <c r="W58" s="20"/>
      <c r="X58" s="20">
        <f>SUM(X56:X57)</f>
        <v>0</v>
      </c>
      <c r="Y58" s="20">
        <f>SUM(Y56:Y57)</f>
        <v>4182.75</v>
      </c>
      <c r="Z58" s="20">
        <f>SUM(Z56:Z57)</f>
        <v>195</v>
      </c>
      <c r="AA58" s="20">
        <f>SUM(AA56:AA57)</f>
        <v>15</v>
      </c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3">
      <c r="A59" s="21">
        <f>A57+1</f>
        <v>27</v>
      </c>
      <c r="B59" s="46" t="s">
        <v>145</v>
      </c>
      <c r="C59" s="56" t="s">
        <v>146</v>
      </c>
      <c r="D59" s="82" t="s">
        <v>147</v>
      </c>
      <c r="E59" s="83" t="s">
        <v>79</v>
      </c>
      <c r="F59" s="84" t="s">
        <v>47</v>
      </c>
      <c r="G59" s="26">
        <v>1250</v>
      </c>
      <c r="H59" s="32">
        <f>G59*12</f>
        <v>15000</v>
      </c>
      <c r="I59" s="32">
        <v>60</v>
      </c>
      <c r="J59" s="32"/>
      <c r="K59" s="32">
        <f>G59</f>
        <v>1250</v>
      </c>
      <c r="L59" s="32">
        <v>300</v>
      </c>
      <c r="M59" s="12" t="e">
        <v>#REF!</v>
      </c>
      <c r="N59" s="24">
        <v>125</v>
      </c>
      <c r="O59" s="24"/>
      <c r="P59" s="12">
        <f>G59*0.0775*13</f>
        <v>1259.375</v>
      </c>
      <c r="Q59" s="40"/>
      <c r="R59" s="12">
        <f>P59/13</f>
        <v>96.875</v>
      </c>
      <c r="S59" s="12"/>
      <c r="T59" s="12"/>
      <c r="U59" s="12">
        <f>75*13</f>
        <v>975</v>
      </c>
      <c r="V59" s="12">
        <f>U59/13</f>
        <v>75</v>
      </c>
      <c r="W59" s="12"/>
      <c r="X59" s="12"/>
      <c r="Y59" s="12">
        <f>P59+S59+U59+W59</f>
        <v>2234.375</v>
      </c>
      <c r="Z59" s="12">
        <f>10*13</f>
        <v>130</v>
      </c>
      <c r="AA59" s="12">
        <f>Z59/13</f>
        <v>10</v>
      </c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>
      <c r="A60" s="21">
        <f>A59+1</f>
        <v>28</v>
      </c>
      <c r="B60" s="95" t="s">
        <v>148</v>
      </c>
      <c r="C60" s="56" t="s">
        <v>83</v>
      </c>
      <c r="D60" s="82" t="s">
        <v>147</v>
      </c>
      <c r="E60" s="83" t="s">
        <v>79</v>
      </c>
      <c r="F60" s="84" t="s">
        <v>47</v>
      </c>
      <c r="G60" s="26">
        <v>700</v>
      </c>
      <c r="H60" s="32">
        <f>G60*12</f>
        <v>8400</v>
      </c>
      <c r="I60" s="32">
        <v>60</v>
      </c>
      <c r="J60" s="36"/>
      <c r="K60" s="32">
        <f>G60</f>
        <v>700</v>
      </c>
      <c r="L60" s="32">
        <v>300</v>
      </c>
      <c r="M60" s="37"/>
      <c r="N60" s="24">
        <v>125</v>
      </c>
      <c r="O60" s="24"/>
      <c r="P60" s="12">
        <f>G60*0.0775*13</f>
        <v>705.25</v>
      </c>
      <c r="Q60" s="9">
        <f>P60/13</f>
        <v>54.25</v>
      </c>
      <c r="R60" s="12"/>
      <c r="S60" s="37"/>
      <c r="T60" s="37"/>
      <c r="U60" s="12">
        <f>G60*0.075*13</f>
        <v>682.5</v>
      </c>
      <c r="V60" s="12">
        <f>U60/13</f>
        <v>52.5</v>
      </c>
      <c r="W60" s="37"/>
      <c r="X60" s="37"/>
      <c r="Y60" s="12">
        <f>P60+S60+U60+W60</f>
        <v>1387.75</v>
      </c>
      <c r="Z60" s="12">
        <f>G60*0.01*13</f>
        <v>91</v>
      </c>
      <c r="AA60" s="12">
        <f>Z60/13</f>
        <v>7</v>
      </c>
      <c r="AB60" s="38"/>
      <c r="AC60" s="38"/>
      <c r="AD60" s="38"/>
      <c r="AE60" s="38"/>
      <c r="AF60" s="37"/>
      <c r="AG60" s="38"/>
      <c r="AH60" s="37"/>
      <c r="AI60" s="12"/>
      <c r="AJ60" s="38"/>
      <c r="AK60" s="38"/>
      <c r="AL60" s="38"/>
      <c r="AM60" s="12"/>
      <c r="AN60" s="12"/>
      <c r="AO60" s="12"/>
      <c r="AP60" s="38"/>
      <c r="AQ60" s="37"/>
    </row>
    <row r="61" spans="1:43">
      <c r="A61" s="21"/>
      <c r="B61" s="15"/>
      <c r="C61" s="85" t="s">
        <v>149</v>
      </c>
      <c r="D61" s="89"/>
      <c r="E61" s="83"/>
      <c r="F61" s="90"/>
      <c r="G61" s="86">
        <f>SUM(G59:G60)</f>
        <v>1950</v>
      </c>
      <c r="H61" s="30">
        <f>SUM(H59:H60)</f>
        <v>23400</v>
      </c>
      <c r="I61" s="30">
        <f>SUM(I59:I60)</f>
        <v>120</v>
      </c>
      <c r="J61" s="30"/>
      <c r="K61" s="30">
        <f>SUM(K59:K60)</f>
        <v>1950</v>
      </c>
      <c r="L61" s="30">
        <f>SUM(L59:L60)</f>
        <v>600</v>
      </c>
      <c r="M61" s="20" t="e">
        <f>SUM(M59:M60)</f>
        <v>#REF!</v>
      </c>
      <c r="N61" s="20">
        <f>SUM(N59:N60)</f>
        <v>250</v>
      </c>
      <c r="O61" s="31"/>
      <c r="P61" s="20">
        <f>SUM(P59:P60)+0.01</f>
        <v>1964.635</v>
      </c>
      <c r="Q61" s="20">
        <f t="shared" ref="Q61:V61" si="17">SUM(Q59:Q60)</f>
        <v>54.25</v>
      </c>
      <c r="R61" s="20">
        <f t="shared" si="17"/>
        <v>96.875</v>
      </c>
      <c r="S61" s="20">
        <f t="shared" si="17"/>
        <v>0</v>
      </c>
      <c r="T61" s="20">
        <f t="shared" si="17"/>
        <v>0</v>
      </c>
      <c r="U61" s="20">
        <f t="shared" si="17"/>
        <v>1657.5</v>
      </c>
      <c r="V61" s="20">
        <f t="shared" si="17"/>
        <v>127.5</v>
      </c>
      <c r="W61" s="20"/>
      <c r="X61" s="20">
        <f>SUM(X59:X60)</f>
        <v>0</v>
      </c>
      <c r="Y61" s="20">
        <f>SUM(Y59:Y60)+0.01</f>
        <v>3622.1350000000002</v>
      </c>
      <c r="Z61" s="20">
        <f>SUM(Z59:Z60)</f>
        <v>221</v>
      </c>
      <c r="AA61" s="20">
        <f>SUM(AA59:AA60)</f>
        <v>17</v>
      </c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:43">
      <c r="A62" s="21">
        <f>A60+1</f>
        <v>29</v>
      </c>
      <c r="B62" s="45" t="s">
        <v>150</v>
      </c>
      <c r="C62" s="56" t="s">
        <v>151</v>
      </c>
      <c r="D62" s="82" t="s">
        <v>152</v>
      </c>
      <c r="E62" s="83" t="s">
        <v>79</v>
      </c>
      <c r="F62" s="84" t="s">
        <v>47</v>
      </c>
      <c r="G62" s="26">
        <f>1037+30+50</f>
        <v>1117</v>
      </c>
      <c r="H62" s="32">
        <f>G62*12</f>
        <v>13404</v>
      </c>
      <c r="I62" s="32">
        <v>60</v>
      </c>
      <c r="J62" s="32"/>
      <c r="K62" s="32">
        <f>G62</f>
        <v>1117</v>
      </c>
      <c r="L62" s="32">
        <v>300</v>
      </c>
      <c r="M62" s="12"/>
      <c r="N62" s="24">
        <v>125</v>
      </c>
      <c r="O62" s="24"/>
      <c r="P62" s="12">
        <f>G62*0.0775*13</f>
        <v>1125.3775000000001</v>
      </c>
      <c r="Q62" s="9"/>
      <c r="R62" s="12">
        <f>P62/13</f>
        <v>86.56750000000001</v>
      </c>
      <c r="S62" s="12"/>
      <c r="T62" s="12"/>
      <c r="U62" s="12">
        <f>75*13</f>
        <v>975</v>
      </c>
      <c r="V62" s="12">
        <f>U62/13</f>
        <v>75</v>
      </c>
      <c r="W62" s="12"/>
      <c r="X62" s="12"/>
      <c r="Y62" s="12">
        <f>P62+S62+U62+W62</f>
        <v>2100.3775000000001</v>
      </c>
      <c r="Z62" s="12">
        <f>10*13</f>
        <v>130</v>
      </c>
      <c r="AA62" s="12">
        <f>Z62/13</f>
        <v>10</v>
      </c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>
      <c r="A63" s="21">
        <f>A62+1</f>
        <v>30</v>
      </c>
      <c r="B63" s="42" t="s">
        <v>153</v>
      </c>
      <c r="C63" s="56" t="s">
        <v>143</v>
      </c>
      <c r="D63" s="82" t="s">
        <v>152</v>
      </c>
      <c r="E63" s="83" t="s">
        <v>79</v>
      </c>
      <c r="F63" s="84" t="s">
        <v>47</v>
      </c>
      <c r="G63" s="26">
        <v>467</v>
      </c>
      <c r="H63" s="32">
        <f>G63*12</f>
        <v>5604</v>
      </c>
      <c r="I63" s="32">
        <v>60</v>
      </c>
      <c r="J63" s="32"/>
      <c r="K63" s="32">
        <f>G63</f>
        <v>467</v>
      </c>
      <c r="L63" s="32">
        <v>300</v>
      </c>
      <c r="M63" s="12"/>
      <c r="N63" s="24">
        <v>125</v>
      </c>
      <c r="O63" s="24"/>
      <c r="P63" s="12">
        <f>G63*0.0775*13</f>
        <v>470.50250000000005</v>
      </c>
      <c r="Q63" s="40"/>
      <c r="R63" s="12">
        <f>P63/13</f>
        <v>36.192500000000003</v>
      </c>
      <c r="S63" s="12"/>
      <c r="T63" s="12"/>
      <c r="U63" s="12">
        <f>G63*0.075*13</f>
        <v>455.32499999999999</v>
      </c>
      <c r="V63" s="12">
        <f>U63/13</f>
        <v>35.024999999999999</v>
      </c>
      <c r="W63" s="12"/>
      <c r="X63" s="12"/>
      <c r="Y63" s="12">
        <f>P63+S63+U63+W63</f>
        <v>925.8275000000001</v>
      </c>
      <c r="Z63" s="12">
        <f>G63*0.01*13</f>
        <v>60.71</v>
      </c>
      <c r="AA63" s="12">
        <f>Z63/13</f>
        <v>4.67</v>
      </c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</row>
    <row r="64" spans="1:43">
      <c r="A64" s="21">
        <f>A63+1</f>
        <v>31</v>
      </c>
      <c r="B64" s="96" t="s">
        <v>154</v>
      </c>
      <c r="C64" s="56" t="s">
        <v>91</v>
      </c>
      <c r="D64" s="82" t="s">
        <v>152</v>
      </c>
      <c r="E64" s="83" t="s">
        <v>79</v>
      </c>
      <c r="F64" s="84" t="s">
        <v>47</v>
      </c>
      <c r="G64" s="26">
        <v>417</v>
      </c>
      <c r="H64" s="32">
        <f>G64*12</f>
        <v>5004</v>
      </c>
      <c r="I64" s="32">
        <v>60</v>
      </c>
      <c r="J64" s="32"/>
      <c r="K64" s="32">
        <f>G64</f>
        <v>417</v>
      </c>
      <c r="L64" s="32">
        <v>300</v>
      </c>
      <c r="M64" s="12"/>
      <c r="N64" s="24">
        <v>125</v>
      </c>
      <c r="O64" s="24"/>
      <c r="P64" s="12">
        <f>G64*0.0775*13</f>
        <v>420.12750000000005</v>
      </c>
      <c r="Q64" s="40"/>
      <c r="R64" s="12">
        <f>P64/13</f>
        <v>32.317500000000003</v>
      </c>
      <c r="S64" s="12"/>
      <c r="T64" s="12"/>
      <c r="U64" s="12">
        <f>G64*0.075*13</f>
        <v>406.57499999999999</v>
      </c>
      <c r="V64" s="12">
        <f>U64/13</f>
        <v>31.274999999999999</v>
      </c>
      <c r="W64" s="12"/>
      <c r="X64" s="12"/>
      <c r="Y64" s="12">
        <f>P64+S64+U64+W64+0.01</f>
        <v>826.71250000000009</v>
      </c>
      <c r="Z64" s="12">
        <f>G64*0.01*13</f>
        <v>54.21</v>
      </c>
      <c r="AA64" s="12">
        <f>Z64/13</f>
        <v>4.17</v>
      </c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1:43">
      <c r="A65" s="21"/>
      <c r="B65" s="15"/>
      <c r="C65" s="85" t="s">
        <v>155</v>
      </c>
      <c r="D65" s="82"/>
      <c r="E65" s="83"/>
      <c r="F65" s="84"/>
      <c r="G65" s="86">
        <f>SUM(G62:G64)</f>
        <v>2001</v>
      </c>
      <c r="H65" s="30">
        <f>SUM(H62:H64)</f>
        <v>24012</v>
      </c>
      <c r="I65" s="30">
        <f>SUM(I62:I64)</f>
        <v>180</v>
      </c>
      <c r="J65" s="30"/>
      <c r="K65" s="30">
        <f>SUM(K62:K64)</f>
        <v>2001</v>
      </c>
      <c r="L65" s="30">
        <f>SUM(L62:L64)</f>
        <v>900</v>
      </c>
      <c r="M65" s="20"/>
      <c r="N65" s="20">
        <f>SUM(N62:N64)</f>
        <v>375</v>
      </c>
      <c r="O65" s="31"/>
      <c r="P65" s="20">
        <f>SUM(P62:P64)</f>
        <v>2016.0075000000002</v>
      </c>
      <c r="Q65" s="20">
        <f>SUM(Q62:Q64)</f>
        <v>0</v>
      </c>
      <c r="R65" s="20">
        <f>SUM(R62:R64)</f>
        <v>155.07750000000001</v>
      </c>
      <c r="S65" s="20">
        <f>SUM(S62:S64)</f>
        <v>0</v>
      </c>
      <c r="T65" s="20">
        <f>SUM(T62:T64)</f>
        <v>0</v>
      </c>
      <c r="U65" s="20">
        <f>SUM(U62:U64)+0.01</f>
        <v>1836.91</v>
      </c>
      <c r="V65" s="20">
        <f>SUM(V62:V64)+0.01</f>
        <v>141.31</v>
      </c>
      <c r="W65" s="20">
        <f>SUM(W62:W64)</f>
        <v>0</v>
      </c>
      <c r="X65" s="20">
        <f>SUM(X62:X64)</f>
        <v>0</v>
      </c>
      <c r="Y65" s="20">
        <f>SUM(Y62:Y64)</f>
        <v>3852.9175</v>
      </c>
      <c r="Z65" s="20">
        <f>SUM(Z62:Z64)</f>
        <v>244.92000000000002</v>
      </c>
      <c r="AA65" s="20">
        <f>SUM(AA62:AA64)</f>
        <v>18.84</v>
      </c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3">
      <c r="A66" s="21">
        <f>A64+1</f>
        <v>32</v>
      </c>
      <c r="B66" s="45" t="s">
        <v>156</v>
      </c>
      <c r="C66" s="56" t="s">
        <v>157</v>
      </c>
      <c r="D66" s="82" t="s">
        <v>158</v>
      </c>
      <c r="E66" s="83" t="s">
        <v>79</v>
      </c>
      <c r="F66" s="84" t="s">
        <v>47</v>
      </c>
      <c r="G66" s="26">
        <f>1000</f>
        <v>1000</v>
      </c>
      <c r="H66" s="32">
        <f>G66*12</f>
        <v>12000</v>
      </c>
      <c r="I66" s="32">
        <v>60</v>
      </c>
      <c r="J66" s="32"/>
      <c r="K66" s="32">
        <f>G66</f>
        <v>1000</v>
      </c>
      <c r="L66" s="32">
        <v>300</v>
      </c>
      <c r="M66" s="12"/>
      <c r="N66" s="24">
        <v>125</v>
      </c>
      <c r="O66" s="24"/>
      <c r="P66" s="12">
        <f>G66*0.0775*13</f>
        <v>1007.5</v>
      </c>
      <c r="Q66" s="9"/>
      <c r="R66" s="12">
        <f>P66/13</f>
        <v>77.5</v>
      </c>
      <c r="S66" s="12"/>
      <c r="T66" s="12"/>
      <c r="U66" s="12">
        <f>75*13</f>
        <v>975</v>
      </c>
      <c r="V66" s="12">
        <f>U66/13</f>
        <v>75</v>
      </c>
      <c r="W66" s="12"/>
      <c r="X66" s="12"/>
      <c r="Y66" s="12">
        <f>P66+S66+U66+W66</f>
        <v>1982.5</v>
      </c>
      <c r="Z66" s="12">
        <f>10*13</f>
        <v>130</v>
      </c>
      <c r="AA66" s="12">
        <f>Z66/13</f>
        <v>10</v>
      </c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:43">
      <c r="A67" s="21">
        <f>A66+1</f>
        <v>33</v>
      </c>
      <c r="B67" s="42" t="s">
        <v>159</v>
      </c>
      <c r="C67" s="56" t="s">
        <v>160</v>
      </c>
      <c r="D67" s="82" t="s">
        <v>158</v>
      </c>
      <c r="E67" s="83" t="s">
        <v>79</v>
      </c>
      <c r="F67" s="84" t="s">
        <v>47</v>
      </c>
      <c r="G67" s="26">
        <v>900</v>
      </c>
      <c r="H67" s="32">
        <f>G67*12</f>
        <v>10800</v>
      </c>
      <c r="I67" s="32">
        <v>60</v>
      </c>
      <c r="J67" s="32"/>
      <c r="K67" s="32">
        <f>G67</f>
        <v>900</v>
      </c>
      <c r="L67" s="32">
        <v>300</v>
      </c>
      <c r="M67" s="12"/>
      <c r="N67" s="24">
        <v>125</v>
      </c>
      <c r="O67" s="24"/>
      <c r="P67" s="12">
        <f>G67*0.0775*13</f>
        <v>906.75</v>
      </c>
      <c r="Q67" s="9"/>
      <c r="R67" s="12">
        <f>P67/13</f>
        <v>69.75</v>
      </c>
      <c r="S67" s="12"/>
      <c r="T67" s="12"/>
      <c r="U67" s="12">
        <f>G67*0.075*13</f>
        <v>877.5</v>
      </c>
      <c r="V67" s="12">
        <f>U67/13</f>
        <v>67.5</v>
      </c>
      <c r="W67" s="12"/>
      <c r="X67" s="12"/>
      <c r="Y67" s="12">
        <f>P67+S67+U67+W67</f>
        <v>1784.25</v>
      </c>
      <c r="Z67" s="12">
        <f>10*13</f>
        <v>130</v>
      </c>
      <c r="AA67" s="12">
        <f>Z67/13</f>
        <v>10</v>
      </c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1:43">
      <c r="A68" s="21">
        <f>A67+1</f>
        <v>34</v>
      </c>
      <c r="B68" s="45" t="s">
        <v>161</v>
      </c>
      <c r="C68" s="51" t="s">
        <v>162</v>
      </c>
      <c r="D68" s="82" t="s">
        <v>158</v>
      </c>
      <c r="E68" s="83" t="s">
        <v>79</v>
      </c>
      <c r="F68" s="84" t="s">
        <v>47</v>
      </c>
      <c r="G68" s="26">
        <v>662.29</v>
      </c>
      <c r="H68" s="32">
        <f>G68*12</f>
        <v>7947.48</v>
      </c>
      <c r="I68" s="32">
        <v>60</v>
      </c>
      <c r="J68" s="36"/>
      <c r="K68" s="32">
        <f>G68</f>
        <v>662.29</v>
      </c>
      <c r="L68" s="32">
        <v>300</v>
      </c>
      <c r="M68" s="37"/>
      <c r="N68" s="24">
        <v>125</v>
      </c>
      <c r="O68" s="24"/>
      <c r="P68" s="12">
        <f>G68*0.0775*13</f>
        <v>667.25717499999996</v>
      </c>
      <c r="Q68" s="40"/>
      <c r="R68" s="12">
        <f>P68/13</f>
        <v>51.327475</v>
      </c>
      <c r="S68" s="37"/>
      <c r="T68" s="37"/>
      <c r="U68" s="12">
        <f>G68*0.075*13</f>
        <v>645.7327499999999</v>
      </c>
      <c r="V68" s="12">
        <f>U68/13</f>
        <v>49.671749999999989</v>
      </c>
      <c r="W68" s="37"/>
      <c r="X68" s="37"/>
      <c r="Y68" s="12">
        <f>P68+S68+U68+W68</f>
        <v>1312.9899249999999</v>
      </c>
      <c r="Z68" s="12">
        <f>G68*0.01*13</f>
        <v>86.097699999999989</v>
      </c>
      <c r="AA68" s="12">
        <f>Z68/13</f>
        <v>6.6228999999999996</v>
      </c>
      <c r="AB68" s="38"/>
      <c r="AC68" s="38"/>
      <c r="AD68" s="38"/>
      <c r="AE68" s="38"/>
      <c r="AF68" s="37"/>
      <c r="AG68" s="38"/>
      <c r="AH68" s="37"/>
      <c r="AI68" s="12"/>
      <c r="AJ68" s="38"/>
      <c r="AK68" s="38"/>
      <c r="AL68" s="38"/>
      <c r="AM68" s="12"/>
      <c r="AN68" s="12"/>
      <c r="AO68" s="12"/>
      <c r="AP68" s="38"/>
      <c r="AQ68" s="37"/>
    </row>
    <row r="69" spans="1:43">
      <c r="A69" s="21"/>
      <c r="B69" s="15"/>
      <c r="C69" s="85" t="s">
        <v>163</v>
      </c>
      <c r="D69" s="82"/>
      <c r="E69" s="97"/>
      <c r="F69" s="90"/>
      <c r="G69" s="86">
        <f>SUM(G66:G68)</f>
        <v>2562.29</v>
      </c>
      <c r="H69" s="30">
        <f>SUM(H66:H68)</f>
        <v>30747.48</v>
      </c>
      <c r="I69" s="30">
        <f>SUM(I66:I68)</f>
        <v>180</v>
      </c>
      <c r="J69" s="30"/>
      <c r="K69" s="30">
        <f>SUM(K66:K68)</f>
        <v>2562.29</v>
      </c>
      <c r="L69" s="30">
        <f>SUM(L66:L68)</f>
        <v>900</v>
      </c>
      <c r="M69" s="20"/>
      <c r="N69" s="20">
        <f>SUM(N66:N68)</f>
        <v>375</v>
      </c>
      <c r="O69" s="31"/>
      <c r="P69" s="20">
        <f t="shared" ref="P69:AA69" si="18">SUM(P66:P68)</f>
        <v>2581.5071749999997</v>
      </c>
      <c r="Q69" s="20">
        <f t="shared" si="18"/>
        <v>0</v>
      </c>
      <c r="R69" s="20">
        <f t="shared" si="18"/>
        <v>198.57747499999999</v>
      </c>
      <c r="S69" s="20">
        <f t="shared" si="18"/>
        <v>0</v>
      </c>
      <c r="T69" s="20">
        <f t="shared" si="18"/>
        <v>0</v>
      </c>
      <c r="U69" s="20">
        <f t="shared" si="18"/>
        <v>2498.2327500000001</v>
      </c>
      <c r="V69" s="20">
        <f t="shared" si="18"/>
        <v>192.17174999999997</v>
      </c>
      <c r="W69" s="20">
        <f t="shared" si="18"/>
        <v>0</v>
      </c>
      <c r="X69" s="20">
        <f t="shared" si="18"/>
        <v>0</v>
      </c>
      <c r="Y69" s="20">
        <f t="shared" si="18"/>
        <v>5079.7399249999999</v>
      </c>
      <c r="Z69" s="20">
        <f t="shared" si="18"/>
        <v>346.09769999999997</v>
      </c>
      <c r="AA69" s="20">
        <f t="shared" si="18"/>
        <v>26.622900000000001</v>
      </c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</row>
    <row r="70" spans="1:43" ht="37.5" customHeight="1">
      <c r="A70" s="21">
        <f>A68+1</f>
        <v>35</v>
      </c>
      <c r="B70" s="51" t="s">
        <v>164</v>
      </c>
      <c r="C70" s="53" t="s">
        <v>165</v>
      </c>
      <c r="D70" s="82" t="s">
        <v>166</v>
      </c>
      <c r="E70" s="83" t="s">
        <v>79</v>
      </c>
      <c r="F70" s="84" t="s">
        <v>47</v>
      </c>
      <c r="G70" s="26">
        <v>1000</v>
      </c>
      <c r="H70" s="32">
        <f>G70*12</f>
        <v>12000</v>
      </c>
      <c r="I70" s="32">
        <v>60</v>
      </c>
      <c r="J70" s="32"/>
      <c r="K70" s="32">
        <f>G70</f>
        <v>1000</v>
      </c>
      <c r="L70" s="32">
        <v>300</v>
      </c>
      <c r="M70" s="12">
        <v>1000</v>
      </c>
      <c r="N70" s="24">
        <v>125</v>
      </c>
      <c r="O70" s="24"/>
      <c r="P70" s="12">
        <f>G70*0.0775*13</f>
        <v>1007.5</v>
      </c>
      <c r="Q70" s="9"/>
      <c r="R70" s="12">
        <f>P70/13</f>
        <v>77.5</v>
      </c>
      <c r="S70" s="12"/>
      <c r="T70" s="12"/>
      <c r="U70" s="12">
        <f>G70*0.075*13</f>
        <v>975</v>
      </c>
      <c r="V70" s="12">
        <f>U70/13</f>
        <v>75</v>
      </c>
      <c r="W70" s="12"/>
      <c r="X70" s="12"/>
      <c r="Y70" s="12">
        <f>P70+S70+U70+W70</f>
        <v>1982.5</v>
      </c>
      <c r="Z70" s="12">
        <f>G70*0.01*13</f>
        <v>130</v>
      </c>
      <c r="AA70" s="12">
        <f>Z70/13</f>
        <v>10</v>
      </c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:43" ht="38.25" customHeight="1">
      <c r="A71" s="21">
        <f>A70+1</f>
        <v>36</v>
      </c>
      <c r="B71" s="45" t="s">
        <v>167</v>
      </c>
      <c r="C71" s="56" t="s">
        <v>110</v>
      </c>
      <c r="D71" s="82" t="s">
        <v>166</v>
      </c>
      <c r="E71" s="83" t="s">
        <v>79</v>
      </c>
      <c r="F71" s="84" t="s">
        <v>47</v>
      </c>
      <c r="G71" s="26">
        <f>572+30+50</f>
        <v>652</v>
      </c>
      <c r="H71" s="32">
        <f>G71*12</f>
        <v>7824</v>
      </c>
      <c r="I71" s="32">
        <v>60</v>
      </c>
      <c r="J71" s="32"/>
      <c r="K71" s="32">
        <f>G71</f>
        <v>652</v>
      </c>
      <c r="L71" s="32">
        <v>300</v>
      </c>
      <c r="M71" s="12"/>
      <c r="N71" s="24">
        <v>125</v>
      </c>
      <c r="O71" s="24"/>
      <c r="P71" s="12">
        <f>G71*0.0775*13</f>
        <v>656.89</v>
      </c>
      <c r="Q71" s="9"/>
      <c r="R71" s="12">
        <f>P71/13</f>
        <v>50.53</v>
      </c>
      <c r="S71" s="12"/>
      <c r="T71" s="12"/>
      <c r="U71" s="12">
        <f>G71*0.075*13</f>
        <v>635.69999999999993</v>
      </c>
      <c r="V71" s="12">
        <f>U71/13</f>
        <v>48.899999999999991</v>
      </c>
      <c r="W71" s="12"/>
      <c r="X71" s="12"/>
      <c r="Y71" s="12">
        <f>P71+S71+U71+W71</f>
        <v>1292.5899999999999</v>
      </c>
      <c r="Z71" s="12">
        <f>G71*0.01*13</f>
        <v>84.76</v>
      </c>
      <c r="AA71" s="12">
        <f>Z71/13</f>
        <v>6.5200000000000005</v>
      </c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1:43" ht="39.75" customHeight="1">
      <c r="A72" s="21">
        <f>A71+1</f>
        <v>37</v>
      </c>
      <c r="B72" s="45" t="s">
        <v>168</v>
      </c>
      <c r="C72" s="56" t="s">
        <v>83</v>
      </c>
      <c r="D72" s="82" t="s">
        <v>166</v>
      </c>
      <c r="E72" s="83" t="s">
        <v>79</v>
      </c>
      <c r="F72" s="84" t="s">
        <v>47</v>
      </c>
      <c r="G72" s="26">
        <f>547+30+50</f>
        <v>627</v>
      </c>
      <c r="H72" s="32">
        <f>G72*12</f>
        <v>7524</v>
      </c>
      <c r="I72" s="32">
        <v>60</v>
      </c>
      <c r="J72" s="32"/>
      <c r="K72" s="32">
        <f>G72</f>
        <v>627</v>
      </c>
      <c r="L72" s="32">
        <v>300</v>
      </c>
      <c r="M72" s="12"/>
      <c r="N72" s="24">
        <v>125</v>
      </c>
      <c r="O72" s="24"/>
      <c r="P72" s="12">
        <f>G72*0.0775*13</f>
        <v>631.70249999999999</v>
      </c>
      <c r="Q72" s="12"/>
      <c r="R72" s="12">
        <f>P72/13</f>
        <v>48.592500000000001</v>
      </c>
      <c r="S72" s="12"/>
      <c r="T72" s="12"/>
      <c r="U72" s="12">
        <f>G72*0.075*13</f>
        <v>611.32499999999993</v>
      </c>
      <c r="V72" s="12">
        <f>U72/13</f>
        <v>47.024999999999991</v>
      </c>
      <c r="W72" s="12"/>
      <c r="X72" s="12"/>
      <c r="Y72" s="12">
        <f>P72+S72+U72+W72</f>
        <v>1243.0274999999999</v>
      </c>
      <c r="Z72" s="12">
        <f>G72*0.01*13</f>
        <v>81.510000000000005</v>
      </c>
      <c r="AA72" s="12">
        <f>Z72/13</f>
        <v>6.2700000000000005</v>
      </c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1:43" ht="38.25" customHeight="1">
      <c r="A73" s="21">
        <f>A72+1</f>
        <v>38</v>
      </c>
      <c r="B73" s="42" t="s">
        <v>169</v>
      </c>
      <c r="C73" s="56" t="s">
        <v>123</v>
      </c>
      <c r="D73" s="82" t="s">
        <v>166</v>
      </c>
      <c r="E73" s="83" t="s">
        <v>79</v>
      </c>
      <c r="F73" s="84" t="s">
        <v>47</v>
      </c>
      <c r="G73" s="26">
        <v>417</v>
      </c>
      <c r="H73" s="32">
        <f>G73*12</f>
        <v>5004</v>
      </c>
      <c r="I73" s="32">
        <v>60</v>
      </c>
      <c r="J73" s="32"/>
      <c r="K73" s="32">
        <f>G73</f>
        <v>417</v>
      </c>
      <c r="L73" s="32">
        <v>300</v>
      </c>
      <c r="M73" s="12"/>
      <c r="N73" s="24">
        <v>125</v>
      </c>
      <c r="O73" s="24"/>
      <c r="P73" s="12">
        <f>G73*0.0775*13</f>
        <v>420.12750000000005</v>
      </c>
      <c r="Q73" s="9">
        <f>P73/13</f>
        <v>32.317500000000003</v>
      </c>
      <c r="R73" s="12"/>
      <c r="S73" s="37"/>
      <c r="T73" s="37"/>
      <c r="U73" s="12">
        <f>G73*0.075*13</f>
        <v>406.57499999999999</v>
      </c>
      <c r="V73" s="12">
        <f>U73/13</f>
        <v>31.274999999999999</v>
      </c>
      <c r="W73" s="37"/>
      <c r="X73" s="37"/>
      <c r="Y73" s="12">
        <f>P73+S73+U73+W73+0.01</f>
        <v>826.71250000000009</v>
      </c>
      <c r="Z73" s="12">
        <f>G73*0.01*13</f>
        <v>54.21</v>
      </c>
      <c r="AA73" s="12">
        <f>Z73/13</f>
        <v>4.17</v>
      </c>
      <c r="AB73" s="12"/>
      <c r="AC73" s="12"/>
      <c r="AD73" s="12"/>
      <c r="AE73" s="12"/>
      <c r="AF73" s="37"/>
      <c r="AG73" s="12"/>
      <c r="AH73" s="37"/>
      <c r="AI73" s="12"/>
      <c r="AJ73" s="12"/>
      <c r="AK73" s="12"/>
      <c r="AL73" s="12"/>
      <c r="AM73" s="12"/>
      <c r="AN73" s="12"/>
      <c r="AO73" s="12"/>
      <c r="AP73" s="12"/>
      <c r="AQ73" s="37"/>
    </row>
    <row r="74" spans="1:43">
      <c r="A74" s="21"/>
      <c r="B74" s="15"/>
      <c r="C74" s="85" t="s">
        <v>170</v>
      </c>
      <c r="D74" s="82"/>
      <c r="E74" s="83"/>
      <c r="F74" s="84"/>
      <c r="G74" s="86">
        <f>SUM(G70:G73)</f>
        <v>2696</v>
      </c>
      <c r="H74" s="30">
        <f>SUM(H70:H73)</f>
        <v>32352</v>
      </c>
      <c r="I74" s="30">
        <f>SUM(I70:I73)</f>
        <v>240</v>
      </c>
      <c r="J74" s="32"/>
      <c r="K74" s="30">
        <f t="shared" ref="K74:AA74" si="19">SUM(K70:K73)</f>
        <v>2696</v>
      </c>
      <c r="L74" s="30">
        <f t="shared" si="19"/>
        <v>1200</v>
      </c>
      <c r="M74" s="20">
        <f t="shared" si="19"/>
        <v>1000</v>
      </c>
      <c r="N74" s="20">
        <f t="shared" si="19"/>
        <v>500</v>
      </c>
      <c r="O74" s="20">
        <f t="shared" si="19"/>
        <v>0</v>
      </c>
      <c r="P74" s="20">
        <f>SUM(P70:P73)</f>
        <v>2716.22</v>
      </c>
      <c r="Q74" s="20">
        <f t="shared" si="19"/>
        <v>32.317500000000003</v>
      </c>
      <c r="R74" s="20">
        <f>SUM(R70:R73)-0.01</f>
        <v>176.61250000000001</v>
      </c>
      <c r="S74" s="20">
        <f>SUM(S70:S73)</f>
        <v>0</v>
      </c>
      <c r="T74" s="20">
        <f>SUM(T70:T73)</f>
        <v>0</v>
      </c>
      <c r="U74" s="20">
        <f>SUM(U70:U73)+0.01</f>
        <v>2628.6099999999997</v>
      </c>
      <c r="V74" s="20">
        <f>SUM(V70:V73)+0.01</f>
        <v>202.20999999999998</v>
      </c>
      <c r="W74" s="20">
        <f t="shared" si="19"/>
        <v>0</v>
      </c>
      <c r="X74" s="20">
        <f t="shared" si="19"/>
        <v>0</v>
      </c>
      <c r="Y74" s="20">
        <f>SUM(Y70:Y73)</f>
        <v>5344.83</v>
      </c>
      <c r="Z74" s="20">
        <f t="shared" si="19"/>
        <v>350.47999999999996</v>
      </c>
      <c r="AA74" s="20">
        <f t="shared" si="19"/>
        <v>26.96</v>
      </c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20"/>
      <c r="AN74" s="20"/>
      <c r="AO74" s="20"/>
      <c r="AP74" s="12"/>
      <c r="AQ74" s="12"/>
    </row>
    <row r="75" spans="1:43" ht="41.25" customHeight="1">
      <c r="A75" s="21">
        <f>A73+1</f>
        <v>39</v>
      </c>
      <c r="B75" s="45" t="s">
        <v>171</v>
      </c>
      <c r="C75" s="98" t="s">
        <v>172</v>
      </c>
      <c r="D75" s="87" t="s">
        <v>173</v>
      </c>
      <c r="E75" s="83" t="s">
        <v>79</v>
      </c>
      <c r="F75" s="84" t="s">
        <v>47</v>
      </c>
      <c r="G75" s="26">
        <f>700+50</f>
        <v>750</v>
      </c>
      <c r="H75" s="32">
        <f>G75*12</f>
        <v>9000</v>
      </c>
      <c r="I75" s="32">
        <v>60</v>
      </c>
      <c r="J75" s="36"/>
      <c r="K75" s="32">
        <f>G75</f>
        <v>750</v>
      </c>
      <c r="L75" s="32">
        <v>300</v>
      </c>
      <c r="M75" s="37"/>
      <c r="N75" s="24">
        <v>125</v>
      </c>
      <c r="O75" s="24"/>
      <c r="P75" s="12">
        <f>G75*0.0775*13</f>
        <v>755.625</v>
      </c>
      <c r="Q75" s="9">
        <f>P75/13</f>
        <v>58.125</v>
      </c>
      <c r="R75" s="12"/>
      <c r="S75" s="12"/>
      <c r="T75" s="12"/>
      <c r="U75" s="12">
        <f>G75*0.075*13</f>
        <v>731.25</v>
      </c>
      <c r="V75" s="12">
        <f>U75/13</f>
        <v>56.25</v>
      </c>
      <c r="W75" s="12"/>
      <c r="X75" s="12"/>
      <c r="Y75" s="12">
        <f>P75+S75+U75+W75</f>
        <v>1486.875</v>
      </c>
      <c r="Z75" s="12">
        <f>G75*0.01*13</f>
        <v>97.5</v>
      </c>
      <c r="AA75" s="12">
        <f>Z75/13</f>
        <v>7.5</v>
      </c>
      <c r="AB75" s="38"/>
      <c r="AC75" s="38"/>
      <c r="AD75" s="38"/>
      <c r="AE75" s="38"/>
      <c r="AF75" s="37"/>
      <c r="AG75" s="38"/>
      <c r="AH75" s="37"/>
      <c r="AI75" s="12"/>
      <c r="AJ75" s="38"/>
      <c r="AK75" s="38"/>
      <c r="AL75" s="38"/>
      <c r="AM75" s="12"/>
      <c r="AN75" s="12"/>
      <c r="AO75" s="12"/>
      <c r="AP75" s="38"/>
      <c r="AQ75" s="37"/>
    </row>
    <row r="76" spans="1:43" ht="21.6">
      <c r="A76" s="21">
        <f>A75+1</f>
        <v>40</v>
      </c>
      <c r="B76" s="27" t="s">
        <v>174</v>
      </c>
      <c r="C76" s="56" t="s">
        <v>175</v>
      </c>
      <c r="D76" s="87" t="s">
        <v>173</v>
      </c>
      <c r="E76" s="83" t="s">
        <v>79</v>
      </c>
      <c r="F76" s="84" t="s">
        <v>47</v>
      </c>
      <c r="G76" s="26">
        <v>500</v>
      </c>
      <c r="H76" s="32">
        <f t="shared" ref="H76:H86" si="20">G76*12</f>
        <v>6000</v>
      </c>
      <c r="I76" s="32">
        <v>60</v>
      </c>
      <c r="J76" s="32"/>
      <c r="K76" s="32">
        <f t="shared" ref="K76:K86" si="21">G76</f>
        <v>500</v>
      </c>
      <c r="L76" s="32">
        <v>300</v>
      </c>
      <c r="M76" s="12"/>
      <c r="N76" s="24">
        <v>125</v>
      </c>
      <c r="O76" s="24"/>
      <c r="P76" s="12">
        <f t="shared" ref="P76:P86" si="22">G76*0.0775*13</f>
        <v>503.75</v>
      </c>
      <c r="Q76" s="9"/>
      <c r="R76" s="12">
        <f>P76/13</f>
        <v>38.75</v>
      </c>
      <c r="S76" s="12"/>
      <c r="T76" s="12"/>
      <c r="U76" s="12">
        <f t="shared" ref="U76:U89" si="23">G76*0.075*13</f>
        <v>487.5</v>
      </c>
      <c r="V76" s="12">
        <f t="shared" ref="V76:V86" si="24">U76/13</f>
        <v>37.5</v>
      </c>
      <c r="W76" s="12"/>
      <c r="X76" s="12"/>
      <c r="Y76" s="12">
        <f t="shared" ref="Y76:Y83" si="25">P76+S76+U76+W76</f>
        <v>991.25</v>
      </c>
      <c r="Z76" s="12">
        <f t="shared" ref="Z76:Z86" si="26">G76*0.01*13</f>
        <v>65</v>
      </c>
      <c r="AA76" s="12">
        <f t="shared" ref="AA76:AA86" si="27">Z76/13</f>
        <v>5</v>
      </c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1:43" ht="21.6">
      <c r="A77" s="21">
        <f t="shared" ref="A77:A86" si="28">A76+1</f>
        <v>41</v>
      </c>
      <c r="B77" s="45" t="s">
        <v>176</v>
      </c>
      <c r="C77" s="56" t="s">
        <v>177</v>
      </c>
      <c r="D77" s="87" t="s">
        <v>173</v>
      </c>
      <c r="E77" s="83" t="s">
        <v>79</v>
      </c>
      <c r="F77" s="84" t="s">
        <v>47</v>
      </c>
      <c r="G77" s="26">
        <f>582.29+30+50</f>
        <v>662.29</v>
      </c>
      <c r="H77" s="32">
        <f>G77*12</f>
        <v>7947.48</v>
      </c>
      <c r="I77" s="32">
        <v>60</v>
      </c>
      <c r="J77" s="36"/>
      <c r="K77" s="32">
        <f>G77</f>
        <v>662.29</v>
      </c>
      <c r="L77" s="32">
        <v>300</v>
      </c>
      <c r="M77" s="37"/>
      <c r="N77" s="24">
        <v>125</v>
      </c>
      <c r="O77" s="24"/>
      <c r="P77" s="12">
        <f t="shared" si="22"/>
        <v>667.25717499999996</v>
      </c>
      <c r="Q77" s="9">
        <f t="shared" ref="Q77:Q84" si="29">P77/13</f>
        <v>51.327475</v>
      </c>
      <c r="R77" s="12"/>
      <c r="S77" s="12"/>
      <c r="T77" s="12"/>
      <c r="U77" s="12">
        <f>G77*0.075*13</f>
        <v>645.7327499999999</v>
      </c>
      <c r="V77" s="12">
        <f t="shared" si="24"/>
        <v>49.671749999999989</v>
      </c>
      <c r="W77" s="12"/>
      <c r="X77" s="12"/>
      <c r="Y77" s="12">
        <f t="shared" si="25"/>
        <v>1312.9899249999999</v>
      </c>
      <c r="Z77" s="12">
        <f>G77*0.01*13</f>
        <v>86.097699999999989</v>
      </c>
      <c r="AA77" s="12">
        <f t="shared" si="27"/>
        <v>6.6228999999999996</v>
      </c>
      <c r="AB77" s="38"/>
      <c r="AC77" s="38"/>
      <c r="AD77" s="38"/>
      <c r="AE77" s="38"/>
      <c r="AF77" s="37"/>
      <c r="AG77" s="38"/>
      <c r="AH77" s="37"/>
      <c r="AI77" s="12"/>
      <c r="AJ77" s="38"/>
      <c r="AK77" s="38"/>
      <c r="AL77" s="38"/>
      <c r="AM77" s="12"/>
      <c r="AN77" s="12"/>
      <c r="AO77" s="12"/>
      <c r="AP77" s="38"/>
      <c r="AQ77" s="37"/>
    </row>
    <row r="78" spans="1:43" ht="21.6">
      <c r="A78" s="21">
        <f t="shared" si="28"/>
        <v>42</v>
      </c>
      <c r="B78" s="45" t="s">
        <v>178</v>
      </c>
      <c r="C78" s="56" t="s">
        <v>177</v>
      </c>
      <c r="D78" s="87" t="s">
        <v>173</v>
      </c>
      <c r="E78" s="83" t="s">
        <v>79</v>
      </c>
      <c r="F78" s="84" t="s">
        <v>47</v>
      </c>
      <c r="G78" s="26">
        <f>547+30+50</f>
        <v>627</v>
      </c>
      <c r="H78" s="32">
        <f>G78*12</f>
        <v>7524</v>
      </c>
      <c r="I78" s="32">
        <v>60</v>
      </c>
      <c r="J78" s="32"/>
      <c r="K78" s="32">
        <f>G78</f>
        <v>627</v>
      </c>
      <c r="L78" s="32">
        <v>300</v>
      </c>
      <c r="M78" s="12"/>
      <c r="N78" s="24">
        <v>125</v>
      </c>
      <c r="O78" s="24"/>
      <c r="P78" s="12">
        <f t="shared" si="22"/>
        <v>631.70249999999999</v>
      </c>
      <c r="Q78" s="9">
        <f t="shared" si="29"/>
        <v>48.592500000000001</v>
      </c>
      <c r="R78" s="12"/>
      <c r="S78" s="12"/>
      <c r="T78" s="12"/>
      <c r="U78" s="12">
        <f>G78*0.075*13</f>
        <v>611.32499999999993</v>
      </c>
      <c r="V78" s="12">
        <f t="shared" si="24"/>
        <v>47.024999999999991</v>
      </c>
      <c r="W78" s="12"/>
      <c r="X78" s="12"/>
      <c r="Y78" s="12">
        <f t="shared" si="25"/>
        <v>1243.0274999999999</v>
      </c>
      <c r="Z78" s="12">
        <f>G78*0.01*13</f>
        <v>81.510000000000005</v>
      </c>
      <c r="AA78" s="12">
        <f t="shared" si="27"/>
        <v>6.2700000000000005</v>
      </c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1:43" ht="21.6">
      <c r="A79" s="21">
        <f t="shared" si="28"/>
        <v>43</v>
      </c>
      <c r="B79" s="45" t="s">
        <v>179</v>
      </c>
      <c r="C79" s="56" t="s">
        <v>177</v>
      </c>
      <c r="D79" s="87" t="s">
        <v>173</v>
      </c>
      <c r="E79" s="83" t="s">
        <v>79</v>
      </c>
      <c r="F79" s="84" t="s">
        <v>47</v>
      </c>
      <c r="G79" s="26">
        <f>547+30+50</f>
        <v>627</v>
      </c>
      <c r="H79" s="32">
        <f t="shared" si="20"/>
        <v>7524</v>
      </c>
      <c r="I79" s="32">
        <v>60</v>
      </c>
      <c r="J79" s="32"/>
      <c r="K79" s="32">
        <f t="shared" si="21"/>
        <v>627</v>
      </c>
      <c r="L79" s="32">
        <v>300</v>
      </c>
      <c r="M79" s="12"/>
      <c r="N79" s="24">
        <v>125</v>
      </c>
      <c r="O79" s="24"/>
      <c r="P79" s="12">
        <f t="shared" si="22"/>
        <v>631.70249999999999</v>
      </c>
      <c r="Q79" s="9">
        <f t="shared" si="29"/>
        <v>48.592500000000001</v>
      </c>
      <c r="R79" s="12"/>
      <c r="S79" s="12"/>
      <c r="T79" s="12"/>
      <c r="U79" s="12">
        <f t="shared" si="23"/>
        <v>611.32499999999993</v>
      </c>
      <c r="V79" s="12">
        <f t="shared" si="24"/>
        <v>47.024999999999991</v>
      </c>
      <c r="W79" s="12"/>
      <c r="X79" s="12"/>
      <c r="Y79" s="12">
        <f t="shared" si="25"/>
        <v>1243.0274999999999</v>
      </c>
      <c r="Z79" s="12">
        <f t="shared" si="26"/>
        <v>81.510000000000005</v>
      </c>
      <c r="AA79" s="12">
        <f t="shared" si="27"/>
        <v>6.2700000000000005</v>
      </c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1:43" ht="21.6">
      <c r="A80" s="21">
        <f t="shared" si="28"/>
        <v>44</v>
      </c>
      <c r="B80" s="45" t="s">
        <v>180</v>
      </c>
      <c r="C80" s="56" t="s">
        <v>181</v>
      </c>
      <c r="D80" s="87" t="s">
        <v>173</v>
      </c>
      <c r="E80" s="83" t="s">
        <v>79</v>
      </c>
      <c r="F80" s="84" t="s">
        <v>47</v>
      </c>
      <c r="G80" s="26">
        <f>467+30+50</f>
        <v>547</v>
      </c>
      <c r="H80" s="32">
        <f t="shared" si="20"/>
        <v>6564</v>
      </c>
      <c r="I80" s="32">
        <v>60</v>
      </c>
      <c r="J80" s="32"/>
      <c r="K80" s="32">
        <f t="shared" si="21"/>
        <v>547</v>
      </c>
      <c r="L80" s="32">
        <v>300</v>
      </c>
      <c r="M80" s="13"/>
      <c r="N80" s="24">
        <v>125</v>
      </c>
      <c r="O80" s="24"/>
      <c r="P80" s="12">
        <f t="shared" si="22"/>
        <v>551.10249999999996</v>
      </c>
      <c r="Q80" s="9">
        <f t="shared" si="29"/>
        <v>42.392499999999998</v>
      </c>
      <c r="R80" s="12"/>
      <c r="S80" s="12"/>
      <c r="T80" s="12"/>
      <c r="U80" s="12">
        <f t="shared" si="23"/>
        <v>533.32499999999993</v>
      </c>
      <c r="V80" s="12">
        <f t="shared" si="24"/>
        <v>41.024999999999991</v>
      </c>
      <c r="W80" s="12"/>
      <c r="X80" s="12"/>
      <c r="Y80" s="12">
        <f t="shared" si="25"/>
        <v>1084.4274999999998</v>
      </c>
      <c r="Z80" s="12">
        <f t="shared" si="26"/>
        <v>71.11</v>
      </c>
      <c r="AA80" s="12">
        <f t="shared" si="27"/>
        <v>5.47</v>
      </c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1:43" ht="21.6">
      <c r="A81" s="21">
        <f t="shared" si="28"/>
        <v>45</v>
      </c>
      <c r="B81" s="45" t="s">
        <v>182</v>
      </c>
      <c r="C81" s="56" t="s">
        <v>181</v>
      </c>
      <c r="D81" s="87" t="s">
        <v>173</v>
      </c>
      <c r="E81" s="83" t="s">
        <v>79</v>
      </c>
      <c r="F81" s="84" t="s">
        <v>47</v>
      </c>
      <c r="G81" s="26">
        <f>467+30+50</f>
        <v>547</v>
      </c>
      <c r="H81" s="32">
        <f>G81*12</f>
        <v>6564</v>
      </c>
      <c r="I81" s="32">
        <v>60</v>
      </c>
      <c r="J81" s="36"/>
      <c r="K81" s="32">
        <f>G81</f>
        <v>547</v>
      </c>
      <c r="L81" s="32">
        <v>300</v>
      </c>
      <c r="M81" s="37"/>
      <c r="N81" s="24">
        <v>125</v>
      </c>
      <c r="O81" s="24"/>
      <c r="P81" s="12">
        <f t="shared" si="22"/>
        <v>551.10249999999996</v>
      </c>
      <c r="Q81" s="9">
        <f t="shared" si="29"/>
        <v>42.392499999999998</v>
      </c>
      <c r="R81" s="12"/>
      <c r="S81" s="12"/>
      <c r="T81" s="12"/>
      <c r="U81" s="12">
        <f>G81*0.075*13</f>
        <v>533.32499999999993</v>
      </c>
      <c r="V81" s="12">
        <f t="shared" si="24"/>
        <v>41.024999999999991</v>
      </c>
      <c r="W81" s="12"/>
      <c r="X81" s="12"/>
      <c r="Y81" s="12">
        <f t="shared" si="25"/>
        <v>1084.4274999999998</v>
      </c>
      <c r="Z81" s="12">
        <f>G81*0.01*13</f>
        <v>71.11</v>
      </c>
      <c r="AA81" s="12">
        <f t="shared" si="27"/>
        <v>5.47</v>
      </c>
      <c r="AB81" s="38"/>
      <c r="AC81" s="38"/>
      <c r="AD81" s="38"/>
      <c r="AE81" s="38"/>
      <c r="AF81" s="37"/>
      <c r="AG81" s="38"/>
      <c r="AH81" s="37"/>
      <c r="AI81" s="12"/>
      <c r="AJ81" s="38"/>
      <c r="AK81" s="38"/>
      <c r="AL81" s="38"/>
      <c r="AM81" s="12"/>
      <c r="AN81" s="12"/>
      <c r="AO81" s="12"/>
      <c r="AP81" s="38"/>
      <c r="AQ81" s="37"/>
    </row>
    <row r="82" spans="1:43" ht="21.6">
      <c r="A82" s="21">
        <f t="shared" si="28"/>
        <v>46</v>
      </c>
      <c r="B82" s="45" t="s">
        <v>183</v>
      </c>
      <c r="C82" s="56" t="s">
        <v>181</v>
      </c>
      <c r="D82" s="87" t="s">
        <v>173</v>
      </c>
      <c r="E82" s="83" t="s">
        <v>79</v>
      </c>
      <c r="F82" s="84" t="s">
        <v>47</v>
      </c>
      <c r="G82" s="26">
        <f>467+30+50</f>
        <v>547</v>
      </c>
      <c r="H82" s="32">
        <f>G82*12</f>
        <v>6564</v>
      </c>
      <c r="I82" s="32">
        <v>60</v>
      </c>
      <c r="J82" s="36"/>
      <c r="K82" s="32">
        <f>G82</f>
        <v>547</v>
      </c>
      <c r="L82" s="32">
        <v>300</v>
      </c>
      <c r="M82" s="37"/>
      <c r="N82" s="24">
        <v>125</v>
      </c>
      <c r="O82" s="24"/>
      <c r="P82" s="12">
        <f t="shared" si="22"/>
        <v>551.10249999999996</v>
      </c>
      <c r="Q82" s="9">
        <f t="shared" si="29"/>
        <v>42.392499999999998</v>
      </c>
      <c r="R82" s="12"/>
      <c r="S82" s="12"/>
      <c r="T82" s="12"/>
      <c r="U82" s="12">
        <f>G82*0.075*13</f>
        <v>533.32499999999993</v>
      </c>
      <c r="V82" s="12">
        <f t="shared" si="24"/>
        <v>41.024999999999991</v>
      </c>
      <c r="W82" s="12"/>
      <c r="X82" s="12"/>
      <c r="Y82" s="12">
        <f t="shared" si="25"/>
        <v>1084.4274999999998</v>
      </c>
      <c r="Z82" s="12">
        <f>G82*0.01*13</f>
        <v>71.11</v>
      </c>
      <c r="AA82" s="12">
        <f t="shared" si="27"/>
        <v>5.47</v>
      </c>
      <c r="AB82" s="38"/>
      <c r="AC82" s="38"/>
      <c r="AD82" s="38"/>
      <c r="AE82" s="38"/>
      <c r="AF82" s="37"/>
      <c r="AG82" s="38"/>
      <c r="AH82" s="37"/>
      <c r="AI82" s="12"/>
      <c r="AJ82" s="38"/>
      <c r="AK82" s="38"/>
      <c r="AL82" s="38"/>
      <c r="AM82" s="12"/>
      <c r="AN82" s="12"/>
      <c r="AO82" s="12"/>
      <c r="AP82" s="38"/>
      <c r="AQ82" s="37"/>
    </row>
    <row r="83" spans="1:43" ht="21.6">
      <c r="A83" s="21">
        <f t="shared" si="28"/>
        <v>47</v>
      </c>
      <c r="B83" s="45" t="s">
        <v>184</v>
      </c>
      <c r="C83" s="56" t="s">
        <v>181</v>
      </c>
      <c r="D83" s="87" t="s">
        <v>173</v>
      </c>
      <c r="E83" s="83" t="s">
        <v>79</v>
      </c>
      <c r="F83" s="84" t="s">
        <v>47</v>
      </c>
      <c r="G83" s="26">
        <f>467+30+50</f>
        <v>547</v>
      </c>
      <c r="H83" s="32">
        <f>G83*12</f>
        <v>6564</v>
      </c>
      <c r="I83" s="32">
        <v>60</v>
      </c>
      <c r="J83" s="36"/>
      <c r="K83" s="32">
        <f>G83</f>
        <v>547</v>
      </c>
      <c r="L83" s="32">
        <v>300</v>
      </c>
      <c r="M83" s="37"/>
      <c r="N83" s="24">
        <v>125</v>
      </c>
      <c r="O83" s="24"/>
      <c r="P83" s="12">
        <f>G83*0.0775*13</f>
        <v>551.10249999999996</v>
      </c>
      <c r="Q83" s="40"/>
      <c r="R83" s="12">
        <f>P83/13</f>
        <v>42.392499999999998</v>
      </c>
      <c r="S83" s="12"/>
      <c r="T83" s="12"/>
      <c r="U83" s="12">
        <f>G83*0.075*13</f>
        <v>533.32499999999993</v>
      </c>
      <c r="V83" s="12">
        <f t="shared" si="24"/>
        <v>41.024999999999991</v>
      </c>
      <c r="W83" s="12"/>
      <c r="X83" s="12"/>
      <c r="Y83" s="12">
        <f t="shared" si="25"/>
        <v>1084.4274999999998</v>
      </c>
      <c r="Z83" s="12">
        <f>G83*0.01*13</f>
        <v>71.11</v>
      </c>
      <c r="AA83" s="12">
        <f>Z83/13</f>
        <v>5.47</v>
      </c>
      <c r="AB83" s="38"/>
      <c r="AC83" s="38"/>
      <c r="AD83" s="38"/>
      <c r="AE83" s="38"/>
      <c r="AF83" s="37"/>
      <c r="AG83" s="37"/>
      <c r="AH83" s="37"/>
      <c r="AI83" s="12"/>
      <c r="AJ83" s="38"/>
      <c r="AK83" s="38"/>
      <c r="AL83" s="38"/>
      <c r="AM83" s="12"/>
      <c r="AN83" s="12"/>
      <c r="AO83" s="12"/>
      <c r="AP83" s="37"/>
      <c r="AQ83" s="37"/>
    </row>
    <row r="84" spans="1:43" ht="21.6">
      <c r="A84" s="21">
        <f t="shared" si="28"/>
        <v>48</v>
      </c>
      <c r="B84" s="45" t="s">
        <v>185</v>
      </c>
      <c r="C84" s="56" t="s">
        <v>186</v>
      </c>
      <c r="D84" s="87" t="s">
        <v>173</v>
      </c>
      <c r="E84" s="83" t="s">
        <v>79</v>
      </c>
      <c r="F84" s="84" t="s">
        <v>47</v>
      </c>
      <c r="G84" s="26">
        <f>417+30+50</f>
        <v>497</v>
      </c>
      <c r="H84" s="32">
        <f>G84*12</f>
        <v>5964</v>
      </c>
      <c r="I84" s="32">
        <v>60</v>
      </c>
      <c r="J84" s="36"/>
      <c r="K84" s="32">
        <f>G84</f>
        <v>497</v>
      </c>
      <c r="L84" s="32">
        <v>300</v>
      </c>
      <c r="M84" s="37"/>
      <c r="N84" s="24">
        <v>125</v>
      </c>
      <c r="O84" s="24"/>
      <c r="P84" s="12">
        <f t="shared" si="22"/>
        <v>500.72749999999996</v>
      </c>
      <c r="Q84" s="9">
        <f t="shared" si="29"/>
        <v>38.517499999999998</v>
      </c>
      <c r="R84" s="12"/>
      <c r="S84" s="12"/>
      <c r="T84" s="12"/>
      <c r="U84" s="12">
        <f>G84*0.075*13</f>
        <v>484.57499999999999</v>
      </c>
      <c r="V84" s="12">
        <f t="shared" si="24"/>
        <v>37.274999999999999</v>
      </c>
      <c r="W84" s="12"/>
      <c r="X84" s="12"/>
      <c r="Y84" s="12">
        <f>P84+S84+U84+W84+0.01</f>
        <v>985.3125</v>
      </c>
      <c r="Z84" s="12">
        <f>G84*0.01*13</f>
        <v>64.61</v>
      </c>
      <c r="AA84" s="12">
        <f t="shared" si="27"/>
        <v>4.97</v>
      </c>
      <c r="AB84" s="12"/>
      <c r="AC84" s="12"/>
      <c r="AD84" s="12"/>
      <c r="AE84" s="12"/>
      <c r="AF84" s="12"/>
      <c r="AG84" s="12"/>
      <c r="AH84" s="12"/>
      <c r="AI84" s="12"/>
      <c r="AJ84" s="12"/>
      <c r="AK84" s="37"/>
      <c r="AL84" s="37"/>
      <c r="AM84" s="12"/>
      <c r="AN84" s="12"/>
      <c r="AO84" s="12"/>
      <c r="AP84" s="37"/>
      <c r="AQ84" s="37"/>
    </row>
    <row r="85" spans="1:43" ht="21.6">
      <c r="A85" s="21">
        <f t="shared" si="28"/>
        <v>49</v>
      </c>
      <c r="B85" s="45" t="s">
        <v>187</v>
      </c>
      <c r="C85" s="56" t="s">
        <v>186</v>
      </c>
      <c r="D85" s="87" t="s">
        <v>173</v>
      </c>
      <c r="E85" s="83" t="s">
        <v>79</v>
      </c>
      <c r="F85" s="84" t="s">
        <v>47</v>
      </c>
      <c r="G85" s="26">
        <f>417+30+50</f>
        <v>497</v>
      </c>
      <c r="H85" s="32">
        <f t="shared" si="20"/>
        <v>5964</v>
      </c>
      <c r="I85" s="32">
        <v>60</v>
      </c>
      <c r="J85" s="32"/>
      <c r="K85" s="32">
        <f t="shared" si="21"/>
        <v>497</v>
      </c>
      <c r="L85" s="32">
        <v>300</v>
      </c>
      <c r="M85" s="12"/>
      <c r="N85" s="24">
        <v>125</v>
      </c>
      <c r="O85" s="24"/>
      <c r="P85" s="12">
        <f t="shared" si="22"/>
        <v>500.72749999999996</v>
      </c>
      <c r="Q85" s="12"/>
      <c r="R85" s="12">
        <f>P85/13</f>
        <v>38.517499999999998</v>
      </c>
      <c r="S85" s="12"/>
      <c r="T85" s="12"/>
      <c r="U85" s="12">
        <f t="shared" si="23"/>
        <v>484.57499999999999</v>
      </c>
      <c r="V85" s="12">
        <f t="shared" si="24"/>
        <v>37.274999999999999</v>
      </c>
      <c r="W85" s="12"/>
      <c r="X85" s="12"/>
      <c r="Y85" s="12">
        <f>P85+S85+U85+W85+0.01</f>
        <v>985.3125</v>
      </c>
      <c r="Z85" s="12">
        <f t="shared" si="26"/>
        <v>64.61</v>
      </c>
      <c r="AA85" s="12">
        <f t="shared" si="27"/>
        <v>4.97</v>
      </c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</row>
    <row r="86" spans="1:43" ht="21.6">
      <c r="A86" s="21">
        <f t="shared" si="28"/>
        <v>50</v>
      </c>
      <c r="B86" s="45" t="s">
        <v>188</v>
      </c>
      <c r="C86" s="56" t="s">
        <v>186</v>
      </c>
      <c r="D86" s="87" t="s">
        <v>173</v>
      </c>
      <c r="E86" s="83" t="s">
        <v>79</v>
      </c>
      <c r="F86" s="84" t="s">
        <v>47</v>
      </c>
      <c r="G86" s="26">
        <f>417+50</f>
        <v>467</v>
      </c>
      <c r="H86" s="32">
        <f t="shared" si="20"/>
        <v>5604</v>
      </c>
      <c r="I86" s="32">
        <v>60</v>
      </c>
      <c r="J86" s="32"/>
      <c r="K86" s="32">
        <f t="shared" si="21"/>
        <v>467</v>
      </c>
      <c r="L86" s="32">
        <v>300</v>
      </c>
      <c r="M86" s="12"/>
      <c r="N86" s="24">
        <v>125</v>
      </c>
      <c r="O86" s="24"/>
      <c r="P86" s="12">
        <f t="shared" si="22"/>
        <v>470.50250000000005</v>
      </c>
      <c r="Q86" s="12"/>
      <c r="R86" s="12">
        <f>P86/13</f>
        <v>36.192500000000003</v>
      </c>
      <c r="S86" s="12"/>
      <c r="T86" s="12"/>
      <c r="U86" s="12">
        <f t="shared" si="23"/>
        <v>455.32499999999999</v>
      </c>
      <c r="V86" s="12">
        <f t="shared" si="24"/>
        <v>35.024999999999999</v>
      </c>
      <c r="W86" s="12"/>
      <c r="X86" s="12"/>
      <c r="Y86" s="12">
        <f>P86+S86+U86+W86</f>
        <v>925.8275000000001</v>
      </c>
      <c r="Z86" s="12">
        <f t="shared" si="26"/>
        <v>60.71</v>
      </c>
      <c r="AA86" s="12">
        <f t="shared" si="27"/>
        <v>4.67</v>
      </c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</row>
    <row r="87" spans="1:43">
      <c r="A87" s="21"/>
      <c r="B87" s="15"/>
      <c r="C87" s="85" t="s">
        <v>189</v>
      </c>
      <c r="D87" s="82"/>
      <c r="E87" s="83"/>
      <c r="F87" s="84"/>
      <c r="G87" s="86">
        <f t="shared" ref="G87:O87" si="30">SUM(G75:G86)</f>
        <v>6815.29</v>
      </c>
      <c r="H87" s="30">
        <f t="shared" si="30"/>
        <v>81783.48</v>
      </c>
      <c r="I87" s="30">
        <f t="shared" si="30"/>
        <v>720</v>
      </c>
      <c r="J87" s="30">
        <f t="shared" si="30"/>
        <v>0</v>
      </c>
      <c r="K87" s="30">
        <f t="shared" si="30"/>
        <v>6815.29</v>
      </c>
      <c r="L87" s="30">
        <f t="shared" si="30"/>
        <v>3600</v>
      </c>
      <c r="M87" s="20">
        <f t="shared" si="30"/>
        <v>0</v>
      </c>
      <c r="N87" s="20">
        <f t="shared" si="30"/>
        <v>1500</v>
      </c>
      <c r="O87" s="20">
        <f t="shared" si="30"/>
        <v>0</v>
      </c>
      <c r="P87" s="20">
        <f>SUM(P75:P86)-0.01</f>
        <v>6866.3946749999996</v>
      </c>
      <c r="Q87" s="20">
        <f>SUM(Q75:Q86)</f>
        <v>372.33247499999993</v>
      </c>
      <c r="R87" s="20">
        <f>SUM(R75:R86)</f>
        <v>155.85249999999999</v>
      </c>
      <c r="S87" s="20">
        <f>SUM(S75:S86)</f>
        <v>0</v>
      </c>
      <c r="T87" s="20">
        <f>SUM(T75:T86)</f>
        <v>0</v>
      </c>
      <c r="U87" s="20">
        <f>SUM(U75:U86)+0.05</f>
        <v>6644.9577499999987</v>
      </c>
      <c r="V87" s="20">
        <f>SUM(V75:V86)+0.05</f>
        <v>511.19674999999978</v>
      </c>
      <c r="W87" s="20">
        <f>SUM(W75:W86)</f>
        <v>0</v>
      </c>
      <c r="X87" s="20">
        <f>SUM(X75:X86)</f>
        <v>0</v>
      </c>
      <c r="Y87" s="20">
        <f>SUM(Y75:Y86)+0.02</f>
        <v>13511.352424999999</v>
      </c>
      <c r="Z87" s="20">
        <f t="shared" ref="Z87:AQ87" si="31">SUM(Z75:Z86)</f>
        <v>885.98770000000002</v>
      </c>
      <c r="AA87" s="20">
        <f t="shared" si="31"/>
        <v>68.152899999999988</v>
      </c>
      <c r="AB87" s="20">
        <f t="shared" si="31"/>
        <v>0</v>
      </c>
      <c r="AC87" s="20">
        <f t="shared" si="31"/>
        <v>0</v>
      </c>
      <c r="AD87" s="20">
        <f t="shared" si="31"/>
        <v>0</v>
      </c>
      <c r="AE87" s="20">
        <f t="shared" si="31"/>
        <v>0</v>
      </c>
      <c r="AF87" s="20">
        <f t="shared" si="31"/>
        <v>0</v>
      </c>
      <c r="AG87" s="20">
        <f t="shared" si="31"/>
        <v>0</v>
      </c>
      <c r="AH87" s="20">
        <f t="shared" si="31"/>
        <v>0</v>
      </c>
      <c r="AI87" s="20">
        <f t="shared" si="31"/>
        <v>0</v>
      </c>
      <c r="AJ87" s="20">
        <f t="shared" si="31"/>
        <v>0</v>
      </c>
      <c r="AK87" s="20">
        <f t="shared" si="31"/>
        <v>0</v>
      </c>
      <c r="AL87" s="20">
        <f t="shared" si="31"/>
        <v>0</v>
      </c>
      <c r="AM87" s="20">
        <f t="shared" si="31"/>
        <v>0</v>
      </c>
      <c r="AN87" s="20">
        <f t="shared" si="31"/>
        <v>0</v>
      </c>
      <c r="AO87" s="20">
        <f t="shared" si="31"/>
        <v>0</v>
      </c>
      <c r="AP87" s="20">
        <f t="shared" si="31"/>
        <v>0</v>
      </c>
      <c r="AQ87" s="20">
        <f t="shared" si="31"/>
        <v>0</v>
      </c>
    </row>
    <row r="88" spans="1:43" ht="55.5" customHeight="1">
      <c r="A88" s="21">
        <f>A86+1</f>
        <v>51</v>
      </c>
      <c r="B88" s="45" t="s">
        <v>190</v>
      </c>
      <c r="C88" s="98" t="s">
        <v>191</v>
      </c>
      <c r="D88" s="93" t="s">
        <v>192</v>
      </c>
      <c r="E88" s="83" t="s">
        <v>79</v>
      </c>
      <c r="F88" s="84" t="s">
        <v>47</v>
      </c>
      <c r="G88" s="26">
        <v>800</v>
      </c>
      <c r="H88" s="32">
        <f>G88*12</f>
        <v>9600</v>
      </c>
      <c r="I88" s="32">
        <v>60</v>
      </c>
      <c r="J88" s="32"/>
      <c r="K88" s="32">
        <f>G88</f>
        <v>800</v>
      </c>
      <c r="L88" s="32">
        <v>300</v>
      </c>
      <c r="M88" s="12"/>
      <c r="N88" s="24">
        <v>125</v>
      </c>
      <c r="O88" s="24"/>
      <c r="P88" s="12">
        <f>G88*0.0775*13</f>
        <v>806</v>
      </c>
      <c r="Q88" s="40"/>
      <c r="R88" s="12">
        <f>P88/13</f>
        <v>62</v>
      </c>
      <c r="S88" s="12"/>
      <c r="T88" s="12"/>
      <c r="U88" s="12">
        <f t="shared" si="23"/>
        <v>780</v>
      </c>
      <c r="V88" s="12">
        <f>U88/13</f>
        <v>60</v>
      </c>
      <c r="W88" s="12"/>
      <c r="X88" s="12"/>
      <c r="Y88" s="12">
        <f>P88+S88+U88+W88</f>
        <v>1586</v>
      </c>
      <c r="Z88" s="12">
        <f>G88*0.01*13</f>
        <v>104</v>
      </c>
      <c r="AA88" s="12">
        <f>Z88/13</f>
        <v>8</v>
      </c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1:43" ht="55.5" customHeight="1">
      <c r="A89" s="21">
        <f>A88+1</f>
        <v>52</v>
      </c>
      <c r="B89" s="45" t="s">
        <v>193</v>
      </c>
      <c r="C89" s="25" t="s">
        <v>194</v>
      </c>
      <c r="D89" s="93" t="s">
        <v>192</v>
      </c>
      <c r="E89" s="83" t="s">
        <v>79</v>
      </c>
      <c r="F89" s="84" t="s">
        <v>47</v>
      </c>
      <c r="G89" s="26">
        <f>712+30+50</f>
        <v>792</v>
      </c>
      <c r="H89" s="32">
        <f>G89*12</f>
        <v>9504</v>
      </c>
      <c r="I89" s="32">
        <v>60</v>
      </c>
      <c r="J89" s="32"/>
      <c r="K89" s="32">
        <f>G89</f>
        <v>792</v>
      </c>
      <c r="L89" s="32">
        <v>300</v>
      </c>
      <c r="M89" s="12"/>
      <c r="N89" s="24">
        <v>125</v>
      </c>
      <c r="O89" s="24"/>
      <c r="P89" s="12">
        <f>G89*0.0775*13</f>
        <v>797.94</v>
      </c>
      <c r="Q89" s="40"/>
      <c r="R89" s="12">
        <f>P89/13</f>
        <v>61.38</v>
      </c>
      <c r="S89" s="12"/>
      <c r="T89" s="12"/>
      <c r="U89" s="12">
        <f t="shared" si="23"/>
        <v>772.19999999999993</v>
      </c>
      <c r="V89" s="12">
        <f>U89/13</f>
        <v>59.399999999999991</v>
      </c>
      <c r="W89" s="12"/>
      <c r="X89" s="12"/>
      <c r="Y89" s="12">
        <f>P89+S89+U89+W89</f>
        <v>1570.1399999999999</v>
      </c>
      <c r="Z89" s="12">
        <f>G89*0.01*13</f>
        <v>102.96</v>
      </c>
      <c r="AA89" s="12">
        <f>Z89/13</f>
        <v>7.92</v>
      </c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1:43" ht="52.5" customHeight="1">
      <c r="A90" s="21">
        <f>A89+1</f>
        <v>53</v>
      </c>
      <c r="B90" s="48" t="s">
        <v>195</v>
      </c>
      <c r="C90" s="51" t="s">
        <v>91</v>
      </c>
      <c r="D90" s="93" t="s">
        <v>192</v>
      </c>
      <c r="E90" s="83" t="s">
        <v>79</v>
      </c>
      <c r="F90" s="84" t="s">
        <v>47</v>
      </c>
      <c r="G90" s="26">
        <f>447+50</f>
        <v>497</v>
      </c>
      <c r="H90" s="32">
        <f>G90*12</f>
        <v>5964</v>
      </c>
      <c r="I90" s="32">
        <v>60</v>
      </c>
      <c r="J90" s="36"/>
      <c r="K90" s="32">
        <f>G90</f>
        <v>497</v>
      </c>
      <c r="L90" s="32">
        <v>300</v>
      </c>
      <c r="M90" s="12"/>
      <c r="N90" s="24">
        <v>125</v>
      </c>
      <c r="O90" s="24"/>
      <c r="P90" s="12">
        <f>G90*0.0775*13</f>
        <v>500.72749999999996</v>
      </c>
      <c r="Q90" s="12"/>
      <c r="R90" s="12">
        <f>P90/13</f>
        <v>38.517499999999998</v>
      </c>
      <c r="S90" s="37"/>
      <c r="T90" s="37"/>
      <c r="U90" s="12">
        <f>G90*0.075*13</f>
        <v>484.57499999999999</v>
      </c>
      <c r="V90" s="12">
        <f>U90/13</f>
        <v>37.274999999999999</v>
      </c>
      <c r="W90" s="37"/>
      <c r="X90" s="37"/>
      <c r="Y90" s="12">
        <f>P90+S90+U90+W90+0.01</f>
        <v>985.3125</v>
      </c>
      <c r="Z90" s="12">
        <f>G90*0.01*13</f>
        <v>64.61</v>
      </c>
      <c r="AA90" s="12">
        <f>Z90/13</f>
        <v>4.97</v>
      </c>
      <c r="AB90" s="37"/>
      <c r="AC90" s="37"/>
      <c r="AD90" s="37"/>
      <c r="AE90" s="37"/>
      <c r="AF90" s="37"/>
      <c r="AG90" s="37"/>
      <c r="AH90" s="37"/>
      <c r="AI90" s="12"/>
      <c r="AJ90" s="37"/>
      <c r="AK90" s="37"/>
      <c r="AL90" s="37"/>
      <c r="AM90" s="12"/>
      <c r="AN90" s="12"/>
      <c r="AO90" s="12"/>
      <c r="AP90" s="37"/>
      <c r="AQ90" s="37"/>
    </row>
    <row r="91" spans="1:43">
      <c r="A91" s="49"/>
      <c r="B91" s="15"/>
      <c r="C91" s="85" t="s">
        <v>196</v>
      </c>
      <c r="D91" s="89"/>
      <c r="E91" s="83"/>
      <c r="F91" s="90"/>
      <c r="G91" s="86">
        <f>SUM(G88:G90)</f>
        <v>2089</v>
      </c>
      <c r="H91" s="30">
        <f>SUM(H88:H90)</f>
        <v>25068</v>
      </c>
      <c r="I91" s="30">
        <f>SUM(I88:I90)</f>
        <v>180</v>
      </c>
      <c r="J91" s="30"/>
      <c r="K91" s="30">
        <f>SUM(K88:K90)</f>
        <v>2089</v>
      </c>
      <c r="L91" s="30">
        <f>SUM(L88:L90)</f>
        <v>900</v>
      </c>
      <c r="M91" s="20"/>
      <c r="N91" s="20">
        <f>SUM(N88:N90)</f>
        <v>375</v>
      </c>
      <c r="O91" s="31"/>
      <c r="P91" s="20">
        <f t="shared" ref="P91:W91" si="32">SUM(P88:P90)</f>
        <v>2104.6675</v>
      </c>
      <c r="Q91" s="20">
        <f t="shared" si="32"/>
        <v>0</v>
      </c>
      <c r="R91" s="20">
        <f t="shared" si="32"/>
        <v>161.89749999999998</v>
      </c>
      <c r="S91" s="20">
        <f t="shared" si="32"/>
        <v>0</v>
      </c>
      <c r="T91" s="20">
        <f t="shared" si="32"/>
        <v>0</v>
      </c>
      <c r="U91" s="20">
        <f t="shared" si="32"/>
        <v>2036.7749999999999</v>
      </c>
      <c r="V91" s="20">
        <f t="shared" si="32"/>
        <v>156.67499999999998</v>
      </c>
      <c r="W91" s="20">
        <f t="shared" si="32"/>
        <v>0</v>
      </c>
      <c r="X91" s="20">
        <f>SUM(X88:X88)</f>
        <v>0</v>
      </c>
      <c r="Y91" s="20">
        <f>SUM(Y88:Y90)</f>
        <v>4141.4524999999994</v>
      </c>
      <c r="Z91" s="20">
        <f>SUM(Z88:Z90)</f>
        <v>271.57</v>
      </c>
      <c r="AA91" s="20">
        <f>SUM(AA88:AA90)</f>
        <v>20.89</v>
      </c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</row>
    <row r="92" spans="1:43">
      <c r="A92" s="21">
        <f>A90+1</f>
        <v>54</v>
      </c>
      <c r="B92" s="45" t="s">
        <v>197</v>
      </c>
      <c r="C92" s="51" t="s">
        <v>198</v>
      </c>
      <c r="D92" s="82" t="s">
        <v>199</v>
      </c>
      <c r="E92" s="83" t="s">
        <v>79</v>
      </c>
      <c r="F92" s="84" t="s">
        <v>47</v>
      </c>
      <c r="G92" s="26">
        <f>717+30+50</f>
        <v>797</v>
      </c>
      <c r="H92" s="32">
        <f>G92*12</f>
        <v>9564</v>
      </c>
      <c r="I92" s="32">
        <v>60</v>
      </c>
      <c r="J92" s="36"/>
      <c r="K92" s="32">
        <f>G92</f>
        <v>797</v>
      </c>
      <c r="L92" s="32">
        <v>300</v>
      </c>
      <c r="M92" s="37"/>
      <c r="N92" s="24">
        <v>125</v>
      </c>
      <c r="O92" s="24"/>
      <c r="P92" s="12">
        <f>G92*0.0775*13</f>
        <v>802.97749999999996</v>
      </c>
      <c r="Q92" s="9">
        <f>P92/13</f>
        <v>61.767499999999998</v>
      </c>
      <c r="R92" s="12"/>
      <c r="S92" s="12"/>
      <c r="T92" s="12"/>
      <c r="U92" s="12">
        <f>G92*0.075*13</f>
        <v>777.07499999999993</v>
      </c>
      <c r="V92" s="12">
        <f>U92/13</f>
        <v>59.774999999999991</v>
      </c>
      <c r="W92" s="12"/>
      <c r="X92" s="12"/>
      <c r="Y92" s="12">
        <f>P92+S92+U92+W92+0.01</f>
        <v>1580.0624999999998</v>
      </c>
      <c r="Z92" s="12">
        <f>G92*0.01*13</f>
        <v>103.61</v>
      </c>
      <c r="AA92" s="12">
        <f>Z92/13</f>
        <v>7.97</v>
      </c>
      <c r="AB92" s="38"/>
      <c r="AC92" s="38"/>
      <c r="AD92" s="38"/>
      <c r="AE92" s="38"/>
      <c r="AF92" s="37"/>
      <c r="AG92" s="38"/>
      <c r="AH92" s="37"/>
      <c r="AI92" s="12"/>
      <c r="AJ92" s="38"/>
      <c r="AK92" s="38"/>
      <c r="AL92" s="38"/>
      <c r="AM92" s="12"/>
      <c r="AN92" s="12"/>
      <c r="AO92" s="12"/>
      <c r="AP92" s="38"/>
      <c r="AQ92" s="37"/>
    </row>
    <row r="93" spans="1:43">
      <c r="A93" s="21">
        <f>A92+1</f>
        <v>55</v>
      </c>
      <c r="B93" s="45" t="s">
        <v>200</v>
      </c>
      <c r="C93" s="56" t="s">
        <v>201</v>
      </c>
      <c r="D93" s="82" t="s">
        <v>199</v>
      </c>
      <c r="E93" s="83" t="s">
        <v>79</v>
      </c>
      <c r="F93" s="84" t="s">
        <v>47</v>
      </c>
      <c r="G93" s="26">
        <f>567+30+50</f>
        <v>647</v>
      </c>
      <c r="H93" s="32">
        <f>G93*12</f>
        <v>7764</v>
      </c>
      <c r="I93" s="32">
        <v>60</v>
      </c>
      <c r="J93" s="36"/>
      <c r="K93" s="32">
        <f>G93</f>
        <v>647</v>
      </c>
      <c r="L93" s="32">
        <v>300</v>
      </c>
      <c r="M93" s="12"/>
      <c r="N93" s="24">
        <v>125</v>
      </c>
      <c r="O93" s="24"/>
      <c r="P93" s="12"/>
      <c r="Q93" s="50"/>
      <c r="R93" s="12"/>
      <c r="S93" s="37"/>
      <c r="T93" s="37"/>
      <c r="U93" s="12">
        <f>G93*0.075*13</f>
        <v>630.82499999999993</v>
      </c>
      <c r="V93" s="12">
        <f>U93/13</f>
        <v>48.524999999999991</v>
      </c>
      <c r="W93" s="12">
        <f>G93*0.06*13</f>
        <v>504.66</v>
      </c>
      <c r="X93" s="12">
        <v>34.020000000000003</v>
      </c>
      <c r="Y93" s="12">
        <f>P93+S93+U93+W93</f>
        <v>1135.4849999999999</v>
      </c>
      <c r="Z93" s="12">
        <f>G93*0.01*13</f>
        <v>84.11</v>
      </c>
      <c r="AA93" s="12">
        <f>Z93/13</f>
        <v>6.47</v>
      </c>
      <c r="AB93" s="37"/>
      <c r="AC93" s="37"/>
      <c r="AD93" s="37"/>
      <c r="AE93" s="37"/>
      <c r="AF93" s="37"/>
      <c r="AG93" s="37"/>
      <c r="AH93" s="37"/>
      <c r="AI93" s="12"/>
      <c r="AJ93" s="37"/>
      <c r="AK93" s="37"/>
      <c r="AL93" s="37"/>
      <c r="AM93" s="12"/>
      <c r="AN93" s="12"/>
      <c r="AO93" s="12"/>
      <c r="AP93" s="37"/>
      <c r="AQ93" s="37"/>
    </row>
    <row r="94" spans="1:43">
      <c r="A94" s="21">
        <f>A93+1</f>
        <v>56</v>
      </c>
      <c r="B94" s="45" t="s">
        <v>202</v>
      </c>
      <c r="C94" s="56" t="s">
        <v>123</v>
      </c>
      <c r="D94" s="82" t="s">
        <v>199</v>
      </c>
      <c r="E94" s="83" t="s">
        <v>79</v>
      </c>
      <c r="F94" s="84" t="s">
        <v>47</v>
      </c>
      <c r="G94" s="26">
        <f>567+30+50</f>
        <v>647</v>
      </c>
      <c r="H94" s="32">
        <f>G94*12</f>
        <v>7764</v>
      </c>
      <c r="I94" s="32">
        <v>60</v>
      </c>
      <c r="J94" s="32"/>
      <c r="K94" s="32">
        <f>G94</f>
        <v>647</v>
      </c>
      <c r="L94" s="32">
        <v>300</v>
      </c>
      <c r="M94" s="12"/>
      <c r="N94" s="24">
        <v>125</v>
      </c>
      <c r="O94" s="24"/>
      <c r="P94" s="12">
        <f>G94*0.0775*13</f>
        <v>651.85249999999996</v>
      </c>
      <c r="Q94" s="9">
        <f>P94/13</f>
        <v>50.142499999999998</v>
      </c>
      <c r="R94" s="12"/>
      <c r="S94" s="37"/>
      <c r="T94" s="37"/>
      <c r="U94" s="12">
        <f>G94*0.075*13</f>
        <v>630.82499999999993</v>
      </c>
      <c r="V94" s="12">
        <f>U94/13</f>
        <v>48.524999999999991</v>
      </c>
      <c r="W94" s="37"/>
      <c r="X94" s="37"/>
      <c r="Y94" s="12">
        <f>P94+S94+U94+W94</f>
        <v>1282.6774999999998</v>
      </c>
      <c r="Z94" s="12">
        <f>G94*0.01*13</f>
        <v>84.11</v>
      </c>
      <c r="AA94" s="12">
        <f>Z94/13</f>
        <v>6.47</v>
      </c>
      <c r="AB94" s="37"/>
      <c r="AC94" s="37"/>
      <c r="AD94" s="37"/>
      <c r="AE94" s="37"/>
      <c r="AF94" s="37"/>
      <c r="AG94" s="37"/>
      <c r="AH94" s="37"/>
      <c r="AI94" s="12"/>
      <c r="AJ94" s="37"/>
      <c r="AK94" s="37"/>
      <c r="AL94" s="37"/>
      <c r="AM94" s="12"/>
      <c r="AN94" s="12"/>
      <c r="AO94" s="12"/>
      <c r="AP94" s="37"/>
      <c r="AQ94" s="37"/>
    </row>
    <row r="95" spans="1:43">
      <c r="A95" s="21">
        <f>A94+1</f>
        <v>57</v>
      </c>
      <c r="B95" s="45" t="s">
        <v>203</v>
      </c>
      <c r="C95" s="56" t="s">
        <v>123</v>
      </c>
      <c r="D95" s="82" t="s">
        <v>199</v>
      </c>
      <c r="E95" s="83" t="s">
        <v>79</v>
      </c>
      <c r="F95" s="84" t="s">
        <v>47</v>
      </c>
      <c r="G95" s="26">
        <f>567+30+50</f>
        <v>647</v>
      </c>
      <c r="H95" s="32">
        <f>G95*12</f>
        <v>7764</v>
      </c>
      <c r="I95" s="32">
        <v>60</v>
      </c>
      <c r="J95" s="36"/>
      <c r="K95" s="32">
        <f>G95</f>
        <v>647</v>
      </c>
      <c r="L95" s="32">
        <v>300</v>
      </c>
      <c r="M95" s="12"/>
      <c r="N95" s="24">
        <v>125</v>
      </c>
      <c r="O95" s="24"/>
      <c r="P95" s="12">
        <f>G95*0.0775*13</f>
        <v>651.85249999999996</v>
      </c>
      <c r="Q95" s="40"/>
      <c r="R95" s="12">
        <f>P95/13</f>
        <v>50.142499999999998</v>
      </c>
      <c r="S95" s="37"/>
      <c r="T95" s="37"/>
      <c r="U95" s="12">
        <f>G95*0.075*13</f>
        <v>630.82499999999993</v>
      </c>
      <c r="V95" s="12">
        <f>U95/13</f>
        <v>48.524999999999991</v>
      </c>
      <c r="W95" s="37"/>
      <c r="X95" s="37"/>
      <c r="Y95" s="12">
        <f>P95+S95+U95+W95</f>
        <v>1282.6774999999998</v>
      </c>
      <c r="Z95" s="12">
        <f>G95*0.01*13</f>
        <v>84.11</v>
      </c>
      <c r="AA95" s="12">
        <f>Z95/13</f>
        <v>6.47</v>
      </c>
      <c r="AB95" s="38"/>
      <c r="AC95" s="38"/>
      <c r="AD95" s="38"/>
      <c r="AE95" s="38"/>
      <c r="AF95" s="37"/>
      <c r="AG95" s="38"/>
      <c r="AH95" s="37"/>
      <c r="AI95" s="12"/>
      <c r="AJ95" s="38"/>
      <c r="AK95" s="38"/>
      <c r="AL95" s="38"/>
      <c r="AM95" s="12"/>
      <c r="AN95" s="12"/>
      <c r="AO95" s="12"/>
      <c r="AP95" s="38"/>
      <c r="AQ95" s="37"/>
    </row>
    <row r="96" spans="1:43">
      <c r="A96" s="49"/>
      <c r="B96" s="15"/>
      <c r="C96" s="85" t="s">
        <v>204</v>
      </c>
      <c r="D96" s="99"/>
      <c r="E96" s="83"/>
      <c r="F96" s="84"/>
      <c r="G96" s="86">
        <f>SUM(G92:G95)</f>
        <v>2738</v>
      </c>
      <c r="H96" s="30">
        <f t="shared" ref="H96:AQ96" si="33">SUM(H92:H95)</f>
        <v>32856</v>
      </c>
      <c r="I96" s="30">
        <f t="shared" si="33"/>
        <v>240</v>
      </c>
      <c r="J96" s="30">
        <f t="shared" si="33"/>
        <v>0</v>
      </c>
      <c r="K96" s="30">
        <f t="shared" si="33"/>
        <v>2738</v>
      </c>
      <c r="L96" s="30">
        <f t="shared" si="33"/>
        <v>1200</v>
      </c>
      <c r="M96" s="30">
        <f t="shared" si="33"/>
        <v>0</v>
      </c>
      <c r="N96" s="30">
        <f t="shared" si="33"/>
        <v>500</v>
      </c>
      <c r="O96" s="30">
        <f t="shared" si="33"/>
        <v>0</v>
      </c>
      <c r="P96" s="30">
        <f t="shared" si="33"/>
        <v>2106.6824999999999</v>
      </c>
      <c r="Q96" s="30">
        <f t="shared" si="33"/>
        <v>111.91</v>
      </c>
      <c r="R96" s="30">
        <f t="shared" si="33"/>
        <v>50.142499999999998</v>
      </c>
      <c r="S96" s="30">
        <f t="shared" si="33"/>
        <v>0</v>
      </c>
      <c r="T96" s="30">
        <f t="shared" si="33"/>
        <v>0</v>
      </c>
      <c r="U96" s="30">
        <f>SUM(U92:U95)+0.02</f>
        <v>2669.5699999999997</v>
      </c>
      <c r="V96" s="30">
        <f>SUM(V92:V95)+0.02</f>
        <v>205.36999999999998</v>
      </c>
      <c r="W96" s="30">
        <f t="shared" si="33"/>
        <v>504.66</v>
      </c>
      <c r="X96" s="30">
        <f t="shared" si="33"/>
        <v>34.020000000000003</v>
      </c>
      <c r="Y96" s="30">
        <f>SUM(Y92:Y95)+0.01</f>
        <v>5280.9124999999995</v>
      </c>
      <c r="Z96" s="30">
        <f t="shared" si="33"/>
        <v>355.94</v>
      </c>
      <c r="AA96" s="30">
        <f t="shared" si="33"/>
        <v>27.38</v>
      </c>
      <c r="AB96" s="30">
        <f t="shared" si="33"/>
        <v>0</v>
      </c>
      <c r="AC96" s="30">
        <f t="shared" si="33"/>
        <v>0</v>
      </c>
      <c r="AD96" s="30">
        <f t="shared" si="33"/>
        <v>0</v>
      </c>
      <c r="AE96" s="30">
        <f t="shared" si="33"/>
        <v>0</v>
      </c>
      <c r="AF96" s="30">
        <f t="shared" si="33"/>
        <v>0</v>
      </c>
      <c r="AG96" s="30">
        <f t="shared" si="33"/>
        <v>0</v>
      </c>
      <c r="AH96" s="30">
        <f t="shared" si="33"/>
        <v>0</v>
      </c>
      <c r="AI96" s="30">
        <f t="shared" si="33"/>
        <v>0</v>
      </c>
      <c r="AJ96" s="30">
        <f t="shared" si="33"/>
        <v>0</v>
      </c>
      <c r="AK96" s="30">
        <f t="shared" si="33"/>
        <v>0</v>
      </c>
      <c r="AL96" s="30">
        <f t="shared" si="33"/>
        <v>0</v>
      </c>
      <c r="AM96" s="30">
        <f t="shared" si="33"/>
        <v>0</v>
      </c>
      <c r="AN96" s="30">
        <f t="shared" si="33"/>
        <v>0</v>
      </c>
      <c r="AO96" s="30">
        <f t="shared" si="33"/>
        <v>0</v>
      </c>
      <c r="AP96" s="30">
        <f t="shared" si="33"/>
        <v>0</v>
      </c>
      <c r="AQ96" s="30">
        <f t="shared" si="33"/>
        <v>0</v>
      </c>
    </row>
    <row r="97" spans="1:43">
      <c r="A97" s="21"/>
      <c r="B97" s="15"/>
      <c r="C97" s="100"/>
      <c r="D97" s="101" t="s">
        <v>205</v>
      </c>
      <c r="E97" s="102"/>
      <c r="F97" s="100"/>
      <c r="G97" s="86">
        <f t="shared" ref="G97:O97" si="34">SUM(G21,G26,G30,G32,G37, G41,G44,G49,G51,G55,G58,G61,G65,G69,G74,G87,G91,G96)</f>
        <v>40737.440000000002</v>
      </c>
      <c r="H97" s="30">
        <f t="shared" si="34"/>
        <v>488849.27999999997</v>
      </c>
      <c r="I97" s="30">
        <f t="shared" si="34"/>
        <v>3300</v>
      </c>
      <c r="J97" s="30" t="e">
        <f t="shared" si="34"/>
        <v>#REF!</v>
      </c>
      <c r="K97" s="30">
        <f t="shared" si="34"/>
        <v>43737.440000000002</v>
      </c>
      <c r="L97" s="30">
        <f t="shared" si="34"/>
        <v>16500</v>
      </c>
      <c r="M97" s="20" t="e">
        <f t="shared" si="34"/>
        <v>#REF!</v>
      </c>
      <c r="N97" s="20">
        <f t="shared" si="34"/>
        <v>6875</v>
      </c>
      <c r="O97" s="20">
        <f t="shared" si="34"/>
        <v>9730</v>
      </c>
      <c r="P97" s="20">
        <f>SUM(P21,P26,P30,P32,P37, P41,P44,P49,P51,P55,P58,P61,P65,P69,P74,P87,P91,P96)+0.01</f>
        <v>58727.618300000009</v>
      </c>
      <c r="Q97" s="20">
        <f>SUM(Q21,Q26,Q30,Q32,Q37, Q41,Q44,Q49,Q51,Q55,Q58,Q61,Q65,Q69,Q74,Q87,Q91,Q96)-0.01</f>
        <v>2494.8816249999995</v>
      </c>
      <c r="R97" s="20">
        <f>SUM(R21,R26,R30,R32,R37, R41,R44,R49,R51,R55,R58,R61,R65,R69,R74,R87,R91,R96)+0.01</f>
        <v>2022.607475</v>
      </c>
      <c r="S97" s="20">
        <f>SUM(S21,S26,S30,S32,S37, S41,S44,S49,S51,S55,S58,S61,S65,S69,S74,S87,S91,S96)</f>
        <v>0</v>
      </c>
      <c r="T97" s="20">
        <f>SUM(T21,T26,T30,T32,T37, T41,T44,T49,T51,T55,T58,T61,T65,T69,T74,T87,T91,T96)</f>
        <v>0</v>
      </c>
      <c r="U97" s="20">
        <f>SUM(U21,U26,U30,U32,U37, U41,U44,U49,U51,U55,U58,U61,U65,U69,U74,U87,U91,U96)+0.03</f>
        <v>48550.734000000004</v>
      </c>
      <c r="V97" s="20">
        <f>SUM(V21,V26,V30,V32,V37, V41,V44,V49,V51,V55,V58,V61,V65,V69,V74,V87,V91,V96)+0.04</f>
        <v>3734.8379999999993</v>
      </c>
      <c r="W97" s="20">
        <f>SUM(W21,W26,W30,W32,W37, W41,W44,W49,W51,W55,W58,W61,W65,W69,W74,W87,W91,W96)</f>
        <v>504.66</v>
      </c>
      <c r="X97" s="20">
        <f>SUM(X21,X26,X30,X32,X37, X41,X44,X49,X51,X55,X58,X61,X65,X69,X74,X87,X91,X96)</f>
        <v>34.020000000000003</v>
      </c>
      <c r="Y97" s="20">
        <f>SUM(Y21,Y26,Y30,Y32,Y37, Y41,Y44,Y49,Y51,Y55,Y58,Y61,Y65,Y69,Y74,Y87,Y91,Y96)+0.03</f>
        <v>107783.01229999999</v>
      </c>
      <c r="Z97" s="20">
        <f t="shared" ref="Z97:AF97" si="35">SUM(Z21,Z26,Z30,Z32,Z37, Z41,Z44,Z49,Z51,Z55,Z58,Z61,Z65,Z69,Z74,Z87,Z91,Z96)</f>
        <v>6489.6571999999987</v>
      </c>
      <c r="AA97" s="20">
        <f t="shared" si="35"/>
        <v>499.20439999999991</v>
      </c>
      <c r="AB97" s="20">
        <f t="shared" si="35"/>
        <v>805.66071428571433</v>
      </c>
      <c r="AC97" s="20">
        <f t="shared" si="35"/>
        <v>385.72</v>
      </c>
      <c r="AD97" s="20">
        <f t="shared" si="35"/>
        <v>244.1192857142857</v>
      </c>
      <c r="AE97" s="20">
        <f t="shared" si="35"/>
        <v>62.448705357142863</v>
      </c>
      <c r="AF97" s="20">
        <f t="shared" si="35"/>
        <v>0</v>
      </c>
      <c r="AG97" s="20">
        <f>SUM(AG21,AG26,AG30,AG32,AG37, AG41,AG44,AG49,AG51,AG55,AG58,AG61,AG65,AG69,AG74,AG87,AG91,AG96)+0.01</f>
        <v>60.434553571428566</v>
      </c>
      <c r="AH97" s="20">
        <f>SUM(AH21,AH26,AH30,AH32,AH37, AH41,AH44,AH49,AH51,AH55,AH58,AH61,AH65,AH69,AH74,AH87,AH91,AH96)</f>
        <v>0</v>
      </c>
      <c r="AI97" s="20">
        <f>SUM(AI21,AI26,AI30,AI32,AI37, AI41,AI44,AI49,AI51,AI55,AI58,AI61,AI65,AI69,AI74,AI87,AI91,AI96)-0.01</f>
        <v>122.88325892857144</v>
      </c>
      <c r="AJ97" s="20">
        <f>SUM(AJ21,AJ26,AJ30,AJ32,AJ37, AJ41,AJ44,AJ49,AJ51,AJ55,AJ58,AJ61,AJ65,AJ69,AJ74,AJ87,AJ91,AJ96)+0.01</f>
        <v>8.0666071428571442</v>
      </c>
      <c r="AK97" s="20">
        <f t="shared" ref="AK97:AQ97" si="36">SUM(AK21,AK26,AK30,AK32,AK37, AK41,AK44,AK49,AK51,AK55,AK58,AK61,AK65,AK69,AK74,AK87,AK91,AK96)</f>
        <v>15915.89</v>
      </c>
      <c r="AL97" s="20">
        <f t="shared" si="36"/>
        <v>110000</v>
      </c>
      <c r="AM97" s="20">
        <f t="shared" si="36"/>
        <v>27900</v>
      </c>
      <c r="AN97" s="20">
        <f t="shared" si="36"/>
        <v>9500</v>
      </c>
      <c r="AO97" s="20">
        <f t="shared" si="36"/>
        <v>42722.82</v>
      </c>
      <c r="AP97" s="20">
        <f t="shared" si="36"/>
        <v>20000</v>
      </c>
      <c r="AQ97" s="20">
        <f t="shared" si="36"/>
        <v>236600</v>
      </c>
    </row>
    <row r="98" spans="1:43">
      <c r="A98" s="21">
        <f>A95+1</f>
        <v>58</v>
      </c>
      <c r="B98" s="45" t="s">
        <v>206</v>
      </c>
      <c r="C98" s="51" t="s">
        <v>207</v>
      </c>
      <c r="D98" s="82" t="s">
        <v>208</v>
      </c>
      <c r="E98" s="83" t="s">
        <v>79</v>
      </c>
      <c r="F98" s="84" t="s">
        <v>209</v>
      </c>
      <c r="G98" s="26">
        <v>1900</v>
      </c>
      <c r="H98" s="32">
        <f t="shared" ref="H98:H103" si="37">G98*12</f>
        <v>22800</v>
      </c>
      <c r="I98" s="32">
        <v>60</v>
      </c>
      <c r="J98" s="32"/>
      <c r="K98" s="32">
        <f t="shared" ref="K98:K103" si="38">G98</f>
        <v>1900</v>
      </c>
      <c r="L98" s="32">
        <v>300</v>
      </c>
      <c r="M98" s="12"/>
      <c r="N98" s="24">
        <v>125</v>
      </c>
      <c r="O98" s="24"/>
      <c r="P98" s="12">
        <f t="shared" ref="P98:P103" si="39">G98*0.0775*13</f>
        <v>1914.25</v>
      </c>
      <c r="Q98" s="9">
        <f>P98/13</f>
        <v>147.25</v>
      </c>
      <c r="R98" s="12"/>
      <c r="S98" s="12"/>
      <c r="T98" s="12"/>
      <c r="U98" s="12">
        <v>975</v>
      </c>
      <c r="V98" s="12">
        <f t="shared" ref="V98:V103" si="40">U98/13</f>
        <v>75</v>
      </c>
      <c r="W98" s="12"/>
      <c r="X98" s="12"/>
      <c r="Y98" s="12">
        <f>P98+S98+U98+W98</f>
        <v>2889.25</v>
      </c>
      <c r="Z98" s="12">
        <v>130</v>
      </c>
      <c r="AA98" s="12">
        <f t="shared" ref="AA98:AA103" si="41">Z98/13</f>
        <v>10</v>
      </c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</row>
    <row r="99" spans="1:43">
      <c r="A99" s="21">
        <f>A98+1</f>
        <v>59</v>
      </c>
      <c r="B99" s="27" t="s">
        <v>210</v>
      </c>
      <c r="C99" s="51" t="s">
        <v>211</v>
      </c>
      <c r="D99" s="82" t="s">
        <v>208</v>
      </c>
      <c r="E99" s="83" t="s">
        <v>79</v>
      </c>
      <c r="F99" s="84" t="s">
        <v>209</v>
      </c>
      <c r="G99" s="26">
        <f>417+50</f>
        <v>467</v>
      </c>
      <c r="H99" s="32">
        <f t="shared" si="37"/>
        <v>5604</v>
      </c>
      <c r="I99" s="32">
        <v>60</v>
      </c>
      <c r="J99" s="36"/>
      <c r="K99" s="32">
        <f t="shared" si="38"/>
        <v>467</v>
      </c>
      <c r="L99" s="32">
        <v>300</v>
      </c>
      <c r="M99" s="12"/>
      <c r="N99" s="24">
        <v>125</v>
      </c>
      <c r="O99" s="24"/>
      <c r="P99" s="12">
        <f t="shared" si="39"/>
        <v>470.50250000000005</v>
      </c>
      <c r="Q99" s="9">
        <f>P99/13</f>
        <v>36.192500000000003</v>
      </c>
      <c r="R99" s="12"/>
      <c r="S99" s="37"/>
      <c r="T99" s="37"/>
      <c r="U99" s="12">
        <f>G99*0.075*13</f>
        <v>455.32499999999999</v>
      </c>
      <c r="V99" s="12">
        <f t="shared" si="40"/>
        <v>35.024999999999999</v>
      </c>
      <c r="W99" s="37"/>
      <c r="X99" s="37"/>
      <c r="Y99" s="12">
        <f>P99+S99+U99+W99</f>
        <v>925.8275000000001</v>
      </c>
      <c r="Z99" s="12">
        <f>G99*0.01*13</f>
        <v>60.71</v>
      </c>
      <c r="AA99" s="12">
        <f t="shared" si="41"/>
        <v>4.67</v>
      </c>
      <c r="AB99" s="37"/>
      <c r="AC99" s="37"/>
      <c r="AD99" s="37"/>
      <c r="AE99" s="37"/>
      <c r="AF99" s="37"/>
      <c r="AG99" s="37"/>
      <c r="AH99" s="37"/>
      <c r="AI99" s="12"/>
      <c r="AJ99" s="37"/>
      <c r="AK99" s="37"/>
      <c r="AL99" s="37"/>
      <c r="AM99" s="12"/>
      <c r="AN99" s="12"/>
      <c r="AO99" s="12"/>
      <c r="AP99" s="37"/>
      <c r="AQ99" s="37"/>
    </row>
    <row r="100" spans="1:43">
      <c r="A100" s="21">
        <f>A99+1</f>
        <v>60</v>
      </c>
      <c r="B100" s="45" t="s">
        <v>212</v>
      </c>
      <c r="C100" s="51" t="s">
        <v>213</v>
      </c>
      <c r="D100" s="82" t="s">
        <v>208</v>
      </c>
      <c r="E100" s="83" t="s">
        <v>79</v>
      </c>
      <c r="F100" s="84" t="s">
        <v>209</v>
      </c>
      <c r="G100" s="26">
        <f>597+30+50</f>
        <v>677</v>
      </c>
      <c r="H100" s="32">
        <f t="shared" si="37"/>
        <v>8124</v>
      </c>
      <c r="I100" s="32">
        <v>60</v>
      </c>
      <c r="J100" s="32"/>
      <c r="K100" s="32">
        <f t="shared" si="38"/>
        <v>677</v>
      </c>
      <c r="L100" s="32">
        <v>300</v>
      </c>
      <c r="M100" s="12"/>
      <c r="N100" s="24">
        <v>125</v>
      </c>
      <c r="O100" s="24"/>
      <c r="P100" s="12">
        <f t="shared" si="39"/>
        <v>682.07749999999999</v>
      </c>
      <c r="Q100" s="9"/>
      <c r="R100" s="12">
        <f>P100/13</f>
        <v>52.467500000000001</v>
      </c>
      <c r="S100" s="12"/>
      <c r="T100" s="12"/>
      <c r="U100" s="12">
        <f>G100*0.075*13</f>
        <v>660.07499999999993</v>
      </c>
      <c r="V100" s="12">
        <f t="shared" si="40"/>
        <v>50.774999999999991</v>
      </c>
      <c r="W100" s="12"/>
      <c r="X100" s="12"/>
      <c r="Y100" s="12">
        <f>P100+S100+U100+W100+0.01</f>
        <v>1342.1624999999999</v>
      </c>
      <c r="Z100" s="12">
        <f>G100*0.01*13</f>
        <v>88.01</v>
      </c>
      <c r="AA100" s="12">
        <f t="shared" si="41"/>
        <v>6.7700000000000005</v>
      </c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</row>
    <row r="101" spans="1:43">
      <c r="A101" s="21">
        <f>A100+1</f>
        <v>61</v>
      </c>
      <c r="B101" s="45" t="s">
        <v>214</v>
      </c>
      <c r="C101" s="25" t="s">
        <v>215</v>
      </c>
      <c r="D101" s="82" t="s">
        <v>208</v>
      </c>
      <c r="E101" s="83" t="s">
        <v>79</v>
      </c>
      <c r="F101" s="84" t="s">
        <v>209</v>
      </c>
      <c r="G101" s="26">
        <f>467+30+50</f>
        <v>547</v>
      </c>
      <c r="H101" s="32">
        <f t="shared" si="37"/>
        <v>6564</v>
      </c>
      <c r="I101" s="32">
        <v>60</v>
      </c>
      <c r="J101" s="32"/>
      <c r="K101" s="32">
        <f t="shared" si="38"/>
        <v>547</v>
      </c>
      <c r="L101" s="32">
        <v>300</v>
      </c>
      <c r="M101" s="12"/>
      <c r="N101" s="24">
        <v>125</v>
      </c>
      <c r="O101" s="24"/>
      <c r="P101" s="12">
        <f t="shared" si="39"/>
        <v>551.10249999999996</v>
      </c>
      <c r="Q101" s="13"/>
      <c r="R101" s="12">
        <f>P101/13</f>
        <v>42.392499999999998</v>
      </c>
      <c r="S101" s="12"/>
      <c r="T101" s="12"/>
      <c r="U101" s="12">
        <f>G101*0.075*13</f>
        <v>533.32499999999993</v>
      </c>
      <c r="V101" s="12">
        <f t="shared" si="40"/>
        <v>41.024999999999991</v>
      </c>
      <c r="W101" s="12"/>
      <c r="X101" s="12"/>
      <c r="Y101" s="12">
        <f>P101+S101+U101+W101</f>
        <v>1084.4274999999998</v>
      </c>
      <c r="Z101" s="12">
        <f>G101*0.01*13</f>
        <v>71.11</v>
      </c>
      <c r="AA101" s="12">
        <f t="shared" si="41"/>
        <v>5.47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</row>
    <row r="102" spans="1:43">
      <c r="A102" s="21">
        <f>A101+1</f>
        <v>62</v>
      </c>
      <c r="B102" s="45" t="s">
        <v>216</v>
      </c>
      <c r="C102" s="25" t="s">
        <v>217</v>
      </c>
      <c r="D102" s="82" t="s">
        <v>208</v>
      </c>
      <c r="E102" s="83" t="s">
        <v>79</v>
      </c>
      <c r="F102" s="84" t="s">
        <v>209</v>
      </c>
      <c r="G102" s="26">
        <f>617+30+50</f>
        <v>697</v>
      </c>
      <c r="H102" s="32">
        <f t="shared" si="37"/>
        <v>8364</v>
      </c>
      <c r="I102" s="32">
        <v>60</v>
      </c>
      <c r="J102" s="32"/>
      <c r="K102" s="32">
        <f t="shared" si="38"/>
        <v>697</v>
      </c>
      <c r="L102" s="32">
        <v>300</v>
      </c>
      <c r="M102" s="12"/>
      <c r="N102" s="24">
        <v>125</v>
      </c>
      <c r="O102" s="24"/>
      <c r="P102" s="12">
        <f t="shared" si="39"/>
        <v>702.22749999999996</v>
      </c>
      <c r="Q102" s="9">
        <f>P102/13</f>
        <v>54.017499999999998</v>
      </c>
      <c r="R102" s="12"/>
      <c r="S102" s="12"/>
      <c r="T102" s="12"/>
      <c r="U102" s="12">
        <f>G102*0.075*13</f>
        <v>679.57499999999993</v>
      </c>
      <c r="V102" s="12">
        <f t="shared" si="40"/>
        <v>52.274999999999991</v>
      </c>
      <c r="W102" s="12"/>
      <c r="X102" s="12"/>
      <c r="Y102" s="12">
        <f>P102+S102+U102+W102+0.01</f>
        <v>1381.8124999999998</v>
      </c>
      <c r="Z102" s="12">
        <f>G102*0.01*13</f>
        <v>90.61</v>
      </c>
      <c r="AA102" s="12">
        <f t="shared" si="41"/>
        <v>6.97</v>
      </c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</row>
    <row r="103" spans="1:43">
      <c r="A103" s="52">
        <f>A102+1</f>
        <v>63</v>
      </c>
      <c r="B103" s="27" t="s">
        <v>218</v>
      </c>
      <c r="C103" s="25" t="s">
        <v>219</v>
      </c>
      <c r="D103" s="82" t="s">
        <v>208</v>
      </c>
      <c r="E103" s="83" t="s">
        <v>79</v>
      </c>
      <c r="F103" s="84" t="s">
        <v>209</v>
      </c>
      <c r="G103" s="26">
        <f>570+30+50</f>
        <v>650</v>
      </c>
      <c r="H103" s="32">
        <f t="shared" si="37"/>
        <v>7800</v>
      </c>
      <c r="I103" s="32">
        <v>60</v>
      </c>
      <c r="J103" s="36"/>
      <c r="K103" s="32">
        <f t="shared" si="38"/>
        <v>650</v>
      </c>
      <c r="L103" s="32">
        <v>300</v>
      </c>
      <c r="M103" s="37"/>
      <c r="N103" s="24">
        <v>125</v>
      </c>
      <c r="O103" s="24"/>
      <c r="P103" s="12">
        <f t="shared" si="39"/>
        <v>654.875</v>
      </c>
      <c r="Q103" s="40"/>
      <c r="R103" s="12">
        <f>P103/13</f>
        <v>50.375</v>
      </c>
      <c r="S103" s="12"/>
      <c r="T103" s="12"/>
      <c r="U103" s="12">
        <f>G103*0.075*13</f>
        <v>633.75</v>
      </c>
      <c r="V103" s="12">
        <f t="shared" si="40"/>
        <v>48.75</v>
      </c>
      <c r="W103" s="12"/>
      <c r="X103" s="12"/>
      <c r="Y103" s="12">
        <f>P103+S103+U103+W103</f>
        <v>1288.625</v>
      </c>
      <c r="Z103" s="12">
        <f>G103*0.01*13</f>
        <v>84.5</v>
      </c>
      <c r="AA103" s="12">
        <f t="shared" si="41"/>
        <v>6.5</v>
      </c>
      <c r="AB103" s="38"/>
      <c r="AC103" s="38"/>
      <c r="AD103" s="38"/>
      <c r="AE103" s="38"/>
      <c r="AF103" s="37"/>
      <c r="AG103" s="38"/>
      <c r="AH103" s="37"/>
      <c r="AI103" s="12"/>
      <c r="AJ103" s="38"/>
      <c r="AK103" s="38"/>
      <c r="AL103" s="38"/>
      <c r="AM103" s="12"/>
      <c r="AN103" s="12"/>
      <c r="AO103" s="12"/>
      <c r="AP103" s="38"/>
      <c r="AQ103" s="37"/>
    </row>
    <row r="104" spans="1:43">
      <c r="A104" s="21"/>
      <c r="B104" s="15"/>
      <c r="C104" s="85" t="s">
        <v>220</v>
      </c>
      <c r="D104" s="89"/>
      <c r="E104" s="83"/>
      <c r="F104" s="84"/>
      <c r="G104" s="86">
        <f>SUM(G98:G103)</f>
        <v>4938</v>
      </c>
      <c r="H104" s="30">
        <f t="shared" ref="H104:AA104" si="42">SUM(H98:H103)</f>
        <v>59256</v>
      </c>
      <c r="I104" s="30">
        <f t="shared" si="42"/>
        <v>360</v>
      </c>
      <c r="J104" s="30">
        <f t="shared" si="42"/>
        <v>0</v>
      </c>
      <c r="K104" s="30">
        <f t="shared" si="42"/>
        <v>4938</v>
      </c>
      <c r="L104" s="30">
        <f t="shared" si="42"/>
        <v>1800</v>
      </c>
      <c r="M104" s="30">
        <f t="shared" si="42"/>
        <v>0</v>
      </c>
      <c r="N104" s="30">
        <f t="shared" si="42"/>
        <v>750</v>
      </c>
      <c r="O104" s="30">
        <f t="shared" si="42"/>
        <v>0</v>
      </c>
      <c r="P104" s="30">
        <f t="shared" si="42"/>
        <v>4975.0349999999999</v>
      </c>
      <c r="Q104" s="30">
        <f t="shared" si="42"/>
        <v>237.45999999999998</v>
      </c>
      <c r="R104" s="30">
        <f t="shared" si="42"/>
        <v>145.23500000000001</v>
      </c>
      <c r="S104" s="30">
        <f t="shared" si="42"/>
        <v>0</v>
      </c>
      <c r="T104" s="30">
        <f t="shared" si="42"/>
        <v>0</v>
      </c>
      <c r="U104" s="30">
        <f>SUM(U98:U103)+0.02</f>
        <v>3937.0699999999997</v>
      </c>
      <c r="V104" s="30">
        <f t="shared" si="42"/>
        <v>302.84999999999997</v>
      </c>
      <c r="W104" s="30">
        <f t="shared" si="42"/>
        <v>0</v>
      </c>
      <c r="X104" s="30">
        <f t="shared" si="42"/>
        <v>0</v>
      </c>
      <c r="Y104" s="30">
        <f t="shared" si="42"/>
        <v>8912.1049999999996</v>
      </c>
      <c r="Z104" s="30">
        <f t="shared" si="42"/>
        <v>524.94000000000005</v>
      </c>
      <c r="AA104" s="30">
        <f t="shared" si="42"/>
        <v>40.380000000000003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</row>
    <row r="105" spans="1:43">
      <c r="A105" s="21">
        <f>A103+1</f>
        <v>64</v>
      </c>
      <c r="B105" s="45" t="s">
        <v>221</v>
      </c>
      <c r="C105" s="56" t="s">
        <v>222</v>
      </c>
      <c r="D105" s="82" t="s">
        <v>223</v>
      </c>
      <c r="E105" s="83" t="s">
        <v>79</v>
      </c>
      <c r="F105" s="84" t="s">
        <v>209</v>
      </c>
      <c r="G105" s="26">
        <v>945.57</v>
      </c>
      <c r="H105" s="32">
        <f t="shared" ref="H105:H122" si="43">G105*12</f>
        <v>11346.84</v>
      </c>
      <c r="I105" s="32">
        <v>60</v>
      </c>
      <c r="J105" s="32"/>
      <c r="K105" s="32">
        <f t="shared" ref="K105:K122" si="44">G105</f>
        <v>945.57</v>
      </c>
      <c r="L105" s="32">
        <v>300</v>
      </c>
      <c r="M105" s="12"/>
      <c r="N105" s="24">
        <v>125</v>
      </c>
      <c r="O105" s="24"/>
      <c r="P105" s="12">
        <f>G105*0.0775*13</f>
        <v>952.66177500000003</v>
      </c>
      <c r="Q105" s="40"/>
      <c r="R105" s="12">
        <f>P105/13</f>
        <v>73.281675000000007</v>
      </c>
      <c r="S105" s="37"/>
      <c r="T105" s="37"/>
      <c r="U105" s="12">
        <f t="shared" ref="U105:U123" si="45">G105*0.075*13</f>
        <v>921.93074999999999</v>
      </c>
      <c r="V105" s="12">
        <f t="shared" ref="V105:V123" si="46">U105/13</f>
        <v>70.917749999999998</v>
      </c>
      <c r="W105" s="37"/>
      <c r="X105" s="37"/>
      <c r="Y105" s="12">
        <f>P105+S105+U105+W105</f>
        <v>1874.592525</v>
      </c>
      <c r="Z105" s="12">
        <v>130</v>
      </c>
      <c r="AA105" s="12">
        <f t="shared" ref="AA105:AA123" si="47">Z105/13</f>
        <v>10</v>
      </c>
      <c r="AB105" s="12"/>
      <c r="AC105" s="12"/>
      <c r="AD105" s="12"/>
      <c r="AE105" s="12"/>
      <c r="AF105" s="37"/>
      <c r="AG105" s="12"/>
      <c r="AH105" s="37"/>
      <c r="AI105" s="12"/>
      <c r="AJ105" s="12"/>
      <c r="AK105" s="12"/>
      <c r="AL105" s="12"/>
      <c r="AM105" s="12"/>
      <c r="AN105" s="12"/>
      <c r="AO105" s="12"/>
      <c r="AP105" s="12"/>
      <c r="AQ105" s="37"/>
    </row>
    <row r="106" spans="1:43">
      <c r="A106" s="21">
        <f>A105+1</f>
        <v>65</v>
      </c>
      <c r="B106" s="45" t="s">
        <v>224</v>
      </c>
      <c r="C106" s="56" t="s">
        <v>225</v>
      </c>
      <c r="D106" s="82" t="s">
        <v>223</v>
      </c>
      <c r="E106" s="83" t="s">
        <v>79</v>
      </c>
      <c r="F106" s="84" t="s">
        <v>209</v>
      </c>
      <c r="G106" s="26">
        <f>737+30+50</f>
        <v>817</v>
      </c>
      <c r="H106" s="32">
        <f>G106*12</f>
        <v>9804</v>
      </c>
      <c r="I106" s="32">
        <v>60</v>
      </c>
      <c r="J106" s="32"/>
      <c r="K106" s="32">
        <f>G106</f>
        <v>817</v>
      </c>
      <c r="L106" s="32">
        <v>300</v>
      </c>
      <c r="M106" s="12"/>
      <c r="N106" s="24">
        <v>125</v>
      </c>
      <c r="O106" s="24"/>
      <c r="P106" s="12">
        <f>G106*0.0775*13</f>
        <v>823.12750000000005</v>
      </c>
      <c r="Q106" s="9">
        <f>P106/13</f>
        <v>63.317500000000003</v>
      </c>
      <c r="R106" s="40"/>
      <c r="S106" s="12"/>
      <c r="T106" s="12"/>
      <c r="U106" s="12">
        <f>G106*0.075*13</f>
        <v>796.57499999999993</v>
      </c>
      <c r="V106" s="12">
        <f>U106/13</f>
        <v>61.274999999999991</v>
      </c>
      <c r="W106" s="12"/>
      <c r="X106" s="12"/>
      <c r="Y106" s="12">
        <f>P106+S106+U106+W106+0.01</f>
        <v>1619.7124999999999</v>
      </c>
      <c r="Z106" s="12">
        <f>G106*0.01*13</f>
        <v>106.21</v>
      </c>
      <c r="AA106" s="12">
        <f>Z106/13</f>
        <v>8.17</v>
      </c>
      <c r="AB106" s="12"/>
      <c r="AC106" s="12"/>
      <c r="AD106" s="12"/>
      <c r="AE106" s="12"/>
      <c r="AF106" s="37"/>
      <c r="AG106" s="12"/>
      <c r="AH106" s="37"/>
      <c r="AI106" s="12"/>
      <c r="AJ106" s="12"/>
      <c r="AK106" s="12"/>
      <c r="AL106" s="12"/>
      <c r="AM106" s="12"/>
      <c r="AN106" s="12"/>
      <c r="AO106" s="12"/>
      <c r="AP106" s="12"/>
      <c r="AQ106" s="37"/>
    </row>
    <row r="107" spans="1:43">
      <c r="A107" s="21">
        <f>A106+1</f>
        <v>66</v>
      </c>
      <c r="B107" s="45" t="s">
        <v>226</v>
      </c>
      <c r="C107" s="56" t="s">
        <v>227</v>
      </c>
      <c r="D107" s="82" t="s">
        <v>223</v>
      </c>
      <c r="E107" s="83" t="s">
        <v>79</v>
      </c>
      <c r="F107" s="84" t="s">
        <v>209</v>
      </c>
      <c r="G107" s="26">
        <f>645+30+50</f>
        <v>725</v>
      </c>
      <c r="H107" s="32">
        <f t="shared" si="43"/>
        <v>8700</v>
      </c>
      <c r="I107" s="32">
        <v>60</v>
      </c>
      <c r="J107" s="32"/>
      <c r="K107" s="32">
        <f t="shared" si="44"/>
        <v>725</v>
      </c>
      <c r="L107" s="32">
        <v>300</v>
      </c>
      <c r="M107" s="12"/>
      <c r="N107" s="24">
        <v>125</v>
      </c>
      <c r="O107" s="24"/>
      <c r="P107" s="12">
        <f>G107*0.0775*13</f>
        <v>730.4375</v>
      </c>
      <c r="Q107" s="12"/>
      <c r="R107" s="12">
        <f>P107/13</f>
        <v>56.1875</v>
      </c>
      <c r="S107" s="12"/>
      <c r="T107" s="12"/>
      <c r="U107" s="12">
        <f t="shared" si="45"/>
        <v>706.875</v>
      </c>
      <c r="V107" s="12">
        <f t="shared" si="46"/>
        <v>54.375</v>
      </c>
      <c r="W107" s="37"/>
      <c r="X107" s="37"/>
      <c r="Y107" s="12">
        <f>P107+S107+U107+W107+0.01</f>
        <v>1437.3225</v>
      </c>
      <c r="Z107" s="12">
        <f t="shared" ref="Z107:Z123" si="48">G107*0.01*13</f>
        <v>94.25</v>
      </c>
      <c r="AA107" s="12">
        <f t="shared" si="47"/>
        <v>7.25</v>
      </c>
      <c r="AB107" s="12"/>
      <c r="AC107" s="12"/>
      <c r="AD107" s="12"/>
      <c r="AE107" s="12"/>
      <c r="AF107" s="37"/>
      <c r="AG107" s="12"/>
      <c r="AH107" s="37"/>
      <c r="AI107" s="12"/>
      <c r="AJ107" s="12"/>
      <c r="AK107" s="12"/>
      <c r="AL107" s="12"/>
      <c r="AM107" s="12"/>
      <c r="AN107" s="12"/>
      <c r="AO107" s="12"/>
      <c r="AP107" s="12"/>
      <c r="AQ107" s="37"/>
    </row>
    <row r="108" spans="1:43">
      <c r="A108" s="21">
        <f>A107+1</f>
        <v>67</v>
      </c>
      <c r="B108" s="27" t="s">
        <v>228</v>
      </c>
      <c r="C108" s="51" t="s">
        <v>229</v>
      </c>
      <c r="D108" s="82" t="s">
        <v>223</v>
      </c>
      <c r="E108" s="83" t="s">
        <v>79</v>
      </c>
      <c r="F108" s="84" t="s">
        <v>209</v>
      </c>
      <c r="G108" s="26">
        <v>500</v>
      </c>
      <c r="H108" s="32">
        <f t="shared" si="43"/>
        <v>6000</v>
      </c>
      <c r="I108" s="32">
        <v>60</v>
      </c>
      <c r="J108" s="36"/>
      <c r="K108" s="32">
        <f t="shared" si="44"/>
        <v>500</v>
      </c>
      <c r="L108" s="32">
        <v>300</v>
      </c>
      <c r="M108" s="37"/>
      <c r="N108" s="24">
        <v>125</v>
      </c>
      <c r="O108" s="24"/>
      <c r="P108" s="12">
        <f t="shared" ref="P108:P123" si="49">G108*0.0775*13</f>
        <v>503.75</v>
      </c>
      <c r="Q108" s="40"/>
      <c r="R108" s="12">
        <f>P108/13</f>
        <v>38.75</v>
      </c>
      <c r="S108" s="12"/>
      <c r="T108" s="12"/>
      <c r="U108" s="12">
        <f t="shared" si="45"/>
        <v>487.5</v>
      </c>
      <c r="V108" s="12">
        <f t="shared" si="46"/>
        <v>37.5</v>
      </c>
      <c r="W108" s="12"/>
      <c r="X108" s="12"/>
      <c r="Y108" s="12">
        <f>P108+S108+U108+W108</f>
        <v>991.25</v>
      </c>
      <c r="Z108" s="12">
        <f t="shared" si="48"/>
        <v>65</v>
      </c>
      <c r="AA108" s="12">
        <f t="shared" si="47"/>
        <v>5</v>
      </c>
      <c r="AB108" s="38"/>
      <c r="AC108" s="38"/>
      <c r="AD108" s="38"/>
      <c r="AE108" s="38"/>
      <c r="AF108" s="37"/>
      <c r="AG108" s="38"/>
      <c r="AH108" s="37"/>
      <c r="AI108" s="12"/>
      <c r="AJ108" s="38"/>
      <c r="AK108" s="38"/>
      <c r="AL108" s="38"/>
      <c r="AM108" s="12"/>
      <c r="AN108" s="12"/>
      <c r="AO108" s="12"/>
      <c r="AP108" s="38"/>
      <c r="AQ108" s="37"/>
    </row>
    <row r="109" spans="1:43">
      <c r="A109" s="21">
        <f>A108+1</f>
        <v>68</v>
      </c>
      <c r="B109" s="45" t="s">
        <v>230</v>
      </c>
      <c r="C109" s="56" t="s">
        <v>231</v>
      </c>
      <c r="D109" s="82" t="s">
        <v>223</v>
      </c>
      <c r="E109" s="83" t="s">
        <v>79</v>
      </c>
      <c r="F109" s="84" t="s">
        <v>209</v>
      </c>
      <c r="G109" s="26">
        <f>605.15+30+50</f>
        <v>685.15</v>
      </c>
      <c r="H109" s="32">
        <f t="shared" si="43"/>
        <v>8221.7999999999993</v>
      </c>
      <c r="I109" s="32">
        <v>60</v>
      </c>
      <c r="J109" s="36"/>
      <c r="K109" s="32">
        <f t="shared" si="44"/>
        <v>685.15</v>
      </c>
      <c r="L109" s="32">
        <v>300</v>
      </c>
      <c r="M109" s="12"/>
      <c r="N109" s="24">
        <v>125</v>
      </c>
      <c r="O109" s="24"/>
      <c r="P109" s="12">
        <f t="shared" si="49"/>
        <v>690.28862500000002</v>
      </c>
      <c r="Q109" s="9">
        <f>P109/13</f>
        <v>53.099125000000001</v>
      </c>
      <c r="R109" s="12"/>
      <c r="S109" s="37"/>
      <c r="T109" s="37"/>
      <c r="U109" s="12">
        <f t="shared" si="45"/>
        <v>668.02125000000001</v>
      </c>
      <c r="V109" s="12">
        <f t="shared" si="46"/>
        <v>51.386250000000004</v>
      </c>
      <c r="W109" s="37"/>
      <c r="X109" s="37"/>
      <c r="Y109" s="12">
        <f>P109+S109+U109+W109</f>
        <v>1358.3098749999999</v>
      </c>
      <c r="Z109" s="12">
        <f t="shared" si="48"/>
        <v>89.069499999999991</v>
      </c>
      <c r="AA109" s="12">
        <f t="shared" si="47"/>
        <v>6.8514999999999997</v>
      </c>
      <c r="AB109" s="38"/>
      <c r="AC109" s="38"/>
      <c r="AD109" s="38"/>
      <c r="AE109" s="38"/>
      <c r="AF109" s="37"/>
      <c r="AG109" s="38"/>
      <c r="AH109" s="37"/>
      <c r="AI109" s="12"/>
      <c r="AJ109" s="38"/>
      <c r="AK109" s="38"/>
      <c r="AL109" s="38"/>
      <c r="AM109" s="12"/>
      <c r="AN109" s="12"/>
      <c r="AO109" s="12"/>
      <c r="AP109" s="38"/>
      <c r="AQ109" s="37"/>
    </row>
    <row r="110" spans="1:43">
      <c r="A110" s="21">
        <f>A109+1</f>
        <v>69</v>
      </c>
      <c r="B110" s="45" t="s">
        <v>232</v>
      </c>
      <c r="C110" s="56" t="s">
        <v>233</v>
      </c>
      <c r="D110" s="82" t="s">
        <v>223</v>
      </c>
      <c r="E110" s="83" t="s">
        <v>79</v>
      </c>
      <c r="F110" s="84" t="s">
        <v>209</v>
      </c>
      <c r="G110" s="26">
        <f>572+30+50</f>
        <v>652</v>
      </c>
      <c r="H110" s="32">
        <f t="shared" si="43"/>
        <v>7824</v>
      </c>
      <c r="I110" s="32">
        <v>60</v>
      </c>
      <c r="J110" s="36"/>
      <c r="K110" s="32">
        <f t="shared" si="44"/>
        <v>652</v>
      </c>
      <c r="L110" s="32">
        <v>300</v>
      </c>
      <c r="M110" s="12"/>
      <c r="N110" s="24">
        <v>125</v>
      </c>
      <c r="O110" s="24"/>
      <c r="P110" s="12">
        <f t="shared" si="49"/>
        <v>656.89</v>
      </c>
      <c r="Q110" s="9">
        <f>P110/13</f>
        <v>50.53</v>
      </c>
      <c r="R110" s="12"/>
      <c r="S110" s="37"/>
      <c r="T110" s="37"/>
      <c r="U110" s="12">
        <f t="shared" si="45"/>
        <v>635.69999999999993</v>
      </c>
      <c r="V110" s="12">
        <f t="shared" si="46"/>
        <v>48.899999999999991</v>
      </c>
      <c r="W110" s="37"/>
      <c r="X110" s="37"/>
      <c r="Y110" s="12">
        <f>P110+S110+U110+W110</f>
        <v>1292.5899999999999</v>
      </c>
      <c r="Z110" s="12">
        <f t="shared" si="48"/>
        <v>84.76</v>
      </c>
      <c r="AA110" s="12">
        <f t="shared" si="47"/>
        <v>6.5200000000000005</v>
      </c>
      <c r="AB110" s="37"/>
      <c r="AC110" s="37"/>
      <c r="AD110" s="37"/>
      <c r="AE110" s="37"/>
      <c r="AF110" s="37"/>
      <c r="AG110" s="37"/>
      <c r="AH110" s="37"/>
      <c r="AI110" s="12"/>
      <c r="AJ110" s="37"/>
      <c r="AK110" s="37"/>
      <c r="AL110" s="37"/>
      <c r="AM110" s="12"/>
      <c r="AN110" s="12"/>
      <c r="AO110" s="12"/>
      <c r="AP110" s="37"/>
      <c r="AQ110" s="37"/>
    </row>
    <row r="111" spans="1:43">
      <c r="A111" s="21">
        <f t="shared" ref="A111:A123" si="50">A110+1</f>
        <v>70</v>
      </c>
      <c r="B111" s="45" t="s">
        <v>234</v>
      </c>
      <c r="C111" s="56" t="s">
        <v>235</v>
      </c>
      <c r="D111" s="82" t="s">
        <v>223</v>
      </c>
      <c r="E111" s="83" t="s">
        <v>79</v>
      </c>
      <c r="F111" s="84" t="s">
        <v>209</v>
      </c>
      <c r="G111" s="26">
        <f>645+30+50</f>
        <v>725</v>
      </c>
      <c r="H111" s="32">
        <f t="shared" si="43"/>
        <v>8700</v>
      </c>
      <c r="I111" s="32">
        <v>60</v>
      </c>
      <c r="J111" s="36"/>
      <c r="K111" s="32">
        <f t="shared" si="44"/>
        <v>725</v>
      </c>
      <c r="L111" s="32">
        <v>300</v>
      </c>
      <c r="M111" s="12"/>
      <c r="N111" s="24">
        <v>125</v>
      </c>
      <c r="O111" s="24"/>
      <c r="P111" s="12">
        <f t="shared" si="49"/>
        <v>730.4375</v>
      </c>
      <c r="Q111" s="9">
        <f>P111/13</f>
        <v>56.1875</v>
      </c>
      <c r="R111" s="12"/>
      <c r="S111" s="37"/>
      <c r="T111" s="37"/>
      <c r="U111" s="12">
        <f t="shared" si="45"/>
        <v>706.875</v>
      </c>
      <c r="V111" s="12">
        <f t="shared" si="46"/>
        <v>54.375</v>
      </c>
      <c r="W111" s="37"/>
      <c r="X111" s="37"/>
      <c r="Y111" s="12">
        <f>P111+S111+U111+W111+0.01</f>
        <v>1437.3225</v>
      </c>
      <c r="Z111" s="12">
        <f t="shared" si="48"/>
        <v>94.25</v>
      </c>
      <c r="AA111" s="12">
        <f t="shared" si="47"/>
        <v>7.25</v>
      </c>
      <c r="AB111" s="37"/>
      <c r="AC111" s="37"/>
      <c r="AD111" s="37"/>
      <c r="AE111" s="37"/>
      <c r="AF111" s="37"/>
      <c r="AG111" s="37"/>
      <c r="AH111" s="37"/>
      <c r="AI111" s="12"/>
      <c r="AJ111" s="37"/>
      <c r="AK111" s="37"/>
      <c r="AL111" s="37"/>
      <c r="AM111" s="12"/>
      <c r="AN111" s="12"/>
      <c r="AO111" s="12"/>
      <c r="AP111" s="37"/>
      <c r="AQ111" s="37"/>
    </row>
    <row r="112" spans="1:43">
      <c r="A112" s="21">
        <f t="shared" si="50"/>
        <v>71</v>
      </c>
      <c r="B112" s="45" t="s">
        <v>236</v>
      </c>
      <c r="C112" s="56" t="s">
        <v>237</v>
      </c>
      <c r="D112" s="82" t="s">
        <v>223</v>
      </c>
      <c r="E112" s="83" t="s">
        <v>79</v>
      </c>
      <c r="F112" s="84" t="s">
        <v>209</v>
      </c>
      <c r="G112" s="26">
        <f>517+50</f>
        <v>567</v>
      </c>
      <c r="H112" s="32">
        <f t="shared" si="43"/>
        <v>6804</v>
      </c>
      <c r="I112" s="32">
        <v>60</v>
      </c>
      <c r="J112" s="36"/>
      <c r="K112" s="32">
        <f t="shared" si="44"/>
        <v>567</v>
      </c>
      <c r="L112" s="32">
        <v>300</v>
      </c>
      <c r="M112" s="12"/>
      <c r="N112" s="24">
        <v>125</v>
      </c>
      <c r="O112" s="24"/>
      <c r="P112" s="12">
        <f t="shared" si="49"/>
        <v>571.25250000000005</v>
      </c>
      <c r="Q112" s="9"/>
      <c r="R112" s="12">
        <f>P112/13</f>
        <v>43.942500000000003</v>
      </c>
      <c r="S112" s="37"/>
      <c r="T112" s="37"/>
      <c r="U112" s="12">
        <f t="shared" si="45"/>
        <v>552.82499999999993</v>
      </c>
      <c r="V112" s="12">
        <f t="shared" si="46"/>
        <v>42.524999999999991</v>
      </c>
      <c r="W112" s="37"/>
      <c r="X112" s="37"/>
      <c r="Y112" s="12">
        <f>P112+S112+U112+W112</f>
        <v>1124.0774999999999</v>
      </c>
      <c r="Z112" s="12">
        <f t="shared" si="48"/>
        <v>73.709999999999994</v>
      </c>
      <c r="AA112" s="12">
        <f t="shared" si="47"/>
        <v>5.67</v>
      </c>
      <c r="AB112" s="37"/>
      <c r="AC112" s="37"/>
      <c r="AD112" s="37"/>
      <c r="AE112" s="37"/>
      <c r="AF112" s="37"/>
      <c r="AG112" s="37"/>
      <c r="AH112" s="37"/>
      <c r="AI112" s="12"/>
      <c r="AJ112" s="37"/>
      <c r="AK112" s="37"/>
      <c r="AL112" s="37"/>
      <c r="AM112" s="12"/>
      <c r="AN112" s="12"/>
      <c r="AO112" s="12"/>
      <c r="AP112" s="37"/>
      <c r="AQ112" s="37"/>
    </row>
    <row r="113" spans="1:43">
      <c r="A113" s="21">
        <f t="shared" si="50"/>
        <v>72</v>
      </c>
      <c r="B113" s="45" t="s">
        <v>238</v>
      </c>
      <c r="C113" s="56" t="s">
        <v>239</v>
      </c>
      <c r="D113" s="82" t="s">
        <v>223</v>
      </c>
      <c r="E113" s="83" t="s">
        <v>79</v>
      </c>
      <c r="F113" s="84" t="s">
        <v>209</v>
      </c>
      <c r="G113" s="26">
        <f>467+30+50</f>
        <v>547</v>
      </c>
      <c r="H113" s="32">
        <f>G113*12</f>
        <v>6564</v>
      </c>
      <c r="I113" s="32">
        <v>60</v>
      </c>
      <c r="J113" s="36"/>
      <c r="K113" s="32">
        <f>G113</f>
        <v>547</v>
      </c>
      <c r="L113" s="32">
        <v>300</v>
      </c>
      <c r="M113" s="37"/>
      <c r="N113" s="24">
        <v>125</v>
      </c>
      <c r="O113" s="24"/>
      <c r="P113" s="12">
        <f>G113*0.0775*13</f>
        <v>551.10249999999996</v>
      </c>
      <c r="Q113" s="40"/>
      <c r="R113" s="12">
        <f>P113/13</f>
        <v>42.392499999999998</v>
      </c>
      <c r="S113" s="37"/>
      <c r="T113" s="37"/>
      <c r="U113" s="12">
        <f>G113*0.075*13</f>
        <v>533.32499999999993</v>
      </c>
      <c r="V113" s="12">
        <f>U113/13</f>
        <v>41.024999999999991</v>
      </c>
      <c r="W113" s="37"/>
      <c r="X113" s="37"/>
      <c r="Y113" s="12">
        <f>P113+S113+U113+W113</f>
        <v>1084.4274999999998</v>
      </c>
      <c r="Z113" s="12">
        <f>G113*0.01*13</f>
        <v>71.11</v>
      </c>
      <c r="AA113" s="12">
        <f>Z113/13</f>
        <v>5.47</v>
      </c>
      <c r="AB113" s="38"/>
      <c r="AC113" s="38"/>
      <c r="AD113" s="38"/>
      <c r="AE113" s="38"/>
      <c r="AF113" s="37"/>
      <c r="AG113" s="38"/>
      <c r="AH113" s="37"/>
      <c r="AI113" s="12"/>
      <c r="AJ113" s="38"/>
      <c r="AK113" s="38"/>
      <c r="AL113" s="38"/>
      <c r="AM113" s="12"/>
      <c r="AN113" s="12"/>
      <c r="AO113" s="12"/>
      <c r="AP113" s="38"/>
      <c r="AQ113" s="37"/>
    </row>
    <row r="114" spans="1:43">
      <c r="A114" s="21">
        <f t="shared" si="50"/>
        <v>73</v>
      </c>
      <c r="B114" s="45" t="s">
        <v>240</v>
      </c>
      <c r="C114" s="56" t="s">
        <v>241</v>
      </c>
      <c r="D114" s="82" t="s">
        <v>223</v>
      </c>
      <c r="E114" s="83" t="s">
        <v>79</v>
      </c>
      <c r="F114" s="84" t="s">
        <v>209</v>
      </c>
      <c r="G114" s="26">
        <f>417+30+50</f>
        <v>497</v>
      </c>
      <c r="H114" s="32">
        <f>G114*12</f>
        <v>5964</v>
      </c>
      <c r="I114" s="32">
        <v>60</v>
      </c>
      <c r="J114" s="36"/>
      <c r="K114" s="32">
        <f>G114</f>
        <v>497</v>
      </c>
      <c r="L114" s="32">
        <v>300</v>
      </c>
      <c r="M114" s="12"/>
      <c r="N114" s="24">
        <v>125</v>
      </c>
      <c r="O114" s="24"/>
      <c r="P114" s="12">
        <f t="shared" si="49"/>
        <v>500.72749999999996</v>
      </c>
      <c r="Q114" s="9"/>
      <c r="R114" s="12">
        <f>P114/13</f>
        <v>38.517499999999998</v>
      </c>
      <c r="S114" s="37"/>
      <c r="T114" s="37"/>
      <c r="U114" s="12">
        <f>G114*0.075*13</f>
        <v>484.57499999999999</v>
      </c>
      <c r="V114" s="12">
        <f t="shared" si="46"/>
        <v>37.274999999999999</v>
      </c>
      <c r="W114" s="37"/>
      <c r="X114" s="37"/>
      <c r="Y114" s="12">
        <f>P114+S114+U114+W114+0.01</f>
        <v>985.3125</v>
      </c>
      <c r="Z114" s="12">
        <f>G114*0.01*13</f>
        <v>64.61</v>
      </c>
      <c r="AA114" s="12">
        <f t="shared" si="47"/>
        <v>4.97</v>
      </c>
      <c r="AB114" s="38"/>
      <c r="AC114" s="38"/>
      <c r="AD114" s="38"/>
      <c r="AE114" s="38"/>
      <c r="AF114" s="37"/>
      <c r="AG114" s="38"/>
      <c r="AH114" s="37"/>
      <c r="AI114" s="12"/>
      <c r="AJ114" s="38"/>
      <c r="AK114" s="38"/>
      <c r="AL114" s="38"/>
      <c r="AM114" s="12"/>
      <c r="AN114" s="12"/>
      <c r="AO114" s="12"/>
      <c r="AP114" s="38"/>
      <c r="AQ114" s="37"/>
    </row>
    <row r="115" spans="1:43">
      <c r="A115" s="21">
        <f t="shared" si="50"/>
        <v>74</v>
      </c>
      <c r="B115" s="45" t="s">
        <v>242</v>
      </c>
      <c r="C115" s="56" t="s">
        <v>243</v>
      </c>
      <c r="D115" s="82" t="s">
        <v>223</v>
      </c>
      <c r="E115" s="83" t="s">
        <v>79</v>
      </c>
      <c r="F115" s="84" t="s">
        <v>209</v>
      </c>
      <c r="G115" s="26">
        <f>417+50</f>
        <v>467</v>
      </c>
      <c r="H115" s="32">
        <f>G115*12</f>
        <v>5604</v>
      </c>
      <c r="I115" s="32">
        <v>60</v>
      </c>
      <c r="J115" s="36"/>
      <c r="K115" s="32">
        <f>G115</f>
        <v>467</v>
      </c>
      <c r="L115" s="32">
        <v>300</v>
      </c>
      <c r="M115" s="37"/>
      <c r="N115" s="24">
        <v>125</v>
      </c>
      <c r="O115" s="24"/>
      <c r="P115" s="12">
        <f>G115*0.0775*13</f>
        <v>470.50250000000005</v>
      </c>
      <c r="Q115" s="9">
        <f>P115/13</f>
        <v>36.192500000000003</v>
      </c>
      <c r="R115" s="12"/>
      <c r="S115" s="12"/>
      <c r="T115" s="12"/>
      <c r="U115" s="12">
        <f>G115*0.075*13</f>
        <v>455.32499999999999</v>
      </c>
      <c r="V115" s="12">
        <f>U115/13</f>
        <v>35.024999999999999</v>
      </c>
      <c r="W115" s="12"/>
      <c r="X115" s="12"/>
      <c r="Y115" s="12">
        <f>P115+S115+U115+W115</f>
        <v>925.8275000000001</v>
      </c>
      <c r="Z115" s="12">
        <f>G115*0.01*13</f>
        <v>60.71</v>
      </c>
      <c r="AA115" s="12">
        <f>Z115/13</f>
        <v>4.67</v>
      </c>
      <c r="AB115" s="38"/>
      <c r="AC115" s="38"/>
      <c r="AD115" s="38"/>
      <c r="AE115" s="38"/>
      <c r="AF115" s="37"/>
      <c r="AG115" s="38"/>
      <c r="AH115" s="37"/>
      <c r="AI115" s="12"/>
      <c r="AJ115" s="38"/>
      <c r="AK115" s="38"/>
      <c r="AL115" s="38"/>
      <c r="AM115" s="12"/>
      <c r="AN115" s="12"/>
      <c r="AO115" s="12"/>
      <c r="AP115" s="38"/>
      <c r="AQ115" s="37"/>
    </row>
    <row r="116" spans="1:43">
      <c r="A116" s="21">
        <f t="shared" si="50"/>
        <v>75</v>
      </c>
      <c r="B116" s="45" t="s">
        <v>244</v>
      </c>
      <c r="C116" s="53" t="s">
        <v>245</v>
      </c>
      <c r="D116" s="82" t="s">
        <v>223</v>
      </c>
      <c r="E116" s="83" t="s">
        <v>79</v>
      </c>
      <c r="F116" s="84" t="s">
        <v>209</v>
      </c>
      <c r="G116" s="26">
        <f>697+30+50</f>
        <v>777</v>
      </c>
      <c r="H116" s="32">
        <f t="shared" si="43"/>
        <v>9324</v>
      </c>
      <c r="I116" s="32">
        <v>60</v>
      </c>
      <c r="J116" s="36"/>
      <c r="K116" s="32">
        <f t="shared" si="44"/>
        <v>777</v>
      </c>
      <c r="L116" s="32">
        <v>300</v>
      </c>
      <c r="M116" s="12"/>
      <c r="N116" s="24">
        <v>125</v>
      </c>
      <c r="O116" s="24"/>
      <c r="P116" s="12">
        <f t="shared" si="49"/>
        <v>782.82749999999999</v>
      </c>
      <c r="Q116" s="9">
        <f>P116/13</f>
        <v>60.217500000000001</v>
      </c>
      <c r="R116" s="12"/>
      <c r="S116" s="37"/>
      <c r="T116" s="37"/>
      <c r="U116" s="12">
        <f t="shared" si="45"/>
        <v>757.57499999999993</v>
      </c>
      <c r="V116" s="12">
        <f t="shared" si="46"/>
        <v>58.274999999999991</v>
      </c>
      <c r="W116" s="37"/>
      <c r="X116" s="37"/>
      <c r="Y116" s="12">
        <f>P116+S116+U116+W116+0.01</f>
        <v>1540.4124999999999</v>
      </c>
      <c r="Z116" s="12">
        <f t="shared" si="48"/>
        <v>101.01</v>
      </c>
      <c r="AA116" s="12">
        <f t="shared" si="47"/>
        <v>7.7700000000000005</v>
      </c>
      <c r="AB116" s="37"/>
      <c r="AC116" s="37"/>
      <c r="AD116" s="37"/>
      <c r="AE116" s="37"/>
      <c r="AF116" s="37"/>
      <c r="AG116" s="37"/>
      <c r="AH116" s="37"/>
      <c r="AI116" s="12"/>
      <c r="AJ116" s="37"/>
      <c r="AK116" s="37"/>
      <c r="AL116" s="37"/>
      <c r="AM116" s="12"/>
      <c r="AN116" s="12"/>
      <c r="AO116" s="12"/>
      <c r="AP116" s="37"/>
      <c r="AQ116" s="37"/>
    </row>
    <row r="117" spans="1:43">
      <c r="A117" s="21">
        <f t="shared" si="50"/>
        <v>76</v>
      </c>
      <c r="B117" s="45" t="s">
        <v>246</v>
      </c>
      <c r="C117" s="53" t="s">
        <v>247</v>
      </c>
      <c r="D117" s="82" t="s">
        <v>223</v>
      </c>
      <c r="E117" s="83" t="s">
        <v>79</v>
      </c>
      <c r="F117" s="84" t="s">
        <v>209</v>
      </c>
      <c r="G117" s="26">
        <f>567+30+50</f>
        <v>647</v>
      </c>
      <c r="H117" s="32">
        <f>G117*12</f>
        <v>7764</v>
      </c>
      <c r="I117" s="32">
        <v>60</v>
      </c>
      <c r="J117" s="36"/>
      <c r="K117" s="32">
        <f>G117</f>
        <v>647</v>
      </c>
      <c r="L117" s="32">
        <v>300</v>
      </c>
      <c r="M117" s="12"/>
      <c r="N117" s="24">
        <v>125</v>
      </c>
      <c r="O117" s="24"/>
      <c r="P117" s="12">
        <f t="shared" si="49"/>
        <v>651.85249999999996</v>
      </c>
      <c r="Q117" s="50"/>
      <c r="R117" s="12">
        <f>P117/13</f>
        <v>50.142499999999998</v>
      </c>
      <c r="S117" s="37"/>
      <c r="T117" s="37"/>
      <c r="U117" s="12">
        <f t="shared" si="45"/>
        <v>630.82499999999993</v>
      </c>
      <c r="V117" s="12">
        <f t="shared" si="46"/>
        <v>48.524999999999991</v>
      </c>
      <c r="W117" s="37"/>
      <c r="X117" s="37"/>
      <c r="Y117" s="12">
        <f>P117+S117+U117+W117</f>
        <v>1282.6774999999998</v>
      </c>
      <c r="Z117" s="12">
        <f t="shared" si="48"/>
        <v>84.11</v>
      </c>
      <c r="AA117" s="12">
        <f t="shared" si="47"/>
        <v>6.47</v>
      </c>
      <c r="AB117" s="37"/>
      <c r="AC117" s="37"/>
      <c r="AD117" s="37"/>
      <c r="AE117" s="37"/>
      <c r="AF117" s="37"/>
      <c r="AG117" s="37"/>
      <c r="AH117" s="37"/>
      <c r="AI117" s="12"/>
      <c r="AJ117" s="37"/>
      <c r="AK117" s="37"/>
      <c r="AL117" s="37"/>
      <c r="AM117" s="12"/>
      <c r="AN117" s="12"/>
      <c r="AO117" s="12"/>
      <c r="AP117" s="37"/>
      <c r="AQ117" s="37"/>
    </row>
    <row r="118" spans="1:43">
      <c r="A118" s="21">
        <f t="shared" si="50"/>
        <v>77</v>
      </c>
      <c r="B118" s="103" t="s">
        <v>635</v>
      </c>
      <c r="C118" s="53" t="s">
        <v>247</v>
      </c>
      <c r="D118" s="82" t="s">
        <v>223</v>
      </c>
      <c r="E118" s="83" t="s">
        <v>79</v>
      </c>
      <c r="F118" s="84" t="s">
        <v>209</v>
      </c>
      <c r="G118" s="26">
        <f>567+30+50</f>
        <v>647</v>
      </c>
      <c r="H118" s="32">
        <f>G118*12</f>
        <v>7764</v>
      </c>
      <c r="I118" s="32">
        <v>60</v>
      </c>
      <c r="J118" s="36"/>
      <c r="K118" s="32">
        <f>G118</f>
        <v>647</v>
      </c>
      <c r="L118" s="32">
        <v>300</v>
      </c>
      <c r="M118" s="12"/>
      <c r="N118" s="24">
        <v>125</v>
      </c>
      <c r="O118" s="24"/>
      <c r="P118" s="12">
        <f>G118*0.0775*13</f>
        <v>651.85249999999996</v>
      </c>
      <c r="Q118" s="40"/>
      <c r="R118" s="12">
        <f>P118/13</f>
        <v>50.142499999999998</v>
      </c>
      <c r="S118" s="37"/>
      <c r="T118" s="37"/>
      <c r="U118" s="12">
        <f>G118*0.075*13</f>
        <v>630.82499999999993</v>
      </c>
      <c r="V118" s="12">
        <f>U118/13</f>
        <v>48.524999999999991</v>
      </c>
      <c r="W118" s="37"/>
      <c r="X118" s="37"/>
      <c r="Y118" s="12">
        <f>P118+S118+U118+W118</f>
        <v>1282.6774999999998</v>
      </c>
      <c r="Z118" s="12">
        <f>G118*0.01*13</f>
        <v>84.11</v>
      </c>
      <c r="AA118" s="12">
        <f>Z118/13</f>
        <v>6.47</v>
      </c>
      <c r="AB118" s="38"/>
      <c r="AC118" s="38"/>
      <c r="AD118" s="38"/>
      <c r="AE118" s="38"/>
      <c r="AF118" s="37"/>
      <c r="AG118" s="38"/>
      <c r="AH118" s="37"/>
      <c r="AI118" s="12"/>
      <c r="AJ118" s="38"/>
      <c r="AK118" s="38"/>
      <c r="AL118" s="38"/>
      <c r="AM118" s="12"/>
      <c r="AN118" s="12"/>
      <c r="AO118" s="12"/>
      <c r="AP118" s="38"/>
      <c r="AQ118" s="37"/>
    </row>
    <row r="119" spans="1:43">
      <c r="A119" s="21">
        <f t="shared" si="50"/>
        <v>78</v>
      </c>
      <c r="B119" s="45" t="s">
        <v>248</v>
      </c>
      <c r="C119" s="53" t="s">
        <v>249</v>
      </c>
      <c r="D119" s="82" t="s">
        <v>223</v>
      </c>
      <c r="E119" s="83" t="s">
        <v>79</v>
      </c>
      <c r="F119" s="84" t="s">
        <v>209</v>
      </c>
      <c r="G119" s="26">
        <f>467+30+50</f>
        <v>547</v>
      </c>
      <c r="H119" s="32">
        <f>G119*12</f>
        <v>6564</v>
      </c>
      <c r="I119" s="32">
        <v>60</v>
      </c>
      <c r="J119" s="36"/>
      <c r="K119" s="32">
        <f>G119</f>
        <v>547</v>
      </c>
      <c r="L119" s="32">
        <v>300</v>
      </c>
      <c r="M119" s="12"/>
      <c r="N119" s="24">
        <v>125</v>
      </c>
      <c r="O119" s="24"/>
      <c r="P119" s="12">
        <f t="shared" si="49"/>
        <v>551.10249999999996</v>
      </c>
      <c r="Q119" s="9"/>
      <c r="R119" s="12">
        <f>P119/13</f>
        <v>42.392499999999998</v>
      </c>
      <c r="S119" s="37"/>
      <c r="T119" s="37"/>
      <c r="U119" s="12">
        <f t="shared" si="45"/>
        <v>533.32499999999993</v>
      </c>
      <c r="V119" s="12">
        <f t="shared" si="46"/>
        <v>41.024999999999991</v>
      </c>
      <c r="W119" s="37"/>
      <c r="X119" s="37"/>
      <c r="Y119" s="12">
        <f>P119+S119+U119+W119</f>
        <v>1084.4274999999998</v>
      </c>
      <c r="Z119" s="12">
        <f t="shared" si="48"/>
        <v>71.11</v>
      </c>
      <c r="AA119" s="12">
        <f t="shared" si="47"/>
        <v>5.47</v>
      </c>
      <c r="AB119" s="37"/>
      <c r="AC119" s="37"/>
      <c r="AD119" s="37"/>
      <c r="AE119" s="37"/>
      <c r="AF119" s="37"/>
      <c r="AG119" s="37"/>
      <c r="AH119" s="37"/>
      <c r="AI119" s="12"/>
      <c r="AJ119" s="37"/>
      <c r="AK119" s="37"/>
      <c r="AL119" s="37"/>
      <c r="AM119" s="12"/>
      <c r="AN119" s="12"/>
      <c r="AO119" s="12"/>
      <c r="AP119" s="37"/>
      <c r="AQ119" s="37"/>
    </row>
    <row r="120" spans="1:43">
      <c r="A120" s="21">
        <f t="shared" si="50"/>
        <v>79</v>
      </c>
      <c r="B120" s="45" t="s">
        <v>250</v>
      </c>
      <c r="C120" s="56" t="s">
        <v>251</v>
      </c>
      <c r="D120" s="82" t="s">
        <v>223</v>
      </c>
      <c r="E120" s="83" t="s">
        <v>79</v>
      </c>
      <c r="F120" s="84" t="s">
        <v>209</v>
      </c>
      <c r="G120" s="26">
        <f>645+30+50</f>
        <v>725</v>
      </c>
      <c r="H120" s="32">
        <f t="shared" si="43"/>
        <v>8700</v>
      </c>
      <c r="I120" s="32">
        <v>60</v>
      </c>
      <c r="J120" s="36"/>
      <c r="K120" s="32">
        <f t="shared" si="44"/>
        <v>725</v>
      </c>
      <c r="L120" s="32">
        <v>300</v>
      </c>
      <c r="M120" s="12"/>
      <c r="N120" s="24">
        <v>125</v>
      </c>
      <c r="O120" s="24"/>
      <c r="P120" s="12">
        <f t="shared" si="49"/>
        <v>730.4375</v>
      </c>
      <c r="Q120" s="9">
        <f>P120/13</f>
        <v>56.1875</v>
      </c>
      <c r="R120" s="12"/>
      <c r="S120" s="12"/>
      <c r="T120" s="12"/>
      <c r="U120" s="12">
        <f t="shared" si="45"/>
        <v>706.875</v>
      </c>
      <c r="V120" s="12">
        <f t="shared" si="46"/>
        <v>54.375</v>
      </c>
      <c r="W120" s="37"/>
      <c r="X120" s="37"/>
      <c r="Y120" s="12">
        <f>P120+S120+U120+W120+0.01</f>
        <v>1437.3225</v>
      </c>
      <c r="Z120" s="12">
        <f t="shared" si="48"/>
        <v>94.25</v>
      </c>
      <c r="AA120" s="12">
        <f t="shared" si="47"/>
        <v>7.25</v>
      </c>
      <c r="AB120" s="37"/>
      <c r="AC120" s="37"/>
      <c r="AD120" s="37"/>
      <c r="AE120" s="37"/>
      <c r="AF120" s="37"/>
      <c r="AG120" s="37"/>
      <c r="AH120" s="37"/>
      <c r="AI120" s="12"/>
      <c r="AJ120" s="37"/>
      <c r="AK120" s="37"/>
      <c r="AL120" s="37"/>
      <c r="AM120" s="12"/>
      <c r="AN120" s="12"/>
      <c r="AO120" s="12"/>
      <c r="AP120" s="37"/>
      <c r="AQ120" s="37"/>
    </row>
    <row r="121" spans="1:43">
      <c r="A121" s="21">
        <f t="shared" si="50"/>
        <v>80</v>
      </c>
      <c r="B121" s="45" t="s">
        <v>252</v>
      </c>
      <c r="C121" s="56" t="s">
        <v>253</v>
      </c>
      <c r="D121" s="82" t="s">
        <v>223</v>
      </c>
      <c r="E121" s="83" t="s">
        <v>79</v>
      </c>
      <c r="F121" s="84" t="s">
        <v>209</v>
      </c>
      <c r="G121" s="26">
        <f>554+30+50</f>
        <v>634</v>
      </c>
      <c r="H121" s="32">
        <f t="shared" si="43"/>
        <v>7608</v>
      </c>
      <c r="I121" s="32">
        <v>60</v>
      </c>
      <c r="J121" s="36"/>
      <c r="K121" s="32">
        <f t="shared" si="44"/>
        <v>634</v>
      </c>
      <c r="L121" s="32">
        <v>300</v>
      </c>
      <c r="M121" s="12"/>
      <c r="N121" s="24">
        <v>125</v>
      </c>
      <c r="O121" s="24"/>
      <c r="P121" s="12">
        <f t="shared" si="49"/>
        <v>638.755</v>
      </c>
      <c r="Q121" s="40"/>
      <c r="R121" s="12">
        <f>P121/13</f>
        <v>49.134999999999998</v>
      </c>
      <c r="S121" s="37"/>
      <c r="T121" s="37"/>
      <c r="U121" s="12">
        <f t="shared" si="45"/>
        <v>618.15</v>
      </c>
      <c r="V121" s="12">
        <f t="shared" si="46"/>
        <v>47.55</v>
      </c>
      <c r="W121" s="12"/>
      <c r="X121" s="12"/>
      <c r="Y121" s="12">
        <f>P121+S121+U121+W121</f>
        <v>1256.905</v>
      </c>
      <c r="Z121" s="12">
        <f t="shared" si="48"/>
        <v>82.42</v>
      </c>
      <c r="AA121" s="12">
        <f t="shared" si="47"/>
        <v>6.34</v>
      </c>
      <c r="AB121" s="37"/>
      <c r="AC121" s="37"/>
      <c r="AD121" s="37"/>
      <c r="AE121" s="37"/>
      <c r="AF121" s="37"/>
      <c r="AG121" s="37"/>
      <c r="AH121" s="37"/>
      <c r="AI121" s="12"/>
      <c r="AJ121" s="37"/>
      <c r="AK121" s="37"/>
      <c r="AL121" s="37"/>
      <c r="AM121" s="12"/>
      <c r="AN121" s="12"/>
      <c r="AO121" s="12"/>
      <c r="AP121" s="37"/>
      <c r="AQ121" s="37"/>
    </row>
    <row r="122" spans="1:43">
      <c r="A122" s="21">
        <f t="shared" si="50"/>
        <v>81</v>
      </c>
      <c r="B122" s="45" t="s">
        <v>254</v>
      </c>
      <c r="C122" s="56" t="s">
        <v>253</v>
      </c>
      <c r="D122" s="82" t="s">
        <v>223</v>
      </c>
      <c r="E122" s="83" t="s">
        <v>79</v>
      </c>
      <c r="F122" s="84" t="s">
        <v>209</v>
      </c>
      <c r="G122" s="26">
        <f>467+30+50</f>
        <v>547</v>
      </c>
      <c r="H122" s="32">
        <f t="shared" si="43"/>
        <v>6564</v>
      </c>
      <c r="I122" s="32">
        <v>60</v>
      </c>
      <c r="J122" s="36"/>
      <c r="K122" s="32">
        <f t="shared" si="44"/>
        <v>547</v>
      </c>
      <c r="L122" s="32">
        <v>300</v>
      </c>
      <c r="M122" s="37"/>
      <c r="N122" s="24">
        <v>125</v>
      </c>
      <c r="O122" s="24"/>
      <c r="P122" s="12">
        <f t="shared" si="49"/>
        <v>551.10249999999996</v>
      </c>
      <c r="Q122" s="9">
        <f>P122/13</f>
        <v>42.392499999999998</v>
      </c>
      <c r="R122" s="12"/>
      <c r="S122" s="12"/>
      <c r="T122" s="12"/>
      <c r="U122" s="12">
        <f t="shared" si="45"/>
        <v>533.32499999999993</v>
      </c>
      <c r="V122" s="12">
        <f t="shared" si="46"/>
        <v>41.024999999999991</v>
      </c>
      <c r="W122" s="12"/>
      <c r="X122" s="12"/>
      <c r="Y122" s="12">
        <f>P122+S122+U122+W122</f>
        <v>1084.4274999999998</v>
      </c>
      <c r="Z122" s="12">
        <f t="shared" si="48"/>
        <v>71.11</v>
      </c>
      <c r="AA122" s="12">
        <f t="shared" si="47"/>
        <v>5.47</v>
      </c>
      <c r="AB122" s="12"/>
      <c r="AC122" s="12"/>
      <c r="AD122" s="12"/>
      <c r="AE122" s="12"/>
      <c r="AF122" s="12"/>
      <c r="AG122" s="12"/>
      <c r="AH122" s="12"/>
      <c r="AI122" s="12"/>
      <c r="AJ122" s="12"/>
      <c r="AK122" s="37"/>
      <c r="AL122" s="37"/>
      <c r="AM122" s="12"/>
      <c r="AN122" s="12"/>
      <c r="AO122" s="12"/>
      <c r="AP122" s="37"/>
      <c r="AQ122" s="37"/>
    </row>
    <row r="123" spans="1:43">
      <c r="A123" s="21">
        <f t="shared" si="50"/>
        <v>82</v>
      </c>
      <c r="B123" s="45" t="s">
        <v>255</v>
      </c>
      <c r="C123" s="56" t="s">
        <v>256</v>
      </c>
      <c r="D123" s="82" t="s">
        <v>223</v>
      </c>
      <c r="E123" s="83" t="s">
        <v>79</v>
      </c>
      <c r="F123" s="84" t="s">
        <v>209</v>
      </c>
      <c r="G123" s="26">
        <f>417+50</f>
        <v>467</v>
      </c>
      <c r="H123" s="32">
        <f>G123*12</f>
        <v>5604</v>
      </c>
      <c r="I123" s="32">
        <v>60</v>
      </c>
      <c r="J123" s="36"/>
      <c r="K123" s="32">
        <f>G123</f>
        <v>467</v>
      </c>
      <c r="L123" s="32">
        <v>300</v>
      </c>
      <c r="M123" s="37"/>
      <c r="N123" s="24">
        <v>125</v>
      </c>
      <c r="O123" s="24"/>
      <c r="P123" s="12">
        <f t="shared" si="49"/>
        <v>470.50250000000005</v>
      </c>
      <c r="Q123" s="12"/>
      <c r="R123" s="12">
        <f>P123/13</f>
        <v>36.192500000000003</v>
      </c>
      <c r="S123" s="37"/>
      <c r="T123" s="37"/>
      <c r="U123" s="12">
        <f t="shared" si="45"/>
        <v>455.32499999999999</v>
      </c>
      <c r="V123" s="12">
        <f t="shared" si="46"/>
        <v>35.024999999999999</v>
      </c>
      <c r="W123" s="37"/>
      <c r="X123" s="37"/>
      <c r="Y123" s="12">
        <f>P123+S123+U123+W123</f>
        <v>925.8275000000001</v>
      </c>
      <c r="Z123" s="12">
        <f t="shared" si="48"/>
        <v>60.71</v>
      </c>
      <c r="AA123" s="12">
        <f t="shared" si="47"/>
        <v>4.67</v>
      </c>
      <c r="AB123" s="38"/>
      <c r="AC123" s="38"/>
      <c r="AD123" s="38"/>
      <c r="AE123" s="38"/>
      <c r="AF123" s="37"/>
      <c r="AG123" s="38"/>
      <c r="AH123" s="37"/>
      <c r="AI123" s="12"/>
      <c r="AJ123" s="38"/>
      <c r="AK123" s="38"/>
      <c r="AL123" s="38"/>
      <c r="AM123" s="12"/>
      <c r="AN123" s="12"/>
      <c r="AO123" s="12"/>
      <c r="AP123" s="38"/>
      <c r="AQ123" s="37"/>
    </row>
    <row r="124" spans="1:43" ht="15.6">
      <c r="A124" s="21"/>
      <c r="B124" s="54"/>
      <c r="C124" s="85" t="s">
        <v>257</v>
      </c>
      <c r="D124" s="89"/>
      <c r="E124" s="83"/>
      <c r="F124" s="84"/>
      <c r="G124" s="86">
        <f t="shared" ref="G124:N124" si="51">SUM(G105:G123)</f>
        <v>12118.720000000001</v>
      </c>
      <c r="H124" s="30">
        <f t="shared" si="51"/>
        <v>145424.64000000001</v>
      </c>
      <c r="I124" s="30">
        <f t="shared" si="51"/>
        <v>1140</v>
      </c>
      <c r="J124" s="30">
        <f t="shared" si="51"/>
        <v>0</v>
      </c>
      <c r="K124" s="30">
        <f t="shared" si="51"/>
        <v>12118.720000000001</v>
      </c>
      <c r="L124" s="30">
        <f t="shared" si="51"/>
        <v>5700</v>
      </c>
      <c r="M124" s="20">
        <f t="shared" si="51"/>
        <v>0</v>
      </c>
      <c r="N124" s="31">
        <f t="shared" si="51"/>
        <v>2375</v>
      </c>
      <c r="O124" s="31"/>
      <c r="P124" s="20">
        <f>SUM(P105:P123)</f>
        <v>12209.6104</v>
      </c>
      <c r="Q124" s="20">
        <f>SUM(Q105:Q123)</f>
        <v>418.12412499999999</v>
      </c>
      <c r="R124" s="20">
        <f>SUM(R105:R123)-0.01</f>
        <v>521.06667499999992</v>
      </c>
      <c r="S124" s="20">
        <f>SUM(S105:S123)</f>
        <v>0</v>
      </c>
      <c r="T124" s="20">
        <f>SUM(T105:T123)</f>
        <v>0</v>
      </c>
      <c r="U124" s="20">
        <f>SUM(U105:U123)+0.07</f>
        <v>11815.822000000002</v>
      </c>
      <c r="V124" s="20">
        <f>SUM(V105:V123)+0.07</f>
        <v>908.97399999999982</v>
      </c>
      <c r="W124" s="20">
        <f>SUM(W105:W123)</f>
        <v>0</v>
      </c>
      <c r="X124" s="20">
        <f>SUM(X105:X123)</f>
        <v>0</v>
      </c>
      <c r="Y124" s="20">
        <f>SUM(Y105:Y123)+0.01</f>
        <v>24025.432399999994</v>
      </c>
      <c r="Z124" s="20">
        <f t="shared" ref="Z124:AQ124" si="52">SUM(Z105:Z123)</f>
        <v>1582.5094999999999</v>
      </c>
      <c r="AA124" s="20">
        <f t="shared" si="52"/>
        <v>121.73150000000001</v>
      </c>
      <c r="AB124" s="20">
        <f t="shared" si="52"/>
        <v>0</v>
      </c>
      <c r="AC124" s="20">
        <f t="shared" si="52"/>
        <v>0</v>
      </c>
      <c r="AD124" s="20">
        <f t="shared" si="52"/>
        <v>0</v>
      </c>
      <c r="AE124" s="20">
        <f t="shared" si="52"/>
        <v>0</v>
      </c>
      <c r="AF124" s="20">
        <f t="shared" si="52"/>
        <v>0</v>
      </c>
      <c r="AG124" s="20">
        <f t="shared" si="52"/>
        <v>0</v>
      </c>
      <c r="AH124" s="20">
        <f t="shared" si="52"/>
        <v>0</v>
      </c>
      <c r="AI124" s="20">
        <f t="shared" si="52"/>
        <v>0</v>
      </c>
      <c r="AJ124" s="20">
        <f t="shared" si="52"/>
        <v>0</v>
      </c>
      <c r="AK124" s="20">
        <f t="shared" si="52"/>
        <v>0</v>
      </c>
      <c r="AL124" s="20">
        <f t="shared" si="52"/>
        <v>0</v>
      </c>
      <c r="AM124" s="20">
        <f t="shared" si="52"/>
        <v>0</v>
      </c>
      <c r="AN124" s="20">
        <f t="shared" si="52"/>
        <v>0</v>
      </c>
      <c r="AO124" s="20">
        <f t="shared" si="52"/>
        <v>0</v>
      </c>
      <c r="AP124" s="20">
        <f t="shared" si="52"/>
        <v>0</v>
      </c>
      <c r="AQ124" s="20">
        <f t="shared" si="52"/>
        <v>0</v>
      </c>
    </row>
    <row r="125" spans="1:43">
      <c r="A125" s="21">
        <f>A123+1</f>
        <v>83</v>
      </c>
      <c r="B125" s="42" t="s">
        <v>258</v>
      </c>
      <c r="C125" s="56" t="s">
        <v>259</v>
      </c>
      <c r="D125" s="82" t="s">
        <v>260</v>
      </c>
      <c r="E125" s="83" t="s">
        <v>79</v>
      </c>
      <c r="F125" s="84" t="s">
        <v>209</v>
      </c>
      <c r="G125" s="26">
        <v>1200</v>
      </c>
      <c r="H125" s="32">
        <f t="shared" ref="H125:H133" si="53">G125*12</f>
        <v>14400</v>
      </c>
      <c r="I125" s="32">
        <v>60</v>
      </c>
      <c r="J125" s="36"/>
      <c r="K125" s="32">
        <f t="shared" ref="K125:K133" si="54">G125</f>
        <v>1200</v>
      </c>
      <c r="L125" s="32">
        <v>300</v>
      </c>
      <c r="M125" s="12"/>
      <c r="N125" s="24">
        <v>125</v>
      </c>
      <c r="O125" s="24"/>
      <c r="P125" s="12">
        <f t="shared" ref="P125:P133" si="55">G125*0.0775*13</f>
        <v>1209</v>
      </c>
      <c r="Q125" s="9">
        <f>P125/13</f>
        <v>93</v>
      </c>
      <c r="R125" s="12"/>
      <c r="S125" s="37"/>
      <c r="T125" s="37"/>
      <c r="U125" s="12">
        <f>75*13</f>
        <v>975</v>
      </c>
      <c r="V125" s="12">
        <f t="shared" ref="V125:V137" si="56">U125/13</f>
        <v>75</v>
      </c>
      <c r="W125" s="37"/>
      <c r="X125" s="37"/>
      <c r="Y125" s="12">
        <f>P125+S125+U125+W125</f>
        <v>2184</v>
      </c>
      <c r="Z125" s="12">
        <f>10*13</f>
        <v>130</v>
      </c>
      <c r="AA125" s="12">
        <f t="shared" ref="AA125:AA137" si="57">Z125/13</f>
        <v>10</v>
      </c>
      <c r="AB125" s="12"/>
      <c r="AC125" s="12"/>
      <c r="AD125" s="12"/>
      <c r="AE125" s="38"/>
      <c r="AF125" s="37"/>
      <c r="AG125" s="38"/>
      <c r="AH125" s="37"/>
      <c r="AI125" s="12"/>
      <c r="AJ125" s="12"/>
      <c r="AK125" s="12"/>
      <c r="AL125" s="12"/>
      <c r="AM125" s="12"/>
      <c r="AN125" s="12"/>
      <c r="AO125" s="12"/>
      <c r="AP125" s="12"/>
      <c r="AQ125" s="37"/>
    </row>
    <row r="126" spans="1:43">
      <c r="A126" s="55">
        <f>A125+1</f>
        <v>84</v>
      </c>
      <c r="B126" s="45" t="s">
        <v>261</v>
      </c>
      <c r="C126" s="51" t="s">
        <v>262</v>
      </c>
      <c r="D126" s="82" t="s">
        <v>260</v>
      </c>
      <c r="E126" s="83" t="s">
        <v>79</v>
      </c>
      <c r="F126" s="84" t="s">
        <v>209</v>
      </c>
      <c r="G126" s="26">
        <f>920+30+50</f>
        <v>1000</v>
      </c>
      <c r="H126" s="32">
        <f>G126*12</f>
        <v>12000</v>
      </c>
      <c r="I126" s="32">
        <v>60</v>
      </c>
      <c r="J126" s="36"/>
      <c r="K126" s="32">
        <f>G126</f>
        <v>1000</v>
      </c>
      <c r="L126" s="32">
        <v>300</v>
      </c>
      <c r="M126" s="12"/>
      <c r="N126" s="24">
        <v>125</v>
      </c>
      <c r="O126" s="24"/>
      <c r="P126" s="12">
        <f>G126*0.0775*13</f>
        <v>1007.5</v>
      </c>
      <c r="Q126" s="40"/>
      <c r="R126" s="12">
        <f>P126/13</f>
        <v>77.5</v>
      </c>
      <c r="S126" s="37"/>
      <c r="T126" s="37"/>
      <c r="U126" s="12">
        <f>G126*0.075*13</f>
        <v>975</v>
      </c>
      <c r="V126" s="12">
        <f>U126/13</f>
        <v>75</v>
      </c>
      <c r="W126" s="37"/>
      <c r="X126" s="37"/>
      <c r="Y126" s="12">
        <f>P126+S126+U126+W126</f>
        <v>1982.5</v>
      </c>
      <c r="Z126" s="12">
        <f>G126*0.01*13</f>
        <v>130</v>
      </c>
      <c r="AA126" s="12">
        <f>Z126/13</f>
        <v>10</v>
      </c>
      <c r="AB126" s="38"/>
      <c r="AC126" s="38"/>
      <c r="AD126" s="38"/>
      <c r="AE126" s="38"/>
      <c r="AF126" s="37"/>
      <c r="AG126" s="38"/>
      <c r="AH126" s="37"/>
      <c r="AI126" s="12"/>
      <c r="AJ126" s="38"/>
      <c r="AK126" s="38"/>
      <c r="AL126" s="38"/>
      <c r="AM126" s="12"/>
      <c r="AN126" s="12"/>
      <c r="AO126" s="12"/>
      <c r="AP126" s="38"/>
      <c r="AQ126" s="37"/>
    </row>
    <row r="127" spans="1:43">
      <c r="A127" s="55">
        <f>A126+1</f>
        <v>85</v>
      </c>
      <c r="B127" s="45" t="s">
        <v>263</v>
      </c>
      <c r="C127" s="56" t="s">
        <v>262</v>
      </c>
      <c r="D127" s="82" t="s">
        <v>260</v>
      </c>
      <c r="E127" s="83" t="s">
        <v>79</v>
      </c>
      <c r="F127" s="84" t="s">
        <v>209</v>
      </c>
      <c r="G127" s="26">
        <f>629.57+30+50</f>
        <v>709.57</v>
      </c>
      <c r="H127" s="32">
        <f>G127*12</f>
        <v>8514.84</v>
      </c>
      <c r="I127" s="32">
        <v>60</v>
      </c>
      <c r="J127" s="36"/>
      <c r="K127" s="32">
        <f>G127</f>
        <v>709.57</v>
      </c>
      <c r="L127" s="32">
        <v>300</v>
      </c>
      <c r="M127" s="12"/>
      <c r="N127" s="24">
        <v>125</v>
      </c>
      <c r="O127" s="24"/>
      <c r="P127" s="12">
        <f t="shared" si="55"/>
        <v>714.89177500000005</v>
      </c>
      <c r="Q127" s="9">
        <f>P127/13</f>
        <v>54.991675000000001</v>
      </c>
      <c r="R127" s="12"/>
      <c r="S127" s="37"/>
      <c r="T127" s="37"/>
      <c r="U127" s="12">
        <f t="shared" ref="U127:U137" si="58">G127*0.075*13</f>
        <v>691.83075000000008</v>
      </c>
      <c r="V127" s="12">
        <f t="shared" si="56"/>
        <v>53.217750000000009</v>
      </c>
      <c r="W127" s="37"/>
      <c r="X127" s="37"/>
      <c r="Y127" s="12">
        <f>P127+S127+U127+W127</f>
        <v>1406.7225250000001</v>
      </c>
      <c r="Z127" s="12">
        <f t="shared" ref="Z127:Z137" si="59">G127*0.01*13</f>
        <v>92.244100000000003</v>
      </c>
      <c r="AA127" s="12">
        <f t="shared" si="57"/>
        <v>7.0956999999999999</v>
      </c>
      <c r="AB127" s="38"/>
      <c r="AC127" s="38"/>
      <c r="AD127" s="38"/>
      <c r="AE127" s="38"/>
      <c r="AF127" s="37"/>
      <c r="AG127" s="38"/>
      <c r="AH127" s="37"/>
      <c r="AI127" s="12"/>
      <c r="AJ127" s="38"/>
      <c r="AK127" s="38"/>
      <c r="AL127" s="38"/>
      <c r="AM127" s="12"/>
      <c r="AN127" s="12"/>
      <c r="AO127" s="12"/>
      <c r="AP127" s="38"/>
      <c r="AQ127" s="37"/>
    </row>
    <row r="128" spans="1:43">
      <c r="A128" s="21">
        <f t="shared" ref="A128:A137" si="60">A127+1</f>
        <v>86</v>
      </c>
      <c r="B128" s="45" t="s">
        <v>264</v>
      </c>
      <c r="C128" s="56" t="s">
        <v>265</v>
      </c>
      <c r="D128" s="82" t="s">
        <v>260</v>
      </c>
      <c r="E128" s="83" t="s">
        <v>79</v>
      </c>
      <c r="F128" s="84" t="s">
        <v>209</v>
      </c>
      <c r="G128" s="26">
        <f>622.29+30+50</f>
        <v>702.29</v>
      </c>
      <c r="H128" s="32">
        <f t="shared" si="53"/>
        <v>8427.48</v>
      </c>
      <c r="I128" s="32">
        <v>60</v>
      </c>
      <c r="J128" s="36"/>
      <c r="K128" s="32">
        <f t="shared" si="54"/>
        <v>702.29</v>
      </c>
      <c r="L128" s="32">
        <v>300</v>
      </c>
      <c r="M128" s="12"/>
      <c r="N128" s="24">
        <v>125</v>
      </c>
      <c r="O128" s="24"/>
      <c r="P128" s="12">
        <f t="shared" si="55"/>
        <v>707.55717499999992</v>
      </c>
      <c r="Q128" s="9">
        <f>P128/13</f>
        <v>54.427474999999994</v>
      </c>
      <c r="R128" s="12"/>
      <c r="S128" s="37"/>
      <c r="T128" s="37"/>
      <c r="U128" s="12">
        <f t="shared" si="58"/>
        <v>684.7327499999999</v>
      </c>
      <c r="V128" s="12">
        <f t="shared" si="56"/>
        <v>52.671749999999989</v>
      </c>
      <c r="W128" s="37"/>
      <c r="X128" s="37"/>
      <c r="Y128" s="12">
        <f>P128+S128+U128+W128</f>
        <v>1392.2899249999998</v>
      </c>
      <c r="Z128" s="12">
        <f t="shared" si="59"/>
        <v>91.297699999999992</v>
      </c>
      <c r="AA128" s="12">
        <f t="shared" si="57"/>
        <v>7.022899999999999</v>
      </c>
      <c r="AB128" s="12">
        <f>G128/30/7*1.5*45</f>
        <v>225.73607142857139</v>
      </c>
      <c r="AC128" s="12"/>
      <c r="AD128" s="12"/>
      <c r="AE128" s="12">
        <f>AB128*0.0775</f>
        <v>17.494545535714284</v>
      </c>
      <c r="AF128" s="12"/>
      <c r="AG128" s="12">
        <f>AB128*0.075</f>
        <v>16.930205357142853</v>
      </c>
      <c r="AH128" s="12"/>
      <c r="AI128" s="12">
        <f>AE128+AF128+AG128+AH128</f>
        <v>34.424750892857134</v>
      </c>
      <c r="AJ128" s="12">
        <f>AB128*0.01</f>
        <v>2.2573607142857139</v>
      </c>
      <c r="AK128" s="38"/>
      <c r="AL128" s="38"/>
      <c r="AM128" s="12"/>
      <c r="AN128" s="12"/>
      <c r="AO128" s="12"/>
      <c r="AP128" s="38"/>
      <c r="AQ128" s="37"/>
    </row>
    <row r="129" spans="1:43">
      <c r="A129" s="21">
        <f t="shared" si="60"/>
        <v>87</v>
      </c>
      <c r="B129" s="42" t="s">
        <v>266</v>
      </c>
      <c r="C129" s="56" t="s">
        <v>267</v>
      </c>
      <c r="D129" s="82" t="s">
        <v>260</v>
      </c>
      <c r="E129" s="83" t="s">
        <v>79</v>
      </c>
      <c r="F129" s="84" t="s">
        <v>209</v>
      </c>
      <c r="G129" s="26">
        <f>597+30+50</f>
        <v>677</v>
      </c>
      <c r="H129" s="32">
        <f t="shared" si="53"/>
        <v>8124</v>
      </c>
      <c r="I129" s="32">
        <v>60</v>
      </c>
      <c r="J129" s="32"/>
      <c r="K129" s="32">
        <f t="shared" si="54"/>
        <v>677</v>
      </c>
      <c r="L129" s="32">
        <v>300</v>
      </c>
      <c r="M129" s="12"/>
      <c r="N129" s="24">
        <v>125</v>
      </c>
      <c r="O129" s="24"/>
      <c r="P129" s="12">
        <f t="shared" si="55"/>
        <v>682.07749999999999</v>
      </c>
      <c r="Q129" s="9">
        <f>P129/13</f>
        <v>52.467500000000001</v>
      </c>
      <c r="R129" s="12"/>
      <c r="S129" s="12"/>
      <c r="T129" s="12"/>
      <c r="U129" s="12">
        <f t="shared" si="58"/>
        <v>660.07499999999993</v>
      </c>
      <c r="V129" s="12">
        <f t="shared" si="56"/>
        <v>50.774999999999991</v>
      </c>
      <c r="W129" s="12"/>
      <c r="X129" s="12"/>
      <c r="Y129" s="12">
        <f>P129+S129+U129+W129+0.01</f>
        <v>1342.1624999999999</v>
      </c>
      <c r="Z129" s="12">
        <f t="shared" si="59"/>
        <v>88.01</v>
      </c>
      <c r="AA129" s="12">
        <f t="shared" si="57"/>
        <v>6.7700000000000005</v>
      </c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</row>
    <row r="130" spans="1:43">
      <c r="A130" s="21">
        <f t="shared" si="60"/>
        <v>88</v>
      </c>
      <c r="B130" s="45" t="s">
        <v>268</v>
      </c>
      <c r="C130" s="56" t="s">
        <v>269</v>
      </c>
      <c r="D130" s="82" t="s">
        <v>260</v>
      </c>
      <c r="E130" s="83" t="s">
        <v>79</v>
      </c>
      <c r="F130" s="84" t="s">
        <v>209</v>
      </c>
      <c r="G130" s="26">
        <f>629.57+30+50</f>
        <v>709.57</v>
      </c>
      <c r="H130" s="32">
        <f>G130*12</f>
        <v>8514.84</v>
      </c>
      <c r="I130" s="32">
        <v>60</v>
      </c>
      <c r="J130" s="36"/>
      <c r="K130" s="32">
        <f>G130</f>
        <v>709.57</v>
      </c>
      <c r="L130" s="32">
        <v>300</v>
      </c>
      <c r="M130" s="12"/>
      <c r="N130" s="24">
        <v>125</v>
      </c>
      <c r="O130" s="24"/>
      <c r="P130" s="12">
        <f>G130*0.0775*13</f>
        <v>714.89177500000005</v>
      </c>
      <c r="Q130" s="9">
        <f>P130/13</f>
        <v>54.991675000000001</v>
      </c>
      <c r="R130" s="12"/>
      <c r="S130" s="37"/>
      <c r="T130" s="37"/>
      <c r="U130" s="12">
        <f>G130*0.075*13</f>
        <v>691.83075000000008</v>
      </c>
      <c r="V130" s="12">
        <f>U130/13</f>
        <v>53.217750000000009</v>
      </c>
      <c r="W130" s="37"/>
      <c r="X130" s="37"/>
      <c r="Y130" s="12">
        <f>P130+S130+U130+W130</f>
        <v>1406.7225250000001</v>
      </c>
      <c r="Z130" s="12">
        <f>G130*0.01*13</f>
        <v>92.244100000000003</v>
      </c>
      <c r="AA130" s="12">
        <f>Z130/13</f>
        <v>7.0956999999999999</v>
      </c>
      <c r="AB130" s="12">
        <f>G130/30/7*1.5*45</f>
        <v>228.07607142857145</v>
      </c>
      <c r="AC130" s="12"/>
      <c r="AD130" s="12"/>
      <c r="AE130" s="12">
        <f>AB130*0.0775</f>
        <v>17.675895535714286</v>
      </c>
      <c r="AF130" s="37"/>
      <c r="AG130" s="12">
        <f>AB130*0.075</f>
        <v>17.10570535714286</v>
      </c>
      <c r="AH130" s="12"/>
      <c r="AI130" s="12">
        <f>AE130+AF130+AG130+AH130+0.01</f>
        <v>34.79160089285714</v>
      </c>
      <c r="AJ130" s="12">
        <f>AB130*0.01</f>
        <v>2.2807607142857145</v>
      </c>
      <c r="AK130" s="38"/>
      <c r="AL130" s="38"/>
      <c r="AM130" s="12"/>
      <c r="AN130" s="12"/>
      <c r="AO130" s="12"/>
      <c r="AP130" s="38"/>
      <c r="AQ130" s="37"/>
    </row>
    <row r="131" spans="1:43">
      <c r="A131" s="21">
        <f t="shared" si="60"/>
        <v>89</v>
      </c>
      <c r="B131" s="45" t="s">
        <v>270</v>
      </c>
      <c r="C131" s="56" t="s">
        <v>271</v>
      </c>
      <c r="D131" s="82" t="s">
        <v>260</v>
      </c>
      <c r="E131" s="83" t="s">
        <v>79</v>
      </c>
      <c r="F131" s="84" t="s">
        <v>209</v>
      </c>
      <c r="G131" s="26">
        <f>597+30+50</f>
        <v>677</v>
      </c>
      <c r="H131" s="32">
        <f>G131*12</f>
        <v>8124</v>
      </c>
      <c r="I131" s="32">
        <v>60</v>
      </c>
      <c r="J131" s="32"/>
      <c r="K131" s="32">
        <f>G131</f>
        <v>677</v>
      </c>
      <c r="L131" s="32">
        <v>300</v>
      </c>
      <c r="M131" s="12"/>
      <c r="N131" s="24">
        <v>125</v>
      </c>
      <c r="O131" s="24"/>
      <c r="P131" s="12">
        <f>G131*0.0775*13</f>
        <v>682.07749999999999</v>
      </c>
      <c r="Q131" s="40"/>
      <c r="R131" s="12">
        <f>P131/13</f>
        <v>52.467500000000001</v>
      </c>
      <c r="S131" s="12"/>
      <c r="T131" s="12"/>
      <c r="U131" s="12">
        <f>G131*0.075*13</f>
        <v>660.07499999999993</v>
      </c>
      <c r="V131" s="12">
        <f>U131/13</f>
        <v>50.774999999999991</v>
      </c>
      <c r="W131" s="12"/>
      <c r="X131" s="12"/>
      <c r="Y131" s="12">
        <f>P131+S131+U131+W131+0.01</f>
        <v>1342.1624999999999</v>
      </c>
      <c r="Z131" s="12">
        <f>G131*0.01*13</f>
        <v>88.01</v>
      </c>
      <c r="AA131" s="12">
        <f>Z131/13</f>
        <v>6.7700000000000005</v>
      </c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</row>
    <row r="132" spans="1:43">
      <c r="A132" s="21">
        <f t="shared" si="60"/>
        <v>90</v>
      </c>
      <c r="B132" s="27" t="s">
        <v>272</v>
      </c>
      <c r="C132" s="56" t="s">
        <v>273</v>
      </c>
      <c r="D132" s="82" t="s">
        <v>260</v>
      </c>
      <c r="E132" s="83" t="s">
        <v>79</v>
      </c>
      <c r="F132" s="84" t="s">
        <v>209</v>
      </c>
      <c r="G132" s="26">
        <v>647</v>
      </c>
      <c r="H132" s="32">
        <f>G132*12</f>
        <v>7764</v>
      </c>
      <c r="I132" s="32">
        <v>60</v>
      </c>
      <c r="J132" s="36"/>
      <c r="K132" s="32">
        <f>G132</f>
        <v>647</v>
      </c>
      <c r="L132" s="32">
        <v>300</v>
      </c>
      <c r="M132" s="12"/>
      <c r="N132" s="24">
        <v>125</v>
      </c>
      <c r="O132" s="24"/>
      <c r="P132" s="12">
        <f>G132*0.0775*13</f>
        <v>651.85249999999996</v>
      </c>
      <c r="Q132" s="40"/>
      <c r="R132" s="12">
        <f>P132/13</f>
        <v>50.142499999999998</v>
      </c>
      <c r="S132" s="37"/>
      <c r="T132" s="37"/>
      <c r="U132" s="12">
        <f>G132*0.075*13</f>
        <v>630.82499999999993</v>
      </c>
      <c r="V132" s="12">
        <f>U132/13</f>
        <v>48.524999999999991</v>
      </c>
      <c r="W132" s="37"/>
      <c r="X132" s="37"/>
      <c r="Y132" s="12">
        <f t="shared" ref="Y132:Y137" si="61">P132+S132+U132+W132</f>
        <v>1282.6774999999998</v>
      </c>
      <c r="Z132" s="12">
        <f>G132*0.01*13</f>
        <v>84.11</v>
      </c>
      <c r="AA132" s="12">
        <f>Z132/13</f>
        <v>6.47</v>
      </c>
      <c r="AB132" s="38"/>
      <c r="AC132" s="38"/>
      <c r="AD132" s="38"/>
      <c r="AE132" s="38"/>
      <c r="AF132" s="37"/>
      <c r="AG132" s="38"/>
      <c r="AH132" s="37"/>
      <c r="AI132" s="12"/>
      <c r="AJ132" s="38"/>
      <c r="AK132" s="38"/>
      <c r="AL132" s="38"/>
      <c r="AM132" s="12"/>
      <c r="AN132" s="12"/>
      <c r="AO132" s="12"/>
      <c r="AP132" s="38"/>
      <c r="AQ132" s="37"/>
    </row>
    <row r="133" spans="1:43">
      <c r="A133" s="21">
        <f t="shared" si="60"/>
        <v>91</v>
      </c>
      <c r="B133" s="45" t="s">
        <v>274</v>
      </c>
      <c r="C133" s="56" t="s">
        <v>275</v>
      </c>
      <c r="D133" s="82" t="s">
        <v>260</v>
      </c>
      <c r="E133" s="83" t="s">
        <v>79</v>
      </c>
      <c r="F133" s="84" t="s">
        <v>209</v>
      </c>
      <c r="G133" s="26">
        <f>567+30+50</f>
        <v>647</v>
      </c>
      <c r="H133" s="32">
        <f t="shared" si="53"/>
        <v>7764</v>
      </c>
      <c r="I133" s="32">
        <v>60</v>
      </c>
      <c r="J133" s="36"/>
      <c r="K133" s="32">
        <f t="shared" si="54"/>
        <v>647</v>
      </c>
      <c r="L133" s="32">
        <v>300</v>
      </c>
      <c r="M133" s="12"/>
      <c r="N133" s="24">
        <v>125</v>
      </c>
      <c r="O133" s="24"/>
      <c r="P133" s="12">
        <f t="shared" si="55"/>
        <v>651.85249999999996</v>
      </c>
      <c r="Q133" s="9">
        <f>P133/13</f>
        <v>50.142499999999998</v>
      </c>
      <c r="R133" s="12"/>
      <c r="S133" s="37"/>
      <c r="T133" s="37"/>
      <c r="U133" s="12">
        <f t="shared" si="58"/>
        <v>630.82499999999993</v>
      </c>
      <c r="V133" s="12">
        <f t="shared" si="56"/>
        <v>48.524999999999991</v>
      </c>
      <c r="W133" s="37"/>
      <c r="X133" s="37"/>
      <c r="Y133" s="12">
        <f t="shared" si="61"/>
        <v>1282.6774999999998</v>
      </c>
      <c r="Z133" s="12">
        <f t="shared" si="59"/>
        <v>84.11</v>
      </c>
      <c r="AA133" s="12">
        <f t="shared" si="57"/>
        <v>6.47</v>
      </c>
      <c r="AB133" s="38"/>
      <c r="AC133" s="38"/>
      <c r="AD133" s="38"/>
      <c r="AE133" s="38"/>
      <c r="AF133" s="37"/>
      <c r="AG133" s="38"/>
      <c r="AH133" s="37"/>
      <c r="AI133" s="12"/>
      <c r="AJ133" s="38"/>
      <c r="AK133" s="38"/>
      <c r="AL133" s="38"/>
      <c r="AM133" s="12"/>
      <c r="AN133" s="12"/>
      <c r="AO133" s="12"/>
      <c r="AP133" s="38"/>
      <c r="AQ133" s="37"/>
    </row>
    <row r="134" spans="1:43">
      <c r="A134" s="21">
        <f t="shared" si="60"/>
        <v>92</v>
      </c>
      <c r="B134" s="45" t="s">
        <v>276</v>
      </c>
      <c r="C134" s="56" t="s">
        <v>277</v>
      </c>
      <c r="D134" s="82" t="s">
        <v>260</v>
      </c>
      <c r="E134" s="83" t="s">
        <v>79</v>
      </c>
      <c r="F134" s="84" t="s">
        <v>209</v>
      </c>
      <c r="G134" s="26">
        <v>467</v>
      </c>
      <c r="H134" s="32">
        <f>G134*12</f>
        <v>5604</v>
      </c>
      <c r="I134" s="32">
        <v>60</v>
      </c>
      <c r="J134" s="36"/>
      <c r="K134" s="32">
        <f>G134</f>
        <v>467</v>
      </c>
      <c r="L134" s="32">
        <v>300</v>
      </c>
      <c r="M134" s="37"/>
      <c r="N134" s="24">
        <v>125</v>
      </c>
      <c r="O134" s="24"/>
      <c r="P134" s="12">
        <f>G134*0.0775*13</f>
        <v>470.50250000000005</v>
      </c>
      <c r="Q134" s="12"/>
      <c r="R134" s="12">
        <f>P134/13</f>
        <v>36.192500000000003</v>
      </c>
      <c r="S134" s="37"/>
      <c r="T134" s="37"/>
      <c r="U134" s="12">
        <f t="shared" si="58"/>
        <v>455.32499999999999</v>
      </c>
      <c r="V134" s="12">
        <f t="shared" si="56"/>
        <v>35.024999999999999</v>
      </c>
      <c r="W134" s="37"/>
      <c r="X134" s="37"/>
      <c r="Y134" s="12">
        <f t="shared" si="61"/>
        <v>925.8275000000001</v>
      </c>
      <c r="Z134" s="12">
        <f t="shared" si="59"/>
        <v>60.71</v>
      </c>
      <c r="AA134" s="12">
        <f t="shared" si="57"/>
        <v>4.67</v>
      </c>
      <c r="AB134" s="38"/>
      <c r="AC134" s="38"/>
      <c r="AD134" s="38"/>
      <c r="AE134" s="38"/>
      <c r="AF134" s="37"/>
      <c r="AG134" s="38"/>
      <c r="AH134" s="37"/>
      <c r="AI134" s="12"/>
      <c r="AJ134" s="38"/>
      <c r="AK134" s="38"/>
      <c r="AL134" s="38"/>
      <c r="AM134" s="12"/>
      <c r="AN134" s="12"/>
      <c r="AO134" s="12"/>
      <c r="AP134" s="38"/>
      <c r="AQ134" s="37"/>
    </row>
    <row r="135" spans="1:43">
      <c r="A135" s="21">
        <f t="shared" si="60"/>
        <v>93</v>
      </c>
      <c r="B135" s="45" t="s">
        <v>278</v>
      </c>
      <c r="C135" s="56" t="s">
        <v>277</v>
      </c>
      <c r="D135" s="82" t="s">
        <v>260</v>
      </c>
      <c r="E135" s="83" t="s">
        <v>79</v>
      </c>
      <c r="F135" s="84" t="s">
        <v>209</v>
      </c>
      <c r="G135" s="26">
        <v>467</v>
      </c>
      <c r="H135" s="32">
        <f>G135*12</f>
        <v>5604</v>
      </c>
      <c r="I135" s="32">
        <v>60</v>
      </c>
      <c r="J135" s="36"/>
      <c r="K135" s="32">
        <f>G135</f>
        <v>467</v>
      </c>
      <c r="L135" s="32">
        <v>300</v>
      </c>
      <c r="M135" s="37"/>
      <c r="N135" s="24">
        <v>125</v>
      </c>
      <c r="O135" s="24"/>
      <c r="P135" s="12">
        <f>G135*0.0775*13</f>
        <v>470.50250000000005</v>
      </c>
      <c r="Q135" s="9">
        <f>P135/13</f>
        <v>36.192500000000003</v>
      </c>
      <c r="R135" s="12"/>
      <c r="S135" s="12"/>
      <c r="T135" s="12"/>
      <c r="U135" s="12">
        <f>G135*0.075*13</f>
        <v>455.32499999999999</v>
      </c>
      <c r="V135" s="12">
        <f>U135/13</f>
        <v>35.024999999999999</v>
      </c>
      <c r="W135" s="12"/>
      <c r="X135" s="12"/>
      <c r="Y135" s="12">
        <f>P135+S135+U135+W135</f>
        <v>925.8275000000001</v>
      </c>
      <c r="Z135" s="12">
        <f>G135*0.01*13</f>
        <v>60.71</v>
      </c>
      <c r="AA135" s="12">
        <f>Z135/13</f>
        <v>4.67</v>
      </c>
      <c r="AB135" s="12">
        <f>G135/30/7*1.5*45-0.01</f>
        <v>150.09714285714287</v>
      </c>
      <c r="AC135" s="12">
        <v>157.63</v>
      </c>
      <c r="AD135" s="12">
        <f>AB135-AC135</f>
        <v>-7.5328571428571252</v>
      </c>
      <c r="AE135" s="12">
        <f>AB135*0.0775</f>
        <v>11.632528571428573</v>
      </c>
      <c r="AF135" s="12"/>
      <c r="AG135" s="12">
        <f>AB135*0.075</f>
        <v>11.257285714285715</v>
      </c>
      <c r="AH135" s="12"/>
      <c r="AI135" s="12">
        <f>AE135+AF135+AG135+AH135</f>
        <v>22.889814285714287</v>
      </c>
      <c r="AJ135" s="12">
        <f>AB135*0.01</f>
        <v>1.5009714285714288</v>
      </c>
      <c r="AK135" s="38"/>
      <c r="AL135" s="38"/>
      <c r="AM135" s="12"/>
      <c r="AN135" s="12"/>
      <c r="AO135" s="12"/>
      <c r="AP135" s="38"/>
      <c r="AQ135" s="37"/>
    </row>
    <row r="136" spans="1:43">
      <c r="A136" s="21">
        <f t="shared" si="60"/>
        <v>94</v>
      </c>
      <c r="B136" s="45" t="s">
        <v>279</v>
      </c>
      <c r="C136" s="56" t="s">
        <v>280</v>
      </c>
      <c r="D136" s="82" t="s">
        <v>260</v>
      </c>
      <c r="E136" s="83" t="s">
        <v>79</v>
      </c>
      <c r="F136" s="84" t="s">
        <v>209</v>
      </c>
      <c r="G136" s="26">
        <v>417</v>
      </c>
      <c r="H136" s="32">
        <f>G136*12</f>
        <v>5004</v>
      </c>
      <c r="I136" s="32">
        <v>60</v>
      </c>
      <c r="J136" s="36"/>
      <c r="K136" s="32">
        <f>G136</f>
        <v>417</v>
      </c>
      <c r="L136" s="32">
        <v>300</v>
      </c>
      <c r="M136" s="37"/>
      <c r="N136" s="24">
        <v>125</v>
      </c>
      <c r="O136" s="24"/>
      <c r="P136" s="12">
        <f>G136*0.0775*13</f>
        <v>420.12750000000005</v>
      </c>
      <c r="Q136" s="12"/>
      <c r="R136" s="12">
        <f>P136/13</f>
        <v>32.317500000000003</v>
      </c>
      <c r="S136" s="37"/>
      <c r="T136" s="37"/>
      <c r="U136" s="12">
        <f>G136*0.075*13</f>
        <v>406.57499999999999</v>
      </c>
      <c r="V136" s="12">
        <f>U136/13</f>
        <v>31.274999999999999</v>
      </c>
      <c r="W136" s="37"/>
      <c r="X136" s="37"/>
      <c r="Y136" s="12">
        <f t="shared" si="61"/>
        <v>826.7025000000001</v>
      </c>
      <c r="Z136" s="12">
        <f>G136*0.01*13</f>
        <v>54.21</v>
      </c>
      <c r="AA136" s="12">
        <f>Z136/13</f>
        <v>4.17</v>
      </c>
      <c r="AB136" s="38"/>
      <c r="AC136" s="38"/>
      <c r="AD136" s="38"/>
      <c r="AE136" s="38"/>
      <c r="AF136" s="37"/>
      <c r="AG136" s="38"/>
      <c r="AH136" s="37"/>
      <c r="AI136" s="12"/>
      <c r="AJ136" s="38"/>
      <c r="AK136" s="38"/>
      <c r="AL136" s="38"/>
      <c r="AM136" s="12"/>
      <c r="AN136" s="12"/>
      <c r="AO136" s="12"/>
      <c r="AP136" s="38"/>
      <c r="AQ136" s="37"/>
    </row>
    <row r="137" spans="1:43">
      <c r="A137" s="21">
        <f t="shared" si="60"/>
        <v>95</v>
      </c>
      <c r="B137" s="45" t="s">
        <v>281</v>
      </c>
      <c r="C137" s="56" t="s">
        <v>282</v>
      </c>
      <c r="D137" s="82" t="s">
        <v>260</v>
      </c>
      <c r="E137" s="83" t="s">
        <v>79</v>
      </c>
      <c r="F137" s="84" t="s">
        <v>209</v>
      </c>
      <c r="G137" s="26">
        <v>627</v>
      </c>
      <c r="H137" s="32">
        <f>G137*12</f>
        <v>7524</v>
      </c>
      <c r="I137" s="32">
        <v>60</v>
      </c>
      <c r="J137" s="32"/>
      <c r="K137" s="32">
        <f>G137</f>
        <v>627</v>
      </c>
      <c r="L137" s="32">
        <v>300</v>
      </c>
      <c r="M137" s="12"/>
      <c r="N137" s="24">
        <v>125</v>
      </c>
      <c r="O137" s="24"/>
      <c r="P137" s="12">
        <f>G137*0.0775*13</f>
        <v>631.70249999999999</v>
      </c>
      <c r="Q137" s="9">
        <f>P137/13</f>
        <v>48.592500000000001</v>
      </c>
      <c r="R137" s="12"/>
      <c r="S137" s="12"/>
      <c r="T137" s="12"/>
      <c r="U137" s="12">
        <f t="shared" si="58"/>
        <v>611.32499999999993</v>
      </c>
      <c r="V137" s="12">
        <f t="shared" si="56"/>
        <v>47.024999999999991</v>
      </c>
      <c r="W137" s="12"/>
      <c r="X137" s="12"/>
      <c r="Y137" s="12">
        <f t="shared" si="61"/>
        <v>1243.0274999999999</v>
      </c>
      <c r="Z137" s="12">
        <f t="shared" si="59"/>
        <v>81.510000000000005</v>
      </c>
      <c r="AA137" s="12">
        <f t="shared" si="57"/>
        <v>6.2700000000000005</v>
      </c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</row>
    <row r="138" spans="1:43">
      <c r="A138" s="21"/>
      <c r="B138" s="15"/>
      <c r="C138" s="85" t="s">
        <v>283</v>
      </c>
      <c r="D138" s="82"/>
      <c r="E138" s="83"/>
      <c r="F138" s="84"/>
      <c r="G138" s="86">
        <f t="shared" ref="G138:N138" si="62">SUM(G125:G137)</f>
        <v>8947.43</v>
      </c>
      <c r="H138" s="30">
        <f t="shared" si="62"/>
        <v>107369.15999999999</v>
      </c>
      <c r="I138" s="30">
        <f t="shared" si="62"/>
        <v>780</v>
      </c>
      <c r="J138" s="30">
        <f t="shared" si="62"/>
        <v>0</v>
      </c>
      <c r="K138" s="30">
        <f t="shared" si="62"/>
        <v>8947.43</v>
      </c>
      <c r="L138" s="30">
        <f t="shared" si="62"/>
        <v>3900</v>
      </c>
      <c r="M138" s="20">
        <f t="shared" si="62"/>
        <v>0</v>
      </c>
      <c r="N138" s="20">
        <f t="shared" si="62"/>
        <v>1625</v>
      </c>
      <c r="O138" s="31"/>
      <c r="P138" s="20">
        <f>SUM(P125:P137)</f>
        <v>9014.5357250000015</v>
      </c>
      <c r="Q138" s="20">
        <f>SUM(Q125:Q137)-0.01</f>
        <v>444.79582499999992</v>
      </c>
      <c r="R138" s="20">
        <f>SUM(R125:R137)</f>
        <v>248.62</v>
      </c>
      <c r="S138" s="20">
        <f>SUM(S125:S137)</f>
        <v>0</v>
      </c>
      <c r="T138" s="20">
        <f>SUM(T125:T137)</f>
        <v>0</v>
      </c>
      <c r="U138" s="20">
        <f>SUM(U125:U137)+0.02</f>
        <v>8528.7642500000002</v>
      </c>
      <c r="V138" s="20">
        <f>SUM(V125:V137)+0.03</f>
        <v>656.08724999999981</v>
      </c>
      <c r="W138" s="20">
        <f>SUM(W125:W137)</f>
        <v>0</v>
      </c>
      <c r="X138" s="20">
        <f>SUM(X125:X137)</f>
        <v>0</v>
      </c>
      <c r="Y138" s="20">
        <f>SUM(Y125:Y137)</f>
        <v>17543.299974999998</v>
      </c>
      <c r="Z138" s="20">
        <f>SUM(Z125:Z137)-0.01</f>
        <v>1137.1559</v>
      </c>
      <c r="AA138" s="20">
        <f>SUM(AA125:AA137)+0.01</f>
        <v>87.484300000000019</v>
      </c>
      <c r="AB138" s="20">
        <f>SUM(AB125:AB137)+0.01</f>
        <v>603.91928571428571</v>
      </c>
      <c r="AC138" s="20">
        <f t="shared" ref="AC138:AH138" si="63">SUM(AC125:AC137)</f>
        <v>157.63</v>
      </c>
      <c r="AD138" s="20">
        <f t="shared" si="63"/>
        <v>-7.5328571428571252</v>
      </c>
      <c r="AE138" s="20">
        <f t="shared" si="63"/>
        <v>46.802969642857143</v>
      </c>
      <c r="AF138" s="20">
        <f t="shared" si="63"/>
        <v>0</v>
      </c>
      <c r="AG138" s="20">
        <f t="shared" si="63"/>
        <v>45.293196428571427</v>
      </c>
      <c r="AH138" s="20">
        <f t="shared" si="63"/>
        <v>0</v>
      </c>
      <c r="AI138" s="20">
        <f>SUM(AI125:AI137)-0.01</f>
        <v>92.096166071428556</v>
      </c>
      <c r="AJ138" s="20">
        <f t="shared" ref="AJ138:AQ138" si="64">SUM(AJ125:AJ137)</f>
        <v>6.0390928571428573</v>
      </c>
      <c r="AK138" s="20">
        <f t="shared" si="64"/>
        <v>0</v>
      </c>
      <c r="AL138" s="20">
        <f t="shared" si="64"/>
        <v>0</v>
      </c>
      <c r="AM138" s="20">
        <f t="shared" si="64"/>
        <v>0</v>
      </c>
      <c r="AN138" s="20">
        <f t="shared" si="64"/>
        <v>0</v>
      </c>
      <c r="AO138" s="20">
        <f t="shared" si="64"/>
        <v>0</v>
      </c>
      <c r="AP138" s="20">
        <f t="shared" si="64"/>
        <v>0</v>
      </c>
      <c r="AQ138" s="20">
        <f t="shared" si="64"/>
        <v>0</v>
      </c>
    </row>
    <row r="139" spans="1:43">
      <c r="A139" s="21">
        <f>A137+1</f>
        <v>96</v>
      </c>
      <c r="B139" s="45" t="s">
        <v>284</v>
      </c>
      <c r="C139" s="56" t="s">
        <v>285</v>
      </c>
      <c r="D139" s="82" t="s">
        <v>286</v>
      </c>
      <c r="E139" s="83" t="s">
        <v>79</v>
      </c>
      <c r="F139" s="84" t="s">
        <v>209</v>
      </c>
      <c r="G139" s="26">
        <v>1000</v>
      </c>
      <c r="H139" s="32">
        <f>G139*12</f>
        <v>12000</v>
      </c>
      <c r="I139" s="32">
        <v>60</v>
      </c>
      <c r="J139" s="36"/>
      <c r="K139" s="32">
        <f>G139</f>
        <v>1000</v>
      </c>
      <c r="L139" s="32">
        <v>300</v>
      </c>
      <c r="M139" s="12"/>
      <c r="N139" s="24">
        <v>125</v>
      </c>
      <c r="O139" s="24"/>
      <c r="P139" s="12">
        <f>G139*0.0775*13</f>
        <v>1007.5</v>
      </c>
      <c r="Q139" s="40"/>
      <c r="R139" s="12">
        <f>P139/13</f>
        <v>77.5</v>
      </c>
      <c r="S139" s="37"/>
      <c r="T139" s="37"/>
      <c r="U139" s="12">
        <v>975</v>
      </c>
      <c r="V139" s="12">
        <f>U139/13</f>
        <v>75</v>
      </c>
      <c r="W139" s="37"/>
      <c r="X139" s="37"/>
      <c r="Y139" s="12">
        <f>P139+S139+U139+W139</f>
        <v>1982.5</v>
      </c>
      <c r="Z139" s="12">
        <v>130</v>
      </c>
      <c r="AA139" s="12">
        <f>Z139/13</f>
        <v>10</v>
      </c>
      <c r="AB139" s="38"/>
      <c r="AC139" s="38"/>
      <c r="AD139" s="38"/>
      <c r="AE139" s="38"/>
      <c r="AF139" s="37"/>
      <c r="AG139" s="38"/>
      <c r="AH139" s="37"/>
      <c r="AI139" s="12"/>
      <c r="AJ139" s="38"/>
      <c r="AK139" s="38"/>
      <c r="AL139" s="38"/>
      <c r="AM139" s="12"/>
      <c r="AN139" s="12"/>
      <c r="AO139" s="12"/>
      <c r="AP139" s="38"/>
      <c r="AQ139" s="37"/>
    </row>
    <row r="140" spans="1:43">
      <c r="A140" s="55">
        <f>A139+1</f>
        <v>97</v>
      </c>
      <c r="B140" s="45" t="s">
        <v>287</v>
      </c>
      <c r="C140" s="51" t="s">
        <v>288</v>
      </c>
      <c r="D140" s="82" t="s">
        <v>286</v>
      </c>
      <c r="E140" s="83" t="s">
        <v>79</v>
      </c>
      <c r="F140" s="84" t="s">
        <v>209</v>
      </c>
      <c r="G140" s="26">
        <f>707+30+50</f>
        <v>787</v>
      </c>
      <c r="H140" s="32">
        <f>G140*12</f>
        <v>9444</v>
      </c>
      <c r="I140" s="32">
        <v>60</v>
      </c>
      <c r="J140" s="32"/>
      <c r="K140" s="32">
        <f>G140</f>
        <v>787</v>
      </c>
      <c r="L140" s="32">
        <v>300</v>
      </c>
      <c r="M140" s="12"/>
      <c r="N140" s="24">
        <v>125</v>
      </c>
      <c r="O140" s="24"/>
      <c r="P140" s="12">
        <f>G140*0.0775*13</f>
        <v>792.90250000000003</v>
      </c>
      <c r="Q140" s="9">
        <f>P140/13</f>
        <v>60.9925</v>
      </c>
      <c r="R140" s="12"/>
      <c r="S140" s="12"/>
      <c r="T140" s="12"/>
      <c r="U140" s="12">
        <f>G140*0.075*13</f>
        <v>767.32499999999993</v>
      </c>
      <c r="V140" s="12">
        <f>U140/13</f>
        <v>59.024999999999991</v>
      </c>
      <c r="W140" s="12"/>
      <c r="X140" s="12"/>
      <c r="Y140" s="12">
        <f>P140+S140+U140+W140</f>
        <v>1560.2275</v>
      </c>
      <c r="Z140" s="12">
        <f>G140*0.01*13</f>
        <v>102.31</v>
      </c>
      <c r="AA140" s="12">
        <f>Z140/13</f>
        <v>7.87</v>
      </c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</row>
    <row r="141" spans="1:43">
      <c r="A141" s="55">
        <f>A140+1</f>
        <v>98</v>
      </c>
      <c r="B141" s="45" t="s">
        <v>289</v>
      </c>
      <c r="C141" s="56" t="s">
        <v>290</v>
      </c>
      <c r="D141" s="82" t="s">
        <v>286</v>
      </c>
      <c r="E141" s="83" t="s">
        <v>79</v>
      </c>
      <c r="F141" s="84" t="s">
        <v>209</v>
      </c>
      <c r="G141" s="26">
        <f>467+30+50</f>
        <v>547</v>
      </c>
      <c r="H141" s="32">
        <f>G141*12</f>
        <v>6564</v>
      </c>
      <c r="I141" s="32">
        <v>60</v>
      </c>
      <c r="J141" s="36"/>
      <c r="K141" s="32">
        <f>G141</f>
        <v>547</v>
      </c>
      <c r="L141" s="32">
        <v>300</v>
      </c>
      <c r="M141" s="37"/>
      <c r="N141" s="24">
        <v>125</v>
      </c>
      <c r="O141" s="24"/>
      <c r="P141" s="12">
        <f>G141*0.0775*13</f>
        <v>551.10249999999996</v>
      </c>
      <c r="Q141" s="9">
        <f>P141/13</f>
        <v>42.392499999999998</v>
      </c>
      <c r="R141" s="40"/>
      <c r="S141" s="37"/>
      <c r="T141" s="37"/>
      <c r="U141" s="12">
        <f>G141*0.075*13</f>
        <v>533.32499999999993</v>
      </c>
      <c r="V141" s="12">
        <f>U141/13</f>
        <v>41.024999999999991</v>
      </c>
      <c r="W141" s="37"/>
      <c r="X141" s="37"/>
      <c r="Y141" s="12">
        <f>P141+S141+U141+W141</f>
        <v>1084.4274999999998</v>
      </c>
      <c r="Z141" s="12">
        <f>G141*0.01*13</f>
        <v>71.11</v>
      </c>
      <c r="AA141" s="12">
        <f>Z141/13</f>
        <v>5.47</v>
      </c>
      <c r="AB141" s="38"/>
      <c r="AC141" s="38"/>
      <c r="AD141" s="38"/>
      <c r="AE141" s="38"/>
      <c r="AF141" s="37"/>
      <c r="AG141" s="37"/>
      <c r="AH141" s="37"/>
      <c r="AI141" s="12"/>
      <c r="AJ141" s="38"/>
      <c r="AK141" s="38"/>
      <c r="AL141" s="38"/>
      <c r="AM141" s="12"/>
      <c r="AN141" s="12"/>
      <c r="AO141" s="12"/>
      <c r="AP141" s="38"/>
      <c r="AQ141" s="37"/>
    </row>
    <row r="142" spans="1:43">
      <c r="A142" s="55">
        <f>A141+1</f>
        <v>99</v>
      </c>
      <c r="B142" s="45" t="s">
        <v>291</v>
      </c>
      <c r="C142" s="56" t="s">
        <v>292</v>
      </c>
      <c r="D142" s="82" t="s">
        <v>286</v>
      </c>
      <c r="E142" s="83" t="s">
        <v>79</v>
      </c>
      <c r="F142" s="84" t="s">
        <v>209</v>
      </c>
      <c r="G142" s="26">
        <f>467+30+50</f>
        <v>547</v>
      </c>
      <c r="H142" s="32">
        <f>G142*12</f>
        <v>6564</v>
      </c>
      <c r="I142" s="32">
        <v>60</v>
      </c>
      <c r="J142" s="36"/>
      <c r="K142" s="32">
        <f>G142</f>
        <v>547</v>
      </c>
      <c r="L142" s="32">
        <v>300</v>
      </c>
      <c r="M142" s="37"/>
      <c r="N142" s="24">
        <v>125</v>
      </c>
      <c r="O142" s="24"/>
      <c r="P142" s="12">
        <f>G142*0.0775*13</f>
        <v>551.10249999999996</v>
      </c>
      <c r="Q142" s="9"/>
      <c r="R142" s="12">
        <f>P142/13</f>
        <v>42.392499999999998</v>
      </c>
      <c r="S142" s="37"/>
      <c r="T142" s="37"/>
      <c r="U142" s="12">
        <f>G142*0.075*13</f>
        <v>533.32499999999993</v>
      </c>
      <c r="V142" s="12">
        <f>U142/13</f>
        <v>41.024999999999991</v>
      </c>
      <c r="W142" s="37"/>
      <c r="X142" s="37"/>
      <c r="Y142" s="12">
        <f>P142+S142+U142+W142</f>
        <v>1084.4274999999998</v>
      </c>
      <c r="Z142" s="12">
        <f>G142*0.01*13</f>
        <v>71.11</v>
      </c>
      <c r="AA142" s="12">
        <f>Z142/13</f>
        <v>5.47</v>
      </c>
      <c r="AB142" s="38"/>
      <c r="AC142" s="38"/>
      <c r="AD142" s="38"/>
      <c r="AE142" s="38"/>
      <c r="AF142" s="37"/>
      <c r="AG142" s="38"/>
      <c r="AH142" s="37"/>
      <c r="AI142" s="12"/>
      <c r="AJ142" s="38"/>
      <c r="AK142" s="38"/>
      <c r="AL142" s="38"/>
      <c r="AM142" s="12"/>
      <c r="AN142" s="12"/>
      <c r="AO142" s="12"/>
      <c r="AP142" s="38"/>
      <c r="AQ142" s="37"/>
    </row>
    <row r="143" spans="1:43">
      <c r="A143" s="21"/>
      <c r="B143" s="15"/>
      <c r="C143" s="85" t="s">
        <v>293</v>
      </c>
      <c r="D143" s="56"/>
      <c r="E143" s="83"/>
      <c r="F143" s="104"/>
      <c r="G143" s="86">
        <f>SUM(G139:G142)</f>
        <v>2881</v>
      </c>
      <c r="H143" s="30">
        <f t="shared" ref="H143:AA143" si="65">SUM(H139:H142)</f>
        <v>34572</v>
      </c>
      <c r="I143" s="30">
        <f t="shared" si="65"/>
        <v>240</v>
      </c>
      <c r="J143" s="30">
        <f t="shared" si="65"/>
        <v>0</v>
      </c>
      <c r="K143" s="30">
        <f t="shared" si="65"/>
        <v>2881</v>
      </c>
      <c r="L143" s="30">
        <f t="shared" si="65"/>
        <v>1200</v>
      </c>
      <c r="M143" s="20">
        <f t="shared" si="65"/>
        <v>0</v>
      </c>
      <c r="N143" s="20">
        <f t="shared" si="65"/>
        <v>500</v>
      </c>
      <c r="O143" s="20">
        <f t="shared" si="65"/>
        <v>0</v>
      </c>
      <c r="P143" s="20">
        <f>SUM(P139:P142)-0.01</f>
        <v>2902.5974999999999</v>
      </c>
      <c r="Q143" s="20">
        <f>SUM(Q139:Q142)-0.01</f>
        <v>103.37499999999999</v>
      </c>
      <c r="R143" s="20">
        <f t="shared" si="65"/>
        <v>119.8925</v>
      </c>
      <c r="S143" s="20">
        <f>SUM(S139:S142)</f>
        <v>0</v>
      </c>
      <c r="T143" s="20">
        <f>SUM(T139:T142)</f>
        <v>0</v>
      </c>
      <c r="U143" s="20">
        <f>SUM(U139:U142)+0.01</f>
        <v>2808.9849999999997</v>
      </c>
      <c r="V143" s="20">
        <f>SUM(V139:V142)+0.01</f>
        <v>216.08499999999992</v>
      </c>
      <c r="W143" s="20">
        <f t="shared" si="65"/>
        <v>0</v>
      </c>
      <c r="X143" s="20">
        <f t="shared" si="65"/>
        <v>0</v>
      </c>
      <c r="Y143" s="20">
        <f>SUM(Y139:Y142)+0.01</f>
        <v>5711.5924999999997</v>
      </c>
      <c r="Z143" s="20">
        <f t="shared" si="65"/>
        <v>374.53000000000003</v>
      </c>
      <c r="AA143" s="20">
        <f t="shared" si="65"/>
        <v>28.81</v>
      </c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</row>
    <row r="144" spans="1:43">
      <c r="A144" s="55">
        <f>A142+1</f>
        <v>100</v>
      </c>
      <c r="B144" s="45" t="s">
        <v>294</v>
      </c>
      <c r="C144" s="56" t="s">
        <v>295</v>
      </c>
      <c r="D144" s="82" t="s">
        <v>296</v>
      </c>
      <c r="E144" s="83" t="s">
        <v>79</v>
      </c>
      <c r="F144" s="84" t="s">
        <v>209</v>
      </c>
      <c r="G144" s="26">
        <f>1052+30+50</f>
        <v>1132</v>
      </c>
      <c r="H144" s="32">
        <f>G144*12</f>
        <v>13584</v>
      </c>
      <c r="I144" s="32">
        <v>60</v>
      </c>
      <c r="J144" s="36"/>
      <c r="K144" s="32">
        <f>G144</f>
        <v>1132</v>
      </c>
      <c r="L144" s="32">
        <v>300</v>
      </c>
      <c r="M144" s="12">
        <v>1000</v>
      </c>
      <c r="N144" s="24">
        <v>125</v>
      </c>
      <c r="O144" s="24"/>
      <c r="P144" s="12">
        <f>G144*0.0775*13</f>
        <v>1140.49</v>
      </c>
      <c r="Q144" s="9">
        <f>P144/13</f>
        <v>87.73</v>
      </c>
      <c r="R144" s="12"/>
      <c r="S144" s="37"/>
      <c r="T144" s="37"/>
      <c r="U144" s="12">
        <f>75*13</f>
        <v>975</v>
      </c>
      <c r="V144" s="12">
        <f>U144/13</f>
        <v>75</v>
      </c>
      <c r="W144" s="37"/>
      <c r="X144" s="37"/>
      <c r="Y144" s="12">
        <f>P144+S144+U144+W144</f>
        <v>2115.4899999999998</v>
      </c>
      <c r="Z144" s="12">
        <f>10*13</f>
        <v>130</v>
      </c>
      <c r="AA144" s="12">
        <f>Z144/13</f>
        <v>10</v>
      </c>
      <c r="AB144" s="12"/>
      <c r="AC144" s="12"/>
      <c r="AD144" s="12"/>
      <c r="AE144" s="38"/>
      <c r="AF144" s="37"/>
      <c r="AG144" s="38"/>
      <c r="AH144" s="37"/>
      <c r="AI144" s="12"/>
      <c r="AJ144" s="12"/>
      <c r="AK144" s="12"/>
      <c r="AL144" s="12"/>
      <c r="AM144" s="12"/>
      <c r="AN144" s="12"/>
      <c r="AO144" s="12"/>
      <c r="AP144" s="12"/>
      <c r="AQ144" s="37"/>
    </row>
    <row r="145" spans="1:43">
      <c r="A145" s="21">
        <f>A144+1</f>
        <v>101</v>
      </c>
      <c r="B145" s="45" t="s">
        <v>297</v>
      </c>
      <c r="C145" s="56" t="s">
        <v>298</v>
      </c>
      <c r="D145" s="82" t="s">
        <v>296</v>
      </c>
      <c r="E145" s="83" t="s">
        <v>79</v>
      </c>
      <c r="F145" s="84" t="s">
        <v>209</v>
      </c>
      <c r="G145" s="26">
        <f>597+30+50</f>
        <v>677</v>
      </c>
      <c r="H145" s="32">
        <f>G145*12</f>
        <v>8124</v>
      </c>
      <c r="I145" s="32">
        <v>60</v>
      </c>
      <c r="J145" s="36"/>
      <c r="K145" s="32">
        <f>G145</f>
        <v>677</v>
      </c>
      <c r="L145" s="32">
        <v>300</v>
      </c>
      <c r="M145" s="37"/>
      <c r="N145" s="24">
        <v>125</v>
      </c>
      <c r="O145" s="24"/>
      <c r="P145" s="12">
        <f>G145*0.0775*13</f>
        <v>682.07749999999999</v>
      </c>
      <c r="Q145" s="9"/>
      <c r="R145" s="12">
        <f>P145/13</f>
        <v>52.467500000000001</v>
      </c>
      <c r="S145" s="37"/>
      <c r="T145" s="37"/>
      <c r="U145" s="12">
        <f>G145*0.075*13</f>
        <v>660.07499999999993</v>
      </c>
      <c r="V145" s="12">
        <f>U145/13</f>
        <v>50.774999999999991</v>
      </c>
      <c r="W145" s="37"/>
      <c r="X145" s="37"/>
      <c r="Y145" s="12">
        <f>P145+S145+U145+W145+0.01</f>
        <v>1342.1624999999999</v>
      </c>
      <c r="Z145" s="12">
        <f>G145*0.01*13</f>
        <v>88.01</v>
      </c>
      <c r="AA145" s="12">
        <f>Z145/13</f>
        <v>6.7700000000000005</v>
      </c>
      <c r="AB145" s="38"/>
      <c r="AC145" s="38"/>
      <c r="AD145" s="38"/>
      <c r="AE145" s="38"/>
      <c r="AF145" s="37"/>
      <c r="AG145" s="37"/>
      <c r="AH145" s="37"/>
      <c r="AI145" s="12"/>
      <c r="AJ145" s="38"/>
      <c r="AK145" s="38"/>
      <c r="AL145" s="38"/>
      <c r="AM145" s="12"/>
      <c r="AN145" s="12"/>
      <c r="AO145" s="12"/>
      <c r="AP145" s="38"/>
      <c r="AQ145" s="37"/>
    </row>
    <row r="146" spans="1:43">
      <c r="A146" s="21">
        <f>A145+1</f>
        <v>102</v>
      </c>
      <c r="B146" s="42" t="s">
        <v>299</v>
      </c>
      <c r="C146" s="56" t="s">
        <v>300</v>
      </c>
      <c r="D146" s="82" t="s">
        <v>296</v>
      </c>
      <c r="E146" s="83" t="s">
        <v>79</v>
      </c>
      <c r="F146" s="84" t="s">
        <v>209</v>
      </c>
      <c r="G146" s="26">
        <f>467+30+50</f>
        <v>547</v>
      </c>
      <c r="H146" s="32">
        <f>G146*12</f>
        <v>6564</v>
      </c>
      <c r="I146" s="32">
        <v>60</v>
      </c>
      <c r="J146" s="36"/>
      <c r="K146" s="32">
        <f>G146</f>
        <v>547</v>
      </c>
      <c r="L146" s="32">
        <v>300</v>
      </c>
      <c r="M146" s="37"/>
      <c r="N146" s="24">
        <v>125</v>
      </c>
      <c r="O146" s="24"/>
      <c r="P146" s="12">
        <f>G146*0.0775*13</f>
        <v>551.10249999999996</v>
      </c>
      <c r="Q146" s="40"/>
      <c r="R146" s="12">
        <f>P146/13</f>
        <v>42.392499999999998</v>
      </c>
      <c r="S146" s="12"/>
      <c r="T146" s="12"/>
      <c r="U146" s="12">
        <f>G146*0.075*13</f>
        <v>533.32499999999993</v>
      </c>
      <c r="V146" s="12">
        <f>U146/13</f>
        <v>41.024999999999991</v>
      </c>
      <c r="W146" s="12"/>
      <c r="X146" s="12"/>
      <c r="Y146" s="12">
        <f>P146+S146+U146+W146</f>
        <v>1084.4274999999998</v>
      </c>
      <c r="Z146" s="12">
        <f>G146*0.01*13</f>
        <v>71.11</v>
      </c>
      <c r="AA146" s="12">
        <f>Z146/13</f>
        <v>5.47</v>
      </c>
      <c r="AB146" s="38"/>
      <c r="AC146" s="38"/>
      <c r="AD146" s="38"/>
      <c r="AE146" s="38"/>
      <c r="AF146" s="37"/>
      <c r="AG146" s="38"/>
      <c r="AH146" s="37"/>
      <c r="AI146" s="12"/>
      <c r="AJ146" s="38"/>
      <c r="AK146" s="38"/>
      <c r="AL146" s="38"/>
      <c r="AM146" s="12"/>
      <c r="AN146" s="12"/>
      <c r="AO146" s="12"/>
      <c r="AP146" s="38"/>
      <c r="AQ146" s="37"/>
    </row>
    <row r="147" spans="1:43">
      <c r="A147" s="21"/>
      <c r="B147" s="15"/>
      <c r="C147" s="85" t="s">
        <v>301</v>
      </c>
      <c r="D147" s="99"/>
      <c r="E147" s="83"/>
      <c r="F147" s="84"/>
      <c r="G147" s="86">
        <f t="shared" ref="G147:T147" si="66">SUM(G144:G146)</f>
        <v>2356</v>
      </c>
      <c r="H147" s="30">
        <f t="shared" si="66"/>
        <v>28272</v>
      </c>
      <c r="I147" s="30">
        <f t="shared" si="66"/>
        <v>180</v>
      </c>
      <c r="J147" s="30">
        <f t="shared" si="66"/>
        <v>0</v>
      </c>
      <c r="K147" s="30">
        <f t="shared" si="66"/>
        <v>2356</v>
      </c>
      <c r="L147" s="30">
        <f t="shared" si="66"/>
        <v>900</v>
      </c>
      <c r="M147" s="20">
        <f t="shared" si="66"/>
        <v>1000</v>
      </c>
      <c r="N147" s="20">
        <f t="shared" si="66"/>
        <v>375</v>
      </c>
      <c r="O147" s="20">
        <f t="shared" si="66"/>
        <v>0</v>
      </c>
      <c r="P147" s="20">
        <f t="shared" si="66"/>
        <v>2373.67</v>
      </c>
      <c r="Q147" s="20">
        <f t="shared" si="66"/>
        <v>87.73</v>
      </c>
      <c r="R147" s="20">
        <f t="shared" si="66"/>
        <v>94.86</v>
      </c>
      <c r="S147" s="20">
        <f t="shared" si="66"/>
        <v>0</v>
      </c>
      <c r="T147" s="20">
        <f t="shared" si="66"/>
        <v>0</v>
      </c>
      <c r="U147" s="20">
        <f>SUM(U144:U146)+0.01</f>
        <v>2168.41</v>
      </c>
      <c r="V147" s="20">
        <f>SUM(V144:V146)+0.01</f>
        <v>166.80999999999997</v>
      </c>
      <c r="W147" s="20">
        <f>SUM(W144:W146)</f>
        <v>0</v>
      </c>
      <c r="X147" s="20">
        <f>SUM(X144:X146)</f>
        <v>0</v>
      </c>
      <c r="Y147" s="20">
        <f>SUM(Y144:Y146)</f>
        <v>4542.08</v>
      </c>
      <c r="Z147" s="20">
        <f>SUM(Z144:Z146)</f>
        <v>289.12</v>
      </c>
      <c r="AA147" s="20">
        <f>SUM(AA144:AA146)</f>
        <v>22.24</v>
      </c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</row>
    <row r="148" spans="1:43">
      <c r="A148" s="21"/>
      <c r="B148" s="15"/>
      <c r="C148" s="100"/>
      <c r="D148" s="101" t="s">
        <v>302</v>
      </c>
      <c r="E148" s="102"/>
      <c r="F148" s="100"/>
      <c r="G148" s="86">
        <f t="shared" ref="G148:N148" si="67">SUM(G104+G124+G138+G143+G147)</f>
        <v>31241.15</v>
      </c>
      <c r="H148" s="30">
        <f t="shared" si="67"/>
        <v>374893.8</v>
      </c>
      <c r="I148" s="30">
        <f t="shared" si="67"/>
        <v>2700</v>
      </c>
      <c r="J148" s="30">
        <f t="shared" si="67"/>
        <v>0</v>
      </c>
      <c r="K148" s="30">
        <f t="shared" si="67"/>
        <v>31241.15</v>
      </c>
      <c r="L148" s="30">
        <f t="shared" si="67"/>
        <v>13500</v>
      </c>
      <c r="M148" s="20">
        <f t="shared" si="67"/>
        <v>1000</v>
      </c>
      <c r="N148" s="31">
        <f t="shared" si="67"/>
        <v>5625</v>
      </c>
      <c r="O148" s="31"/>
      <c r="P148" s="30">
        <f>SUM(P104+P124+P138+P143+P147)+0.01</f>
        <v>31475.458625000003</v>
      </c>
      <c r="Q148" s="30">
        <f>SUM(Q104+Q124+Q138+Q143+Q147)+0.01</f>
        <v>1291.49495</v>
      </c>
      <c r="R148" s="30">
        <f t="shared" ref="R148:Z148" si="68">SUM(R104+R124+R138+R143+R147)</f>
        <v>1129.6741749999999</v>
      </c>
      <c r="S148" s="20">
        <f t="shared" si="68"/>
        <v>0</v>
      </c>
      <c r="T148" s="20">
        <f t="shared" si="68"/>
        <v>0</v>
      </c>
      <c r="U148" s="20">
        <f t="shared" si="68"/>
        <v>29259.05125</v>
      </c>
      <c r="V148" s="20">
        <f t="shared" si="68"/>
        <v>2250.8062499999996</v>
      </c>
      <c r="W148" s="20">
        <f t="shared" si="68"/>
        <v>0</v>
      </c>
      <c r="X148" s="20">
        <f t="shared" si="68"/>
        <v>0</v>
      </c>
      <c r="Y148" s="20">
        <f t="shared" si="68"/>
        <v>60734.509874999989</v>
      </c>
      <c r="Z148" s="20">
        <f t="shared" si="68"/>
        <v>3908.2553999999996</v>
      </c>
      <c r="AA148" s="20">
        <f>SUM(AA104+AA124+AA138+AA143+AA147)-0.01</f>
        <v>300.63580000000002</v>
      </c>
      <c r="AB148" s="20">
        <f>SUM(AB104+AB124+AB138+AB143+AB147)</f>
        <v>603.91928571428571</v>
      </c>
      <c r="AC148" s="20" t="e">
        <f>SUM(AC104+AC124+AC138+#REF!+AC143+AC147)</f>
        <v>#REF!</v>
      </c>
      <c r="AD148" s="20" t="e">
        <f>SUM(AD104+AD124+AD138+#REF!+AD143+AD147)</f>
        <v>#REF!</v>
      </c>
      <c r="AE148" s="20">
        <f t="shared" ref="AE148:AQ148" si="69">SUM(AE104+AE124+AE138+AE143+AE147)</f>
        <v>46.802969642857143</v>
      </c>
      <c r="AF148" s="20">
        <f t="shared" si="69"/>
        <v>0</v>
      </c>
      <c r="AG148" s="20">
        <f t="shared" si="69"/>
        <v>45.293196428571427</v>
      </c>
      <c r="AH148" s="20">
        <f t="shared" si="69"/>
        <v>0</v>
      </c>
      <c r="AI148" s="20">
        <f t="shared" si="69"/>
        <v>92.096166071428556</v>
      </c>
      <c r="AJ148" s="20">
        <f t="shared" si="69"/>
        <v>6.0390928571428573</v>
      </c>
      <c r="AK148" s="20">
        <f t="shared" si="69"/>
        <v>0</v>
      </c>
      <c r="AL148" s="20">
        <f t="shared" si="69"/>
        <v>0</v>
      </c>
      <c r="AM148" s="20">
        <f t="shared" si="69"/>
        <v>0</v>
      </c>
      <c r="AN148" s="20">
        <f t="shared" si="69"/>
        <v>0</v>
      </c>
      <c r="AO148" s="20">
        <f t="shared" si="69"/>
        <v>0</v>
      </c>
      <c r="AP148" s="20">
        <f t="shared" si="69"/>
        <v>0</v>
      </c>
      <c r="AQ148" s="20">
        <f t="shared" si="69"/>
        <v>0</v>
      </c>
    </row>
    <row r="149" spans="1:43">
      <c r="A149" s="21">
        <f>A146+1</f>
        <v>103</v>
      </c>
      <c r="B149" s="27" t="s">
        <v>303</v>
      </c>
      <c r="C149" s="56" t="s">
        <v>304</v>
      </c>
      <c r="D149" s="82" t="s">
        <v>305</v>
      </c>
      <c r="E149" s="83" t="s">
        <v>79</v>
      </c>
      <c r="F149" s="84" t="s">
        <v>306</v>
      </c>
      <c r="G149" s="26">
        <f>795+30+50</f>
        <v>875</v>
      </c>
      <c r="H149" s="32">
        <f t="shared" ref="H149:H156" si="70">G149*12</f>
        <v>10500</v>
      </c>
      <c r="I149" s="32">
        <v>60</v>
      </c>
      <c r="J149" s="36"/>
      <c r="K149" s="32">
        <f t="shared" ref="K149:K154" si="71">G149</f>
        <v>875</v>
      </c>
      <c r="L149" s="32">
        <v>300</v>
      </c>
      <c r="M149" s="37"/>
      <c r="N149" s="24">
        <v>125</v>
      </c>
      <c r="O149" s="24"/>
      <c r="P149" s="12">
        <f>G149*0.0775*13</f>
        <v>881.5625</v>
      </c>
      <c r="Q149" s="9">
        <f>P149/13</f>
        <v>67.8125</v>
      </c>
      <c r="R149" s="12"/>
      <c r="S149" s="37"/>
      <c r="T149" s="37"/>
      <c r="U149" s="12">
        <f t="shared" ref="U149:U154" si="72">G149*0.075*13</f>
        <v>853.125</v>
      </c>
      <c r="V149" s="12">
        <f t="shared" ref="V149:V154" si="73">U149/13</f>
        <v>65.625</v>
      </c>
      <c r="W149" s="37"/>
      <c r="X149" s="37"/>
      <c r="Y149" s="12">
        <f t="shared" ref="Y149:Y154" si="74">P149+S149+U149+W149</f>
        <v>1734.6875</v>
      </c>
      <c r="Z149" s="12">
        <f t="shared" ref="Z149:Z154" si="75">G149*0.01*13</f>
        <v>113.75</v>
      </c>
      <c r="AA149" s="12">
        <f t="shared" ref="AA149:AA154" si="76">Z149/13</f>
        <v>8.75</v>
      </c>
      <c r="AB149" s="38"/>
      <c r="AC149" s="38"/>
      <c r="AD149" s="38"/>
      <c r="AE149" s="38"/>
      <c r="AF149" s="37"/>
      <c r="AG149" s="38"/>
      <c r="AH149" s="37"/>
      <c r="AI149" s="12"/>
      <c r="AJ149" s="38"/>
      <c r="AK149" s="38"/>
      <c r="AL149" s="38"/>
      <c r="AM149" s="12"/>
      <c r="AN149" s="12"/>
      <c r="AO149" s="12"/>
      <c r="AP149" s="38"/>
      <c r="AQ149" s="37"/>
    </row>
    <row r="150" spans="1:43">
      <c r="A150" s="21">
        <f t="shared" ref="A150:A156" si="77">A149+1</f>
        <v>104</v>
      </c>
      <c r="B150" s="27" t="s">
        <v>307</v>
      </c>
      <c r="C150" s="51" t="s">
        <v>308</v>
      </c>
      <c r="D150" s="82" t="s">
        <v>305</v>
      </c>
      <c r="E150" s="83" t="s">
        <v>79</v>
      </c>
      <c r="F150" s="84" t="s">
        <v>306</v>
      </c>
      <c r="G150" s="26">
        <f>650+30+50</f>
        <v>730</v>
      </c>
      <c r="H150" s="32">
        <f t="shared" si="70"/>
        <v>8760</v>
      </c>
      <c r="I150" s="32">
        <v>60</v>
      </c>
      <c r="J150" s="36"/>
      <c r="K150" s="32">
        <f>G150</f>
        <v>730</v>
      </c>
      <c r="L150" s="32">
        <v>300</v>
      </c>
      <c r="M150" s="37"/>
      <c r="N150" s="24">
        <v>125</v>
      </c>
      <c r="O150" s="24"/>
      <c r="P150" s="12">
        <f>G150*0.0775*13</f>
        <v>735.47500000000002</v>
      </c>
      <c r="Q150" s="40"/>
      <c r="R150" s="12">
        <f>P150/13</f>
        <v>56.575000000000003</v>
      </c>
      <c r="S150" s="12"/>
      <c r="T150" s="12"/>
      <c r="U150" s="12">
        <f>G150*0.075*13</f>
        <v>711.75</v>
      </c>
      <c r="V150" s="12">
        <f>U150/13</f>
        <v>54.75</v>
      </c>
      <c r="W150" s="12"/>
      <c r="X150" s="12"/>
      <c r="Y150" s="12">
        <f t="shared" si="74"/>
        <v>1447.2249999999999</v>
      </c>
      <c r="Z150" s="12">
        <f>G150*0.01*13</f>
        <v>94.899999999999991</v>
      </c>
      <c r="AA150" s="12">
        <f>Z150/13</f>
        <v>7.2999999999999989</v>
      </c>
      <c r="AB150" s="38"/>
      <c r="AC150" s="38"/>
      <c r="AD150" s="38"/>
      <c r="AE150" s="38"/>
      <c r="AF150" s="37"/>
      <c r="AG150" s="38"/>
      <c r="AH150" s="37"/>
      <c r="AI150" s="12"/>
      <c r="AJ150" s="38"/>
      <c r="AK150" s="38"/>
      <c r="AL150" s="38"/>
      <c r="AM150" s="12"/>
      <c r="AN150" s="12"/>
      <c r="AO150" s="12"/>
      <c r="AP150" s="38"/>
      <c r="AQ150" s="37"/>
    </row>
    <row r="151" spans="1:43">
      <c r="A151" s="21">
        <f t="shared" si="77"/>
        <v>105</v>
      </c>
      <c r="B151" s="27" t="s">
        <v>309</v>
      </c>
      <c r="C151" s="25" t="s">
        <v>310</v>
      </c>
      <c r="D151" s="82" t="s">
        <v>305</v>
      </c>
      <c r="E151" s="83" t="s">
        <v>79</v>
      </c>
      <c r="F151" s="84" t="s">
        <v>306</v>
      </c>
      <c r="G151" s="26">
        <f>570+30+50</f>
        <v>650</v>
      </c>
      <c r="H151" s="32">
        <f t="shared" si="70"/>
        <v>7800</v>
      </c>
      <c r="I151" s="32">
        <v>60</v>
      </c>
      <c r="J151" s="36"/>
      <c r="K151" s="32">
        <f>G151</f>
        <v>650</v>
      </c>
      <c r="L151" s="32">
        <v>300</v>
      </c>
      <c r="M151" s="37"/>
      <c r="N151" s="24">
        <v>125</v>
      </c>
      <c r="O151" s="24"/>
      <c r="P151" s="12">
        <f>G151*0.0775*13</f>
        <v>654.875</v>
      </c>
      <c r="Q151" s="40"/>
      <c r="R151" s="12">
        <f>P151/13</f>
        <v>50.375</v>
      </c>
      <c r="S151" s="12"/>
      <c r="T151" s="12"/>
      <c r="U151" s="12">
        <f>G151*0.075*13</f>
        <v>633.75</v>
      </c>
      <c r="V151" s="12">
        <f>U151/13</f>
        <v>48.75</v>
      </c>
      <c r="W151" s="12"/>
      <c r="X151" s="12"/>
      <c r="Y151" s="12">
        <f t="shared" si="74"/>
        <v>1288.625</v>
      </c>
      <c r="Z151" s="12">
        <f>G151*0.01*13</f>
        <v>84.5</v>
      </c>
      <c r="AA151" s="12">
        <f>Z151/13</f>
        <v>6.5</v>
      </c>
      <c r="AB151" s="38"/>
      <c r="AC151" s="38"/>
      <c r="AD151" s="38"/>
      <c r="AE151" s="38"/>
      <c r="AF151" s="37"/>
      <c r="AG151" s="38"/>
      <c r="AH151" s="37"/>
      <c r="AI151" s="12"/>
      <c r="AJ151" s="38"/>
      <c r="AK151" s="38"/>
      <c r="AL151" s="38"/>
      <c r="AM151" s="12"/>
      <c r="AN151" s="12"/>
      <c r="AO151" s="12"/>
      <c r="AP151" s="38"/>
      <c r="AQ151" s="37"/>
    </row>
    <row r="152" spans="1:43">
      <c r="A152" s="21">
        <f t="shared" si="77"/>
        <v>106</v>
      </c>
      <c r="B152" s="27" t="s">
        <v>311</v>
      </c>
      <c r="C152" s="56" t="s">
        <v>312</v>
      </c>
      <c r="D152" s="82" t="s">
        <v>305</v>
      </c>
      <c r="E152" s="83" t="s">
        <v>79</v>
      </c>
      <c r="F152" s="84" t="s">
        <v>306</v>
      </c>
      <c r="G152" s="26">
        <f>567+30+50</f>
        <v>647</v>
      </c>
      <c r="H152" s="32">
        <f t="shared" si="70"/>
        <v>7764</v>
      </c>
      <c r="I152" s="32">
        <v>60</v>
      </c>
      <c r="J152" s="36"/>
      <c r="K152" s="32">
        <f t="shared" si="71"/>
        <v>647</v>
      </c>
      <c r="L152" s="32">
        <v>300</v>
      </c>
      <c r="M152" s="37"/>
      <c r="N152" s="24">
        <v>125</v>
      </c>
      <c r="O152" s="24"/>
      <c r="P152" s="12"/>
      <c r="Q152" s="12"/>
      <c r="R152" s="12"/>
      <c r="S152" s="37"/>
      <c r="T152" s="37"/>
      <c r="U152" s="12">
        <f t="shared" si="72"/>
        <v>630.82499999999993</v>
      </c>
      <c r="V152" s="12">
        <f t="shared" si="73"/>
        <v>48.524999999999991</v>
      </c>
      <c r="W152" s="12">
        <f>G152*0.06*13</f>
        <v>504.66</v>
      </c>
      <c r="X152" s="12">
        <v>34.020000000000003</v>
      </c>
      <c r="Y152" s="12">
        <f t="shared" si="74"/>
        <v>1135.4849999999999</v>
      </c>
      <c r="Z152" s="12">
        <f t="shared" si="75"/>
        <v>84.11</v>
      </c>
      <c r="AA152" s="12">
        <f t="shared" si="76"/>
        <v>6.47</v>
      </c>
      <c r="AB152" s="38"/>
      <c r="AC152" s="38"/>
      <c r="AD152" s="38"/>
      <c r="AE152" s="38"/>
      <c r="AF152" s="37"/>
      <c r="AG152" s="38"/>
      <c r="AH152" s="37"/>
      <c r="AI152" s="12"/>
      <c r="AJ152" s="38"/>
      <c r="AK152" s="38"/>
      <c r="AL152" s="38"/>
      <c r="AM152" s="12"/>
      <c r="AN152" s="12"/>
      <c r="AO152" s="12"/>
      <c r="AP152" s="38"/>
      <c r="AQ152" s="37"/>
    </row>
    <row r="153" spans="1:43">
      <c r="A153" s="21">
        <f t="shared" si="77"/>
        <v>107</v>
      </c>
      <c r="B153" s="27" t="s">
        <v>313</v>
      </c>
      <c r="C153" s="56" t="s">
        <v>312</v>
      </c>
      <c r="D153" s="82" t="s">
        <v>305</v>
      </c>
      <c r="E153" s="83" t="s">
        <v>79</v>
      </c>
      <c r="F153" s="84" t="s">
        <v>306</v>
      </c>
      <c r="G153" s="26">
        <v>677</v>
      </c>
      <c r="H153" s="32">
        <f t="shared" si="70"/>
        <v>8124</v>
      </c>
      <c r="I153" s="32">
        <v>60</v>
      </c>
      <c r="J153" s="36"/>
      <c r="K153" s="32">
        <f>G153</f>
        <v>677</v>
      </c>
      <c r="L153" s="32">
        <v>300</v>
      </c>
      <c r="M153" s="12"/>
      <c r="N153" s="24">
        <v>125</v>
      </c>
      <c r="O153" s="24"/>
      <c r="P153" s="12">
        <f>G153*0.0775*13</f>
        <v>682.07749999999999</v>
      </c>
      <c r="Q153" s="9"/>
      <c r="R153" s="12">
        <f>P153/13</f>
        <v>52.467500000000001</v>
      </c>
      <c r="S153" s="37"/>
      <c r="T153" s="37"/>
      <c r="U153" s="12">
        <f>G153*0.075*13</f>
        <v>660.07499999999993</v>
      </c>
      <c r="V153" s="12">
        <f>U153/13</f>
        <v>50.774999999999991</v>
      </c>
      <c r="W153" s="37"/>
      <c r="X153" s="37"/>
      <c r="Y153" s="12">
        <f t="shared" si="74"/>
        <v>1342.1524999999999</v>
      </c>
      <c r="Z153" s="12">
        <f>G153*0.01*13</f>
        <v>88.01</v>
      </c>
      <c r="AA153" s="12">
        <f>Z153/13</f>
        <v>6.7700000000000005</v>
      </c>
      <c r="AB153" s="38"/>
      <c r="AC153" s="38"/>
      <c r="AD153" s="38"/>
      <c r="AE153" s="38"/>
      <c r="AF153" s="37"/>
      <c r="AG153" s="38"/>
      <c r="AH153" s="37"/>
      <c r="AI153" s="12"/>
      <c r="AJ153" s="38"/>
      <c r="AK153" s="38"/>
      <c r="AL153" s="38"/>
      <c r="AM153" s="12"/>
      <c r="AN153" s="12"/>
      <c r="AO153" s="12"/>
      <c r="AP153" s="38"/>
      <c r="AQ153" s="37"/>
    </row>
    <row r="154" spans="1:43">
      <c r="A154" s="21">
        <f t="shared" si="77"/>
        <v>108</v>
      </c>
      <c r="B154" s="27" t="s">
        <v>314</v>
      </c>
      <c r="C154" s="56" t="s">
        <v>315</v>
      </c>
      <c r="D154" s="82" t="s">
        <v>305</v>
      </c>
      <c r="E154" s="83" t="s">
        <v>79</v>
      </c>
      <c r="F154" s="84" t="s">
        <v>306</v>
      </c>
      <c r="G154" s="26">
        <f>467+30+50</f>
        <v>547</v>
      </c>
      <c r="H154" s="32">
        <f t="shared" si="70"/>
        <v>6564</v>
      </c>
      <c r="I154" s="32">
        <v>60</v>
      </c>
      <c r="J154" s="36"/>
      <c r="K154" s="32">
        <f t="shared" si="71"/>
        <v>547</v>
      </c>
      <c r="L154" s="32">
        <v>300</v>
      </c>
      <c r="M154" s="37"/>
      <c r="N154" s="24">
        <v>125</v>
      </c>
      <c r="O154" s="24"/>
      <c r="P154" s="12">
        <f>G154*0.0775*13</f>
        <v>551.10249999999996</v>
      </c>
      <c r="Q154" s="40"/>
      <c r="R154" s="12">
        <f>P154/13</f>
        <v>42.392499999999998</v>
      </c>
      <c r="S154" s="37"/>
      <c r="T154" s="37"/>
      <c r="U154" s="12">
        <f t="shared" si="72"/>
        <v>533.32499999999993</v>
      </c>
      <c r="V154" s="12">
        <f t="shared" si="73"/>
        <v>41.024999999999991</v>
      </c>
      <c r="W154" s="37"/>
      <c r="X154" s="37"/>
      <c r="Y154" s="12">
        <f t="shared" si="74"/>
        <v>1084.4274999999998</v>
      </c>
      <c r="Z154" s="12">
        <f t="shared" si="75"/>
        <v>71.11</v>
      </c>
      <c r="AA154" s="12">
        <f t="shared" si="76"/>
        <v>5.47</v>
      </c>
      <c r="AB154" s="38"/>
      <c r="AC154" s="38"/>
      <c r="AD154" s="38"/>
      <c r="AE154" s="38"/>
      <c r="AF154" s="37"/>
      <c r="AG154" s="38"/>
      <c r="AH154" s="37"/>
      <c r="AI154" s="12"/>
      <c r="AJ154" s="38"/>
      <c r="AK154" s="38"/>
      <c r="AL154" s="38"/>
      <c r="AM154" s="12"/>
      <c r="AN154" s="12"/>
      <c r="AO154" s="12"/>
      <c r="AP154" s="38"/>
      <c r="AQ154" s="37"/>
    </row>
    <row r="155" spans="1:43">
      <c r="A155" s="21">
        <f t="shared" si="77"/>
        <v>109</v>
      </c>
      <c r="B155" s="27" t="s">
        <v>316</v>
      </c>
      <c r="C155" s="56" t="s">
        <v>317</v>
      </c>
      <c r="D155" s="82" t="s">
        <v>305</v>
      </c>
      <c r="E155" s="83" t="s">
        <v>79</v>
      </c>
      <c r="F155" s="84" t="s">
        <v>306</v>
      </c>
      <c r="G155" s="26">
        <f>417+30+50</f>
        <v>497</v>
      </c>
      <c r="H155" s="32">
        <f t="shared" si="70"/>
        <v>5964</v>
      </c>
      <c r="I155" s="32">
        <v>60</v>
      </c>
      <c r="J155" s="36"/>
      <c r="K155" s="32">
        <f>G155</f>
        <v>497</v>
      </c>
      <c r="L155" s="32">
        <v>300</v>
      </c>
      <c r="M155" s="37"/>
      <c r="N155" s="24">
        <v>125</v>
      </c>
      <c r="O155" s="24"/>
      <c r="P155" s="12">
        <f>G155*0.0775*13+0.01</f>
        <v>500.73749999999995</v>
      </c>
      <c r="Q155" s="9">
        <f>P155/13</f>
        <v>38.518269230769228</v>
      </c>
      <c r="R155" s="12"/>
      <c r="S155" s="37"/>
      <c r="T155" s="37"/>
      <c r="U155" s="12">
        <f>G155*0.075*13</f>
        <v>484.57499999999999</v>
      </c>
      <c r="V155" s="12">
        <f>U155/13</f>
        <v>37.274999999999999</v>
      </c>
      <c r="W155" s="37"/>
      <c r="X155" s="37"/>
      <c r="Y155" s="12">
        <f>P155+S155+U155+W155+0.01</f>
        <v>985.32249999999999</v>
      </c>
      <c r="Z155" s="12">
        <f>G155*0.01*13</f>
        <v>64.61</v>
      </c>
      <c r="AA155" s="12">
        <f>Z155/13</f>
        <v>4.97</v>
      </c>
      <c r="AB155" s="38"/>
      <c r="AC155" s="38"/>
      <c r="AD155" s="38"/>
      <c r="AE155" s="38"/>
      <c r="AF155" s="37"/>
      <c r="AG155" s="38"/>
      <c r="AH155" s="37"/>
      <c r="AI155" s="12"/>
      <c r="AJ155" s="38"/>
      <c r="AK155" s="38"/>
      <c r="AL155" s="38"/>
      <c r="AM155" s="12"/>
      <c r="AN155" s="12"/>
      <c r="AO155" s="12"/>
      <c r="AP155" s="38"/>
      <c r="AQ155" s="37"/>
    </row>
    <row r="156" spans="1:43">
      <c r="A156" s="21">
        <f t="shared" si="77"/>
        <v>110</v>
      </c>
      <c r="B156" s="57" t="s">
        <v>318</v>
      </c>
      <c r="C156" s="51" t="s">
        <v>319</v>
      </c>
      <c r="D156" s="82" t="s">
        <v>305</v>
      </c>
      <c r="E156" s="83" t="s">
        <v>79</v>
      </c>
      <c r="F156" s="84" t="s">
        <v>306</v>
      </c>
      <c r="G156" s="26">
        <v>417</v>
      </c>
      <c r="H156" s="32">
        <f t="shared" si="70"/>
        <v>5004</v>
      </c>
      <c r="I156" s="32">
        <v>60</v>
      </c>
      <c r="J156" s="36"/>
      <c r="K156" s="32">
        <f>G156</f>
        <v>417</v>
      </c>
      <c r="L156" s="32">
        <v>300</v>
      </c>
      <c r="M156" s="37"/>
      <c r="N156" s="24">
        <v>125</v>
      </c>
      <c r="O156" s="24"/>
      <c r="P156" s="12">
        <f>G156*0.0775*13+0.01</f>
        <v>420.13750000000005</v>
      </c>
      <c r="Q156" s="9">
        <f>P156/13</f>
        <v>32.318269230769232</v>
      </c>
      <c r="R156" s="12"/>
      <c r="S156" s="37"/>
      <c r="T156" s="37"/>
      <c r="U156" s="12">
        <f>G156*0.075*13</f>
        <v>406.57499999999999</v>
      </c>
      <c r="V156" s="12">
        <f>U156/13</f>
        <v>31.274999999999999</v>
      </c>
      <c r="W156" s="37"/>
      <c r="X156" s="37"/>
      <c r="Y156" s="12">
        <f>P156+S156+U156+W156+0.01</f>
        <v>826.72250000000008</v>
      </c>
      <c r="Z156" s="12">
        <f>G156*0.01*13</f>
        <v>54.21</v>
      </c>
      <c r="AA156" s="12">
        <f>Z156/13</f>
        <v>4.17</v>
      </c>
      <c r="AB156" s="38"/>
      <c r="AC156" s="38"/>
      <c r="AD156" s="38"/>
      <c r="AE156" s="38"/>
      <c r="AF156" s="37"/>
      <c r="AG156" s="38"/>
      <c r="AH156" s="37"/>
      <c r="AI156" s="12"/>
      <c r="AJ156" s="38"/>
      <c r="AK156" s="38"/>
      <c r="AL156" s="38"/>
      <c r="AM156" s="12"/>
      <c r="AN156" s="12"/>
      <c r="AO156" s="12"/>
      <c r="AP156" s="38"/>
      <c r="AQ156" s="37"/>
    </row>
    <row r="157" spans="1:43">
      <c r="A157" s="21">
        <f>A156+1</f>
        <v>111</v>
      </c>
      <c r="B157" s="57" t="s">
        <v>320</v>
      </c>
      <c r="C157" s="51" t="s">
        <v>319</v>
      </c>
      <c r="D157" s="82" t="s">
        <v>305</v>
      </c>
      <c r="E157" s="83" t="s">
        <v>79</v>
      </c>
      <c r="F157" s="84" t="s">
        <v>306</v>
      </c>
      <c r="G157" s="26">
        <v>417</v>
      </c>
      <c r="H157" s="32">
        <f>G157*12</f>
        <v>5004</v>
      </c>
      <c r="I157" s="32">
        <v>60</v>
      </c>
      <c r="J157" s="32"/>
      <c r="K157" s="32">
        <f>G157</f>
        <v>417</v>
      </c>
      <c r="L157" s="32">
        <v>300</v>
      </c>
      <c r="M157" s="12"/>
      <c r="N157" s="24">
        <v>125</v>
      </c>
      <c r="O157" s="24"/>
      <c r="P157" s="12">
        <f>G157*0.0775*13</f>
        <v>420.12750000000005</v>
      </c>
      <c r="Q157" s="40"/>
      <c r="R157" s="12">
        <f>P157/13</f>
        <v>32.317500000000003</v>
      </c>
      <c r="S157" s="12"/>
      <c r="T157" s="12"/>
      <c r="U157" s="12">
        <f>G157*0.075*13</f>
        <v>406.57499999999999</v>
      </c>
      <c r="V157" s="12">
        <f>U157/13</f>
        <v>31.274999999999999</v>
      </c>
      <c r="W157" s="12"/>
      <c r="X157" s="12"/>
      <c r="Y157" s="12">
        <f>P157+S157+U157+W157</f>
        <v>826.7025000000001</v>
      </c>
      <c r="Z157" s="12">
        <f>G157*0.01*13</f>
        <v>54.21</v>
      </c>
      <c r="AA157" s="12">
        <f>Z157/13</f>
        <v>4.17</v>
      </c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</row>
    <row r="158" spans="1:43">
      <c r="A158" s="49"/>
      <c r="B158" s="15"/>
      <c r="C158" s="85" t="s">
        <v>321</v>
      </c>
      <c r="D158" s="89"/>
      <c r="E158" s="83"/>
      <c r="F158" s="84"/>
      <c r="G158" s="86">
        <f>SUM(G149:G157)</f>
        <v>5457</v>
      </c>
      <c r="H158" s="30">
        <f>SUM(H149:H157)</f>
        <v>65484</v>
      </c>
      <c r="I158" s="30">
        <f>SUM(I149:I157)</f>
        <v>540</v>
      </c>
      <c r="J158" s="30"/>
      <c r="K158" s="30">
        <f>SUM(K149:K157)</f>
        <v>5457</v>
      </c>
      <c r="L158" s="30">
        <f>SUM(L149:L157)</f>
        <v>2700</v>
      </c>
      <c r="M158" s="20"/>
      <c r="N158" s="20">
        <f>SUM(N149:N157)</f>
        <v>1125</v>
      </c>
      <c r="O158" s="31"/>
      <c r="P158" s="20">
        <f>SUM(P149:P157)</f>
        <v>4846.0949999999993</v>
      </c>
      <c r="Q158" s="20">
        <f>SUM(Q149:Q157)</f>
        <v>138.64903846153845</v>
      </c>
      <c r="R158" s="20">
        <f>SUM(R149:R157)</f>
        <v>234.1275</v>
      </c>
      <c r="S158" s="20">
        <f>SUM(S149:S156)</f>
        <v>0</v>
      </c>
      <c r="T158" s="20">
        <f>SUM(T149:T156)</f>
        <v>0</v>
      </c>
      <c r="U158" s="20">
        <f>SUM(U149:U157)+0.03</f>
        <v>5320.6049999999987</v>
      </c>
      <c r="V158" s="20">
        <f>SUM(V149:V157)+0.03</f>
        <v>409.30499999999984</v>
      </c>
      <c r="W158" s="20">
        <f>SUM(W149:W157)</f>
        <v>504.66</v>
      </c>
      <c r="X158" s="20">
        <f>SUM(X149:X157)</f>
        <v>34.020000000000003</v>
      </c>
      <c r="Y158" s="20">
        <f>SUM(Y149:Y157)+0.02</f>
        <v>10671.369999999999</v>
      </c>
      <c r="Z158" s="20">
        <f>SUM(Z149:Z157)</f>
        <v>709.41000000000008</v>
      </c>
      <c r="AA158" s="20">
        <f>SUM(AA149:AA157)</f>
        <v>54.57</v>
      </c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</row>
    <row r="159" spans="1:43" ht="20.399999999999999">
      <c r="A159" s="21">
        <f>A157+1</f>
        <v>112</v>
      </c>
      <c r="B159" s="27" t="s">
        <v>322</v>
      </c>
      <c r="C159" s="105" t="s">
        <v>323</v>
      </c>
      <c r="D159" s="106" t="s">
        <v>324</v>
      </c>
      <c r="E159" s="83" t="s">
        <v>79</v>
      </c>
      <c r="F159" s="84" t="s">
        <v>306</v>
      </c>
      <c r="G159" s="26">
        <f>1219.86+30+50</f>
        <v>1299.8599999999999</v>
      </c>
      <c r="H159" s="32">
        <f t="shared" ref="H159:H168" si="78">G159*12</f>
        <v>15598.32</v>
      </c>
      <c r="I159" s="32">
        <v>60</v>
      </c>
      <c r="J159" s="36"/>
      <c r="K159" s="32">
        <f t="shared" ref="K159:K168" si="79">G159</f>
        <v>1299.8599999999999</v>
      </c>
      <c r="L159" s="32">
        <v>300</v>
      </c>
      <c r="M159" s="37"/>
      <c r="N159" s="24">
        <v>125</v>
      </c>
      <c r="O159" s="24"/>
      <c r="P159" s="12">
        <f>G159*0.0775*13</f>
        <v>1309.6089499999998</v>
      </c>
      <c r="Q159" s="9">
        <f>P159/13</f>
        <v>100.73914999999998</v>
      </c>
      <c r="R159" s="12"/>
      <c r="S159" s="37"/>
      <c r="T159" s="37"/>
      <c r="U159" s="12">
        <f>75*13</f>
        <v>975</v>
      </c>
      <c r="V159" s="12">
        <f t="shared" ref="V159:V168" si="80">U159/13</f>
        <v>75</v>
      </c>
      <c r="W159" s="37"/>
      <c r="X159" s="37"/>
      <c r="Y159" s="12">
        <f t="shared" ref="Y159:Y165" si="81">P159+S159+U159+W159</f>
        <v>2284.6089499999998</v>
      </c>
      <c r="Z159" s="12">
        <f>10*13</f>
        <v>130</v>
      </c>
      <c r="AA159" s="12">
        <f t="shared" ref="AA159:AA168" si="82">Z159/13</f>
        <v>10</v>
      </c>
      <c r="AB159" s="12"/>
      <c r="AC159" s="12"/>
      <c r="AD159" s="12"/>
      <c r="AE159" s="38"/>
      <c r="AF159" s="37"/>
      <c r="AG159" s="38"/>
      <c r="AH159" s="37"/>
      <c r="AI159" s="12"/>
      <c r="AJ159" s="12"/>
      <c r="AK159" s="12"/>
      <c r="AL159" s="12"/>
      <c r="AM159" s="12"/>
      <c r="AN159" s="12"/>
      <c r="AO159" s="12"/>
      <c r="AP159" s="12"/>
      <c r="AQ159" s="37"/>
    </row>
    <row r="160" spans="1:43" ht="20.399999999999999">
      <c r="A160" s="21">
        <f t="shared" ref="A160:A168" si="83">A159+1</f>
        <v>113</v>
      </c>
      <c r="B160" s="42" t="s">
        <v>325</v>
      </c>
      <c r="C160" s="56" t="s">
        <v>326</v>
      </c>
      <c r="D160" s="106" t="s">
        <v>324</v>
      </c>
      <c r="E160" s="83" t="s">
        <v>79</v>
      </c>
      <c r="F160" s="84" t="s">
        <v>306</v>
      </c>
      <c r="G160" s="26">
        <v>1000</v>
      </c>
      <c r="H160" s="32">
        <f>G160*12</f>
        <v>12000</v>
      </c>
      <c r="I160" s="32">
        <v>60</v>
      </c>
      <c r="J160" s="36"/>
      <c r="K160" s="32">
        <f>G160</f>
        <v>1000</v>
      </c>
      <c r="L160" s="32">
        <v>300</v>
      </c>
      <c r="M160" s="37"/>
      <c r="N160" s="24">
        <v>125</v>
      </c>
      <c r="O160" s="24"/>
      <c r="P160" s="12">
        <f>G160*0.0775*13</f>
        <v>1007.5</v>
      </c>
      <c r="Q160" s="40"/>
      <c r="R160" s="12">
        <f>P160/13</f>
        <v>77.5</v>
      </c>
      <c r="S160" s="37"/>
      <c r="T160" s="37"/>
      <c r="U160" s="12">
        <f>G160*0.075*13</f>
        <v>975</v>
      </c>
      <c r="V160" s="12">
        <f>U160/13</f>
        <v>75</v>
      </c>
      <c r="W160" s="37"/>
      <c r="X160" s="37"/>
      <c r="Y160" s="12">
        <f t="shared" si="81"/>
        <v>1982.5</v>
      </c>
      <c r="Z160" s="12">
        <f>G160*0.01*13</f>
        <v>130</v>
      </c>
      <c r="AA160" s="12">
        <f>Z160/13</f>
        <v>10</v>
      </c>
      <c r="AB160" s="38"/>
      <c r="AC160" s="38"/>
      <c r="AD160" s="38"/>
      <c r="AE160" s="38"/>
      <c r="AF160" s="37"/>
      <c r="AG160" s="38"/>
      <c r="AH160" s="37"/>
      <c r="AI160" s="12"/>
      <c r="AJ160" s="38"/>
      <c r="AK160" s="38"/>
      <c r="AL160" s="38"/>
      <c r="AM160" s="12"/>
      <c r="AN160" s="12"/>
      <c r="AO160" s="12"/>
      <c r="AP160" s="38"/>
      <c r="AQ160" s="37"/>
    </row>
    <row r="161" spans="1:43" ht="20.399999999999999">
      <c r="A161" s="21">
        <f t="shared" si="83"/>
        <v>114</v>
      </c>
      <c r="B161" s="27" t="s">
        <v>327</v>
      </c>
      <c r="C161" s="107" t="s">
        <v>328</v>
      </c>
      <c r="D161" s="106" t="s">
        <v>324</v>
      </c>
      <c r="E161" s="83" t="s">
        <v>79</v>
      </c>
      <c r="F161" s="84" t="s">
        <v>306</v>
      </c>
      <c r="G161" s="26">
        <f>612+30+50</f>
        <v>692</v>
      </c>
      <c r="H161" s="32">
        <f t="shared" si="78"/>
        <v>8304</v>
      </c>
      <c r="I161" s="32">
        <v>60</v>
      </c>
      <c r="J161" s="36"/>
      <c r="K161" s="32">
        <f t="shared" si="79"/>
        <v>692</v>
      </c>
      <c r="L161" s="32">
        <v>300</v>
      </c>
      <c r="M161" s="37"/>
      <c r="N161" s="24">
        <v>125</v>
      </c>
      <c r="O161" s="24"/>
      <c r="P161" s="12">
        <f>G161*0.0775*13</f>
        <v>697.19</v>
      </c>
      <c r="Q161" s="9">
        <f>P161/13</f>
        <v>53.63</v>
      </c>
      <c r="R161" s="12"/>
      <c r="S161" s="37"/>
      <c r="T161" s="37"/>
      <c r="U161" s="12">
        <f t="shared" ref="U161:U168" si="84">G161*0.075*13</f>
        <v>674.69999999999993</v>
      </c>
      <c r="V161" s="12">
        <f t="shared" si="80"/>
        <v>51.899999999999991</v>
      </c>
      <c r="W161" s="37"/>
      <c r="X161" s="37"/>
      <c r="Y161" s="12">
        <f t="shared" si="81"/>
        <v>1371.8899999999999</v>
      </c>
      <c r="Z161" s="12">
        <f t="shared" ref="Z161:Z168" si="85">G161*0.01*13</f>
        <v>89.96</v>
      </c>
      <c r="AA161" s="12">
        <f t="shared" si="82"/>
        <v>6.92</v>
      </c>
      <c r="AB161" s="38"/>
      <c r="AC161" s="38"/>
      <c r="AD161" s="38"/>
      <c r="AE161" s="38"/>
      <c r="AF161" s="37"/>
      <c r="AG161" s="38"/>
      <c r="AH161" s="37"/>
      <c r="AI161" s="12"/>
      <c r="AJ161" s="38"/>
      <c r="AK161" s="38"/>
      <c r="AL161" s="38"/>
      <c r="AM161" s="12"/>
      <c r="AN161" s="12"/>
      <c r="AO161" s="12"/>
      <c r="AP161" s="38"/>
      <c r="AQ161" s="37"/>
    </row>
    <row r="162" spans="1:43" ht="20.399999999999999">
      <c r="A162" s="21">
        <f t="shared" si="83"/>
        <v>115</v>
      </c>
      <c r="B162" s="27" t="s">
        <v>329</v>
      </c>
      <c r="C162" s="56" t="s">
        <v>135</v>
      </c>
      <c r="D162" s="106" t="s">
        <v>324</v>
      </c>
      <c r="E162" s="83" t="s">
        <v>79</v>
      </c>
      <c r="F162" s="84" t="s">
        <v>306</v>
      </c>
      <c r="G162" s="26">
        <f>617.72+30+50</f>
        <v>697.72</v>
      </c>
      <c r="H162" s="32">
        <f t="shared" si="78"/>
        <v>8372.64</v>
      </c>
      <c r="I162" s="32">
        <v>60</v>
      </c>
      <c r="J162" s="36"/>
      <c r="K162" s="32">
        <f t="shared" si="79"/>
        <v>697.72</v>
      </c>
      <c r="L162" s="32">
        <v>300</v>
      </c>
      <c r="M162" s="37"/>
      <c r="N162" s="24">
        <v>125</v>
      </c>
      <c r="O162" s="24"/>
      <c r="P162" s="12"/>
      <c r="Q162" s="12"/>
      <c r="R162" s="12"/>
      <c r="S162" s="37"/>
      <c r="T162" s="37"/>
      <c r="U162" s="12">
        <f t="shared" si="84"/>
        <v>680.27700000000004</v>
      </c>
      <c r="V162" s="12">
        <f t="shared" si="80"/>
        <v>52.329000000000001</v>
      </c>
      <c r="W162" s="12">
        <f>G162*0.06*13</f>
        <v>544.22159999999997</v>
      </c>
      <c r="X162" s="12">
        <f>W162/12</f>
        <v>45.351799999999997</v>
      </c>
      <c r="Y162" s="12">
        <f t="shared" si="81"/>
        <v>1224.4985999999999</v>
      </c>
      <c r="Z162" s="12">
        <f t="shared" si="85"/>
        <v>90.703600000000009</v>
      </c>
      <c r="AA162" s="12">
        <f t="shared" si="82"/>
        <v>6.9772000000000007</v>
      </c>
      <c r="AB162" s="38"/>
      <c r="AC162" s="38"/>
      <c r="AD162" s="38"/>
      <c r="AE162" s="38"/>
      <c r="AF162" s="37"/>
      <c r="AG162" s="38"/>
      <c r="AH162" s="38"/>
      <c r="AI162" s="12"/>
      <c r="AJ162" s="38"/>
      <c r="AK162" s="38"/>
      <c r="AL162" s="38"/>
      <c r="AM162" s="12"/>
      <c r="AN162" s="12"/>
      <c r="AO162" s="12"/>
      <c r="AP162" s="38"/>
      <c r="AQ162" s="37"/>
    </row>
    <row r="163" spans="1:43" ht="20.399999999999999">
      <c r="A163" s="21">
        <f t="shared" si="83"/>
        <v>116</v>
      </c>
      <c r="B163" s="27" t="s">
        <v>330</v>
      </c>
      <c r="C163" s="56" t="s">
        <v>137</v>
      </c>
      <c r="D163" s="106" t="s">
        <v>324</v>
      </c>
      <c r="E163" s="83" t="s">
        <v>79</v>
      </c>
      <c r="F163" s="84" t="s">
        <v>306</v>
      </c>
      <c r="G163" s="26">
        <f>605+30+50</f>
        <v>685</v>
      </c>
      <c r="H163" s="32">
        <f>G163*12</f>
        <v>8220</v>
      </c>
      <c r="I163" s="32">
        <v>60</v>
      </c>
      <c r="J163" s="36"/>
      <c r="K163" s="32">
        <f>G163</f>
        <v>685</v>
      </c>
      <c r="L163" s="32">
        <v>300</v>
      </c>
      <c r="M163" s="12"/>
      <c r="N163" s="24">
        <v>125</v>
      </c>
      <c r="O163" s="24"/>
      <c r="P163" s="12"/>
      <c r="Q163" s="12"/>
      <c r="R163" s="12"/>
      <c r="S163" s="37"/>
      <c r="T163" s="37"/>
      <c r="U163" s="12">
        <f t="shared" si="84"/>
        <v>667.875</v>
      </c>
      <c r="V163" s="12">
        <f>U163/13</f>
        <v>51.375</v>
      </c>
      <c r="W163" s="12">
        <f>G163*0.06*13</f>
        <v>534.30000000000007</v>
      </c>
      <c r="X163" s="12">
        <f>W163/12</f>
        <v>44.525000000000006</v>
      </c>
      <c r="Y163" s="12">
        <f t="shared" si="81"/>
        <v>1202.1750000000002</v>
      </c>
      <c r="Z163" s="12">
        <f t="shared" si="85"/>
        <v>89.050000000000011</v>
      </c>
      <c r="AA163" s="12">
        <f>Z163/13</f>
        <v>6.8500000000000005</v>
      </c>
      <c r="AB163" s="38"/>
      <c r="AC163" s="38"/>
      <c r="AD163" s="38"/>
      <c r="AE163" s="38"/>
      <c r="AF163" s="37"/>
      <c r="AG163" s="38"/>
      <c r="AH163" s="37"/>
      <c r="AI163" s="12"/>
      <c r="AJ163" s="38"/>
      <c r="AK163" s="38"/>
      <c r="AL163" s="38"/>
      <c r="AM163" s="12"/>
      <c r="AN163" s="12"/>
      <c r="AO163" s="12"/>
      <c r="AP163" s="38"/>
      <c r="AQ163" s="37"/>
    </row>
    <row r="164" spans="1:43" ht="20.399999999999999">
      <c r="A164" s="21">
        <f t="shared" si="83"/>
        <v>117</v>
      </c>
      <c r="B164" s="125"/>
      <c r="C164" s="56" t="s">
        <v>331</v>
      </c>
      <c r="D164" s="106" t="s">
        <v>324</v>
      </c>
      <c r="E164" s="83" t="s">
        <v>79</v>
      </c>
      <c r="F164" s="84" t="s">
        <v>306</v>
      </c>
      <c r="G164" s="26">
        <v>700</v>
      </c>
      <c r="H164" s="32">
        <f t="shared" si="78"/>
        <v>8400</v>
      </c>
      <c r="I164" s="32">
        <v>60</v>
      </c>
      <c r="J164" s="36"/>
      <c r="K164" s="32">
        <f t="shared" si="79"/>
        <v>700</v>
      </c>
      <c r="L164" s="32">
        <v>300</v>
      </c>
      <c r="M164" s="37"/>
      <c r="N164" s="24">
        <v>125</v>
      </c>
      <c r="O164" s="24"/>
      <c r="P164" s="12">
        <f>G164*0.0775*13</f>
        <v>705.25</v>
      </c>
      <c r="Q164" s="40"/>
      <c r="R164" s="12">
        <f>P164/13</f>
        <v>54.25</v>
      </c>
      <c r="S164" s="37"/>
      <c r="T164" s="37"/>
      <c r="U164" s="12">
        <f t="shared" si="84"/>
        <v>682.5</v>
      </c>
      <c r="V164" s="12">
        <f t="shared" si="80"/>
        <v>52.5</v>
      </c>
      <c r="W164" s="37"/>
      <c r="X164" s="37"/>
      <c r="Y164" s="12">
        <f t="shared" si="81"/>
        <v>1387.75</v>
      </c>
      <c r="Z164" s="12">
        <f t="shared" si="85"/>
        <v>91</v>
      </c>
      <c r="AA164" s="12">
        <f t="shared" si="82"/>
        <v>7</v>
      </c>
      <c r="AB164" s="38"/>
      <c r="AC164" s="38"/>
      <c r="AD164" s="38"/>
      <c r="AE164" s="38"/>
      <c r="AF164" s="37"/>
      <c r="AG164" s="38"/>
      <c r="AH164" s="37"/>
      <c r="AI164" s="12"/>
      <c r="AJ164" s="38"/>
      <c r="AK164" s="38"/>
      <c r="AL164" s="38"/>
      <c r="AM164" s="12"/>
      <c r="AN164" s="12"/>
      <c r="AO164" s="12"/>
      <c r="AP164" s="38"/>
      <c r="AQ164" s="37"/>
    </row>
    <row r="165" spans="1:43" ht="20.399999999999999">
      <c r="A165" s="21">
        <f t="shared" si="83"/>
        <v>118</v>
      </c>
      <c r="B165" s="27" t="s">
        <v>332</v>
      </c>
      <c r="C165" s="56" t="s">
        <v>333</v>
      </c>
      <c r="D165" s="106" t="s">
        <v>324</v>
      </c>
      <c r="E165" s="83" t="s">
        <v>79</v>
      </c>
      <c r="F165" s="84" t="s">
        <v>306</v>
      </c>
      <c r="G165" s="26">
        <f>587+30+50</f>
        <v>667</v>
      </c>
      <c r="H165" s="32">
        <f t="shared" si="78"/>
        <v>8004</v>
      </c>
      <c r="I165" s="32">
        <v>60</v>
      </c>
      <c r="J165" s="36"/>
      <c r="K165" s="32">
        <f t="shared" si="79"/>
        <v>667</v>
      </c>
      <c r="L165" s="32">
        <v>300</v>
      </c>
      <c r="M165" s="37"/>
      <c r="N165" s="24">
        <v>125</v>
      </c>
      <c r="O165" s="24"/>
      <c r="P165" s="12">
        <f>G165*0.0775*13</f>
        <v>672.00250000000005</v>
      </c>
      <c r="Q165" s="40"/>
      <c r="R165" s="12">
        <f>P165/13</f>
        <v>51.692500000000003</v>
      </c>
      <c r="S165" s="37"/>
      <c r="T165" s="37"/>
      <c r="U165" s="12">
        <f t="shared" si="84"/>
        <v>650.32499999999993</v>
      </c>
      <c r="V165" s="12">
        <f t="shared" si="80"/>
        <v>50.024999999999991</v>
      </c>
      <c r="W165" s="37"/>
      <c r="X165" s="37"/>
      <c r="Y165" s="12">
        <f t="shared" si="81"/>
        <v>1322.3274999999999</v>
      </c>
      <c r="Z165" s="12">
        <f t="shared" si="85"/>
        <v>86.71</v>
      </c>
      <c r="AA165" s="12">
        <f t="shared" si="82"/>
        <v>6.67</v>
      </c>
      <c r="AB165" s="38"/>
      <c r="AC165" s="38"/>
      <c r="AD165" s="38"/>
      <c r="AE165" s="38"/>
      <c r="AF165" s="37"/>
      <c r="AG165" s="38"/>
      <c r="AH165" s="37"/>
      <c r="AI165" s="12"/>
      <c r="AJ165" s="38"/>
      <c r="AK165" s="38"/>
      <c r="AL165" s="38"/>
      <c r="AM165" s="12"/>
      <c r="AN165" s="12"/>
      <c r="AO165" s="12"/>
      <c r="AP165" s="38"/>
      <c r="AQ165" s="37"/>
    </row>
    <row r="166" spans="1:43" ht="20.399999999999999">
      <c r="A166" s="21">
        <f t="shared" si="83"/>
        <v>119</v>
      </c>
      <c r="B166" s="27" t="s">
        <v>334</v>
      </c>
      <c r="C166" s="107" t="s">
        <v>335</v>
      </c>
      <c r="D166" s="106" t="s">
        <v>324</v>
      </c>
      <c r="E166" s="83" t="s">
        <v>79</v>
      </c>
      <c r="F166" s="84" t="s">
        <v>306</v>
      </c>
      <c r="G166" s="26">
        <f>567+30+50</f>
        <v>647</v>
      </c>
      <c r="H166" s="32">
        <f t="shared" si="78"/>
        <v>7764</v>
      </c>
      <c r="I166" s="32">
        <v>60</v>
      </c>
      <c r="J166" s="36"/>
      <c r="K166" s="32">
        <f t="shared" si="79"/>
        <v>647</v>
      </c>
      <c r="L166" s="32">
        <v>300</v>
      </c>
      <c r="M166" s="37"/>
      <c r="N166" s="24">
        <v>125</v>
      </c>
      <c r="O166" s="24"/>
      <c r="P166" s="12"/>
      <c r="Q166" s="12"/>
      <c r="R166" s="12"/>
      <c r="S166" s="12">
        <f>G166*0.075*13</f>
        <v>630.82499999999993</v>
      </c>
      <c r="T166" s="12">
        <f>S166/12</f>
        <v>52.568749999999994</v>
      </c>
      <c r="U166" s="12">
        <f t="shared" si="84"/>
        <v>630.82499999999993</v>
      </c>
      <c r="V166" s="12">
        <f t="shared" si="80"/>
        <v>48.524999999999991</v>
      </c>
      <c r="W166" s="37"/>
      <c r="X166" s="37"/>
      <c r="Y166" s="12">
        <f>P166+S166+U166+W166+0.01</f>
        <v>1261.6599999999999</v>
      </c>
      <c r="Z166" s="12">
        <f t="shared" si="85"/>
        <v>84.11</v>
      </c>
      <c r="AA166" s="12">
        <f t="shared" si="82"/>
        <v>6.47</v>
      </c>
      <c r="AB166" s="38"/>
      <c r="AC166" s="38"/>
      <c r="AD166" s="38"/>
      <c r="AE166" s="38"/>
      <c r="AF166" s="37"/>
      <c r="AG166" s="38"/>
      <c r="AH166" s="37"/>
      <c r="AI166" s="12"/>
      <c r="AJ166" s="38"/>
      <c r="AK166" s="38"/>
      <c r="AL166" s="38"/>
      <c r="AM166" s="12"/>
      <c r="AN166" s="12"/>
      <c r="AO166" s="12"/>
      <c r="AP166" s="38"/>
      <c r="AQ166" s="37"/>
    </row>
    <row r="167" spans="1:43" ht="20.399999999999999">
      <c r="A167" s="21">
        <f t="shared" si="83"/>
        <v>120</v>
      </c>
      <c r="B167" s="103" t="s">
        <v>336</v>
      </c>
      <c r="C167" s="107" t="s">
        <v>335</v>
      </c>
      <c r="D167" s="106" t="s">
        <v>324</v>
      </c>
      <c r="E167" s="83" t="s">
        <v>79</v>
      </c>
      <c r="F167" s="84" t="s">
        <v>306</v>
      </c>
      <c r="G167" s="26">
        <v>417</v>
      </c>
      <c r="H167" s="32">
        <f t="shared" si="78"/>
        <v>5004</v>
      </c>
      <c r="I167" s="32">
        <v>60</v>
      </c>
      <c r="J167" s="32"/>
      <c r="K167" s="32">
        <f t="shared" si="79"/>
        <v>417</v>
      </c>
      <c r="L167" s="32">
        <v>300</v>
      </c>
      <c r="M167" s="12"/>
      <c r="N167" s="24">
        <v>125</v>
      </c>
      <c r="O167" s="24"/>
      <c r="P167" s="12">
        <f>G167*0.0775*13</f>
        <v>420.12750000000005</v>
      </c>
      <c r="Q167" s="9">
        <f>P167/13</f>
        <v>32.317500000000003</v>
      </c>
      <c r="R167" s="12"/>
      <c r="S167" s="12"/>
      <c r="T167" s="12"/>
      <c r="U167" s="12">
        <f t="shared" si="84"/>
        <v>406.57499999999999</v>
      </c>
      <c r="V167" s="12">
        <f t="shared" si="80"/>
        <v>31.274999999999999</v>
      </c>
      <c r="W167" s="12"/>
      <c r="X167" s="12"/>
      <c r="Y167" s="12">
        <f>P167+S167+U167+W167+0.01</f>
        <v>826.71250000000009</v>
      </c>
      <c r="Z167" s="12">
        <f t="shared" si="85"/>
        <v>54.21</v>
      </c>
      <c r="AA167" s="12">
        <f t="shared" si="82"/>
        <v>4.17</v>
      </c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</row>
    <row r="168" spans="1:43" ht="20.399999999999999">
      <c r="A168" s="21">
        <f t="shared" si="83"/>
        <v>121</v>
      </c>
      <c r="B168" s="124"/>
      <c r="C168" s="107" t="s">
        <v>335</v>
      </c>
      <c r="D168" s="106" t="s">
        <v>324</v>
      </c>
      <c r="E168" s="83" t="s">
        <v>79</v>
      </c>
      <c r="F168" s="84" t="s">
        <v>306</v>
      </c>
      <c r="G168" s="26">
        <f>570+30+50</f>
        <v>650</v>
      </c>
      <c r="H168" s="32">
        <f t="shared" si="78"/>
        <v>7800</v>
      </c>
      <c r="I168" s="32">
        <v>60</v>
      </c>
      <c r="J168" s="32"/>
      <c r="K168" s="32">
        <f t="shared" si="79"/>
        <v>650</v>
      </c>
      <c r="L168" s="32">
        <v>300</v>
      </c>
      <c r="M168" s="12"/>
      <c r="N168" s="24">
        <v>125</v>
      </c>
      <c r="O168" s="24"/>
      <c r="P168" s="12">
        <f>G168*0.0775*13</f>
        <v>654.875</v>
      </c>
      <c r="Q168" s="9">
        <f>P168/13</f>
        <v>50.375</v>
      </c>
      <c r="R168" s="12"/>
      <c r="S168" s="12"/>
      <c r="T168" s="12"/>
      <c r="U168" s="12">
        <f t="shared" si="84"/>
        <v>633.75</v>
      </c>
      <c r="V168" s="12">
        <f t="shared" si="80"/>
        <v>48.75</v>
      </c>
      <c r="W168" s="12"/>
      <c r="X168" s="12"/>
      <c r="Y168" s="12">
        <f>P168+S168+U168+W168</f>
        <v>1288.625</v>
      </c>
      <c r="Z168" s="12">
        <f t="shared" si="85"/>
        <v>84.5</v>
      </c>
      <c r="AA168" s="12">
        <f t="shared" si="82"/>
        <v>6.5</v>
      </c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</row>
    <row r="169" spans="1:43">
      <c r="A169" s="49"/>
      <c r="B169" s="15"/>
      <c r="C169" s="85" t="s">
        <v>337</v>
      </c>
      <c r="D169" s="99"/>
      <c r="E169" s="83"/>
      <c r="F169" s="84"/>
      <c r="G169" s="86">
        <f>SUM(G159:G168)</f>
        <v>7455.58</v>
      </c>
      <c r="H169" s="30">
        <f>SUM(H159:H168)</f>
        <v>89466.959999999992</v>
      </c>
      <c r="I169" s="30">
        <f>SUM(I159:I168)</f>
        <v>600</v>
      </c>
      <c r="J169" s="30">
        <f>SUM(J160:J168)</f>
        <v>0</v>
      </c>
      <c r="K169" s="30">
        <f>SUM(K159:K168)</f>
        <v>7455.58</v>
      </c>
      <c r="L169" s="30">
        <f>SUM(L159:L168)</f>
        <v>3000</v>
      </c>
      <c r="M169" s="20">
        <f>SUM(M160:M168)</f>
        <v>0</v>
      </c>
      <c r="N169" s="20">
        <f>SUM(N159:N168)</f>
        <v>1250</v>
      </c>
      <c r="O169" s="20">
        <f>SUM(O160:O168)</f>
        <v>0</v>
      </c>
      <c r="P169" s="20">
        <f>SUM(P159:P168)+0.01</f>
        <v>5466.5639499999997</v>
      </c>
      <c r="Q169" s="20">
        <f>SUM(Q159:Q168)+0.01</f>
        <v>237.07164999999998</v>
      </c>
      <c r="R169" s="20">
        <f>SUM(R159:R168)</f>
        <v>183.4425</v>
      </c>
      <c r="S169" s="20">
        <f>SUM(S159:S168)</f>
        <v>630.82499999999993</v>
      </c>
      <c r="T169" s="20">
        <f>SUM(T159:T168)</f>
        <v>52.568749999999994</v>
      </c>
      <c r="U169" s="20">
        <f>SUM(U159:U168)+0.02</f>
        <v>6976.8469999999998</v>
      </c>
      <c r="V169" s="20">
        <f>SUM(V159:V168)+0.02</f>
        <v>536.69899999999984</v>
      </c>
      <c r="W169" s="20">
        <f>SUM(W159:W168)</f>
        <v>1078.5216</v>
      </c>
      <c r="X169" s="20">
        <f>SUM(X159:X168)</f>
        <v>89.876800000000003</v>
      </c>
      <c r="Y169" s="20">
        <f>SUM(Y159:Y168)+0.02</f>
        <v>14152.767549999999</v>
      </c>
      <c r="Z169" s="20">
        <f>SUM(Z159:Z168)</f>
        <v>930.24360000000013</v>
      </c>
      <c r="AA169" s="20">
        <f>SUM(AA159:AA168)</f>
        <v>71.557200000000009</v>
      </c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</row>
    <row r="170" spans="1:43">
      <c r="A170" s="21">
        <f>A168+1</f>
        <v>122</v>
      </c>
      <c r="B170" s="57" t="s">
        <v>338</v>
      </c>
      <c r="C170" s="56" t="s">
        <v>339</v>
      </c>
      <c r="D170" s="82" t="s">
        <v>340</v>
      </c>
      <c r="E170" s="83" t="s">
        <v>79</v>
      </c>
      <c r="F170" s="84" t="s">
        <v>306</v>
      </c>
      <c r="G170" s="26">
        <v>1000</v>
      </c>
      <c r="H170" s="32">
        <f>G170*12</f>
        <v>12000</v>
      </c>
      <c r="I170" s="32">
        <v>60</v>
      </c>
      <c r="J170" s="36"/>
      <c r="K170" s="32">
        <f>G170</f>
        <v>1000</v>
      </c>
      <c r="L170" s="32">
        <v>300</v>
      </c>
      <c r="M170" s="37"/>
      <c r="N170" s="24">
        <v>125</v>
      </c>
      <c r="O170" s="24"/>
      <c r="P170" s="12">
        <f>G170*0.0775*13</f>
        <v>1007.5</v>
      </c>
      <c r="Q170" s="40"/>
      <c r="R170" s="12">
        <f>P170/13</f>
        <v>77.5</v>
      </c>
      <c r="S170" s="12"/>
      <c r="T170" s="12"/>
      <c r="U170" s="12">
        <f>G170*0.075*13</f>
        <v>975</v>
      </c>
      <c r="V170" s="12">
        <f>U170/13</f>
        <v>75</v>
      </c>
      <c r="W170" s="12"/>
      <c r="X170" s="12"/>
      <c r="Y170" s="12">
        <f>P170+S170+U170+W170</f>
        <v>1982.5</v>
      </c>
      <c r="Z170" s="12">
        <f>G170*0.01*13</f>
        <v>130</v>
      </c>
      <c r="AA170" s="12">
        <f>Z170/13</f>
        <v>10</v>
      </c>
      <c r="AB170" s="38"/>
      <c r="AC170" s="38"/>
      <c r="AD170" s="38"/>
      <c r="AE170" s="38"/>
      <c r="AF170" s="37"/>
      <c r="AG170" s="38"/>
      <c r="AH170" s="37"/>
      <c r="AI170" s="12"/>
      <c r="AJ170" s="38"/>
      <c r="AK170" s="38"/>
      <c r="AL170" s="38"/>
      <c r="AM170" s="12"/>
      <c r="AN170" s="12"/>
      <c r="AO170" s="12"/>
      <c r="AP170" s="38"/>
      <c r="AQ170" s="37"/>
    </row>
    <row r="171" spans="1:43">
      <c r="A171" s="55">
        <f>A170+1</f>
        <v>123</v>
      </c>
      <c r="B171" s="27" t="s">
        <v>341</v>
      </c>
      <c r="C171" s="56" t="s">
        <v>342</v>
      </c>
      <c r="D171" s="82" t="s">
        <v>340</v>
      </c>
      <c r="E171" s="83" t="s">
        <v>79</v>
      </c>
      <c r="F171" s="84" t="s">
        <v>306</v>
      </c>
      <c r="G171" s="26">
        <f>845+30+50</f>
        <v>925</v>
      </c>
      <c r="H171" s="32">
        <f>G171*12</f>
        <v>11100</v>
      </c>
      <c r="I171" s="32">
        <v>60</v>
      </c>
      <c r="J171" s="36"/>
      <c r="K171" s="32">
        <f>G171</f>
        <v>925</v>
      </c>
      <c r="L171" s="32">
        <v>300</v>
      </c>
      <c r="M171" s="37"/>
      <c r="N171" s="24">
        <v>125</v>
      </c>
      <c r="O171" s="24"/>
      <c r="P171" s="12">
        <f>G171*0.0775*13</f>
        <v>931.9375</v>
      </c>
      <c r="Q171" s="40"/>
      <c r="R171" s="12">
        <f>P171/13</f>
        <v>71.6875</v>
      </c>
      <c r="S171" s="12"/>
      <c r="T171" s="12"/>
      <c r="U171" s="12">
        <f>G171*0.075*13</f>
        <v>901.875</v>
      </c>
      <c r="V171" s="12">
        <f>U171/13</f>
        <v>69.375</v>
      </c>
      <c r="W171" s="12"/>
      <c r="X171" s="12"/>
      <c r="Y171" s="12">
        <f>P171+S171+U171+W171+0.01</f>
        <v>1833.8225</v>
      </c>
      <c r="Z171" s="12">
        <f>G171*0.01*13</f>
        <v>120.25</v>
      </c>
      <c r="AA171" s="12">
        <f>Z171/13</f>
        <v>9.25</v>
      </c>
      <c r="AB171" s="38"/>
      <c r="AC171" s="38"/>
      <c r="AD171" s="38"/>
      <c r="AE171" s="38"/>
      <c r="AF171" s="37"/>
      <c r="AG171" s="38"/>
      <c r="AH171" s="37"/>
      <c r="AI171" s="12"/>
      <c r="AJ171" s="38"/>
      <c r="AK171" s="38"/>
      <c r="AL171" s="38"/>
      <c r="AM171" s="12"/>
      <c r="AN171" s="12"/>
      <c r="AO171" s="12"/>
      <c r="AP171" s="38"/>
      <c r="AQ171" s="37"/>
    </row>
    <row r="172" spans="1:43">
      <c r="A172" s="55">
        <f>A171+1</f>
        <v>124</v>
      </c>
      <c r="B172" s="27" t="s">
        <v>343</v>
      </c>
      <c r="C172" s="51" t="s">
        <v>344</v>
      </c>
      <c r="D172" s="82" t="s">
        <v>340</v>
      </c>
      <c r="E172" s="83" t="s">
        <v>79</v>
      </c>
      <c r="F172" s="84" t="s">
        <v>306</v>
      </c>
      <c r="G172" s="26">
        <v>497</v>
      </c>
      <c r="H172" s="32">
        <f>G172*12</f>
        <v>5964</v>
      </c>
      <c r="I172" s="32">
        <v>60</v>
      </c>
      <c r="J172" s="36"/>
      <c r="K172" s="32">
        <f>G172</f>
        <v>497</v>
      </c>
      <c r="L172" s="32">
        <v>300</v>
      </c>
      <c r="M172" s="37"/>
      <c r="N172" s="24">
        <v>125</v>
      </c>
      <c r="O172" s="24"/>
      <c r="P172" s="12">
        <f>G172*0.0775*13</f>
        <v>500.72749999999996</v>
      </c>
      <c r="Q172" s="12"/>
      <c r="R172" s="12">
        <f>P172/13</f>
        <v>38.517499999999998</v>
      </c>
      <c r="S172" s="12"/>
      <c r="T172" s="12"/>
      <c r="U172" s="12">
        <f>G172*0.075*13</f>
        <v>484.57499999999999</v>
      </c>
      <c r="V172" s="12">
        <f>U172/13</f>
        <v>37.274999999999999</v>
      </c>
      <c r="W172" s="12"/>
      <c r="X172" s="12"/>
      <c r="Y172" s="12">
        <f>P172+S172+U172+W172+0.01</f>
        <v>985.3125</v>
      </c>
      <c r="Z172" s="12">
        <f>G172*0.01*13</f>
        <v>64.61</v>
      </c>
      <c r="AA172" s="12">
        <f>Z172/13</f>
        <v>4.97</v>
      </c>
      <c r="AB172" s="38"/>
      <c r="AC172" s="38"/>
      <c r="AD172" s="38"/>
      <c r="AE172" s="38"/>
      <c r="AF172" s="37"/>
      <c r="AG172" s="38"/>
      <c r="AH172" s="37"/>
      <c r="AI172" s="12"/>
      <c r="AJ172" s="38"/>
      <c r="AK172" s="38"/>
      <c r="AL172" s="38"/>
      <c r="AM172" s="12"/>
      <c r="AN172" s="12"/>
      <c r="AO172" s="12"/>
      <c r="AP172" s="38"/>
      <c r="AQ172" s="37"/>
    </row>
    <row r="173" spans="1:43">
      <c r="A173" s="55">
        <f>A172+1</f>
        <v>125</v>
      </c>
      <c r="B173" s="27" t="s">
        <v>345</v>
      </c>
      <c r="C173" s="51" t="s">
        <v>344</v>
      </c>
      <c r="D173" s="82" t="s">
        <v>340</v>
      </c>
      <c r="E173" s="83" t="s">
        <v>79</v>
      </c>
      <c r="F173" s="84" t="s">
        <v>306</v>
      </c>
      <c r="G173" s="26">
        <f>417+50</f>
        <v>467</v>
      </c>
      <c r="H173" s="32">
        <f>G173*12</f>
        <v>5604</v>
      </c>
      <c r="I173" s="32">
        <v>60</v>
      </c>
      <c r="J173" s="36"/>
      <c r="K173" s="32">
        <f>G173</f>
        <v>467</v>
      </c>
      <c r="L173" s="32">
        <v>300</v>
      </c>
      <c r="M173" s="37"/>
      <c r="N173" s="24">
        <v>125</v>
      </c>
      <c r="O173" s="24"/>
      <c r="P173" s="12">
        <f>G173*0.0775*13</f>
        <v>470.50250000000005</v>
      </c>
      <c r="Q173" s="12"/>
      <c r="R173" s="12">
        <f>P173/13</f>
        <v>36.192500000000003</v>
      </c>
      <c r="S173" s="12"/>
      <c r="T173" s="12"/>
      <c r="U173" s="12">
        <f>G173*0.075*13</f>
        <v>455.32499999999999</v>
      </c>
      <c r="V173" s="12">
        <f>U173/13</f>
        <v>35.024999999999999</v>
      </c>
      <c r="W173" s="12"/>
      <c r="X173" s="12"/>
      <c r="Y173" s="12">
        <f>P173+S173+U173+W173</f>
        <v>925.8275000000001</v>
      </c>
      <c r="Z173" s="12">
        <f>G173*0.01*13</f>
        <v>60.71</v>
      </c>
      <c r="AA173" s="12">
        <f>Z173/13</f>
        <v>4.67</v>
      </c>
      <c r="AB173" s="38"/>
      <c r="AC173" s="38"/>
      <c r="AD173" s="38"/>
      <c r="AE173" s="38"/>
      <c r="AF173" s="37"/>
      <c r="AG173" s="38"/>
      <c r="AH173" s="37"/>
      <c r="AI173" s="12"/>
      <c r="AJ173" s="38"/>
      <c r="AK173" s="38"/>
      <c r="AL173" s="38"/>
      <c r="AM173" s="12"/>
      <c r="AN173" s="12"/>
      <c r="AO173" s="12"/>
      <c r="AP173" s="38"/>
      <c r="AQ173" s="37"/>
    </row>
    <row r="174" spans="1:43">
      <c r="A174" s="21"/>
      <c r="B174" s="57"/>
      <c r="C174" s="85" t="s">
        <v>346</v>
      </c>
      <c r="D174" s="82"/>
      <c r="E174" s="83"/>
      <c r="F174" s="84"/>
      <c r="G174" s="86">
        <f t="shared" ref="G174:T174" si="86">SUM(G170:G173)</f>
        <v>2889</v>
      </c>
      <c r="H174" s="30">
        <f t="shared" si="86"/>
        <v>34668</v>
      </c>
      <c r="I174" s="30">
        <f t="shared" si="86"/>
        <v>240</v>
      </c>
      <c r="J174" s="30">
        <f t="shared" si="86"/>
        <v>0</v>
      </c>
      <c r="K174" s="30">
        <f t="shared" si="86"/>
        <v>2889</v>
      </c>
      <c r="L174" s="30">
        <f t="shared" si="86"/>
        <v>1200</v>
      </c>
      <c r="M174" s="20">
        <f t="shared" si="86"/>
        <v>0</v>
      </c>
      <c r="N174" s="20">
        <f t="shared" si="86"/>
        <v>500</v>
      </c>
      <c r="O174" s="20">
        <f t="shared" si="86"/>
        <v>0</v>
      </c>
      <c r="P174" s="20">
        <f t="shared" si="86"/>
        <v>2910.6675</v>
      </c>
      <c r="Q174" s="20">
        <f t="shared" si="86"/>
        <v>0</v>
      </c>
      <c r="R174" s="20">
        <f t="shared" si="86"/>
        <v>223.89749999999998</v>
      </c>
      <c r="S174" s="20">
        <f t="shared" si="86"/>
        <v>0</v>
      </c>
      <c r="T174" s="20">
        <f t="shared" si="86"/>
        <v>0</v>
      </c>
      <c r="U174" s="20">
        <f>SUM(U170:U173)+0.01</f>
        <v>2816.7849999999999</v>
      </c>
      <c r="V174" s="20">
        <f>SUM(V170:V173)+0.01</f>
        <v>216.685</v>
      </c>
      <c r="W174" s="20">
        <f>SUM(W170:W173)</f>
        <v>0</v>
      </c>
      <c r="X174" s="20">
        <f>SUM(X170:X173)</f>
        <v>0</v>
      </c>
      <c r="Y174" s="20">
        <f>SUM(Y170:Y173)</f>
        <v>5727.4625000000005</v>
      </c>
      <c r="Z174" s="20">
        <f>SUM(Z170:Z173)</f>
        <v>375.57</v>
      </c>
      <c r="AA174" s="20">
        <f>SUM(AA170:AA173)</f>
        <v>28.89</v>
      </c>
      <c r="AB174" s="38"/>
      <c r="AC174" s="38"/>
      <c r="AD174" s="38"/>
      <c r="AE174" s="38"/>
      <c r="AF174" s="37"/>
      <c r="AG174" s="38"/>
      <c r="AH174" s="37"/>
      <c r="AI174" s="12"/>
      <c r="AJ174" s="38"/>
      <c r="AK174" s="38"/>
      <c r="AL174" s="38"/>
      <c r="AM174" s="12"/>
      <c r="AN174" s="12"/>
      <c r="AO174" s="12"/>
      <c r="AP174" s="38"/>
      <c r="AQ174" s="37"/>
    </row>
    <row r="175" spans="1:43">
      <c r="A175" s="21"/>
      <c r="B175" s="15"/>
      <c r="C175" s="237" t="s">
        <v>347</v>
      </c>
      <c r="D175" s="238"/>
      <c r="E175" s="102"/>
      <c r="F175" s="100"/>
      <c r="G175" s="86">
        <f t="shared" ref="G175:O175" si="87">SUM(G169,G158,G174)</f>
        <v>15801.58</v>
      </c>
      <c r="H175" s="30">
        <f t="shared" si="87"/>
        <v>189618.96</v>
      </c>
      <c r="I175" s="30">
        <f t="shared" si="87"/>
        <v>1380</v>
      </c>
      <c r="J175" s="30">
        <f t="shared" si="87"/>
        <v>0</v>
      </c>
      <c r="K175" s="30">
        <f t="shared" si="87"/>
        <v>15801.58</v>
      </c>
      <c r="L175" s="30">
        <f t="shared" si="87"/>
        <v>6900</v>
      </c>
      <c r="M175" s="20">
        <f t="shared" si="87"/>
        <v>0</v>
      </c>
      <c r="N175" s="20">
        <f t="shared" si="87"/>
        <v>2875</v>
      </c>
      <c r="O175" s="20">
        <f t="shared" si="87"/>
        <v>0</v>
      </c>
      <c r="P175" s="20">
        <f>SUM(P169,P158,P174)+0.01</f>
        <v>13223.336449999999</v>
      </c>
      <c r="Q175" s="20">
        <f>SUM(Q169,Q158,Q174)</f>
        <v>375.72068846153843</v>
      </c>
      <c r="R175" s="20">
        <f>SUM(R169,R158,R174)+0.01</f>
        <v>641.47749999999996</v>
      </c>
      <c r="S175" s="20">
        <f t="shared" ref="S175:AA175" si="88">SUM(S169,S158,S174)</f>
        <v>630.82499999999993</v>
      </c>
      <c r="T175" s="20">
        <f t="shared" si="88"/>
        <v>52.568749999999994</v>
      </c>
      <c r="U175" s="20">
        <f>SUM(U169,U158,U174)+0.01</f>
        <v>15114.246999999998</v>
      </c>
      <c r="V175" s="20">
        <f t="shared" si="88"/>
        <v>1162.6889999999996</v>
      </c>
      <c r="W175" s="20">
        <f t="shared" si="88"/>
        <v>1583.1816000000001</v>
      </c>
      <c r="X175" s="20">
        <f t="shared" si="88"/>
        <v>123.89680000000001</v>
      </c>
      <c r="Y175" s="20">
        <f>SUM(Y169,Y158,Y174)-0.01</f>
        <v>30551.590050000003</v>
      </c>
      <c r="Z175" s="20">
        <f t="shared" si="88"/>
        <v>2015.2236</v>
      </c>
      <c r="AA175" s="20">
        <f t="shared" si="88"/>
        <v>155.0172</v>
      </c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</row>
    <row r="176" spans="1:43">
      <c r="A176" s="55">
        <f>A173+1</f>
        <v>126</v>
      </c>
      <c r="B176" s="57" t="s">
        <v>348</v>
      </c>
      <c r="C176" s="51" t="s">
        <v>349</v>
      </c>
      <c r="D176" s="99" t="s">
        <v>350</v>
      </c>
      <c r="E176" s="83" t="s">
        <v>79</v>
      </c>
      <c r="F176" s="84" t="s">
        <v>351</v>
      </c>
      <c r="G176" s="26">
        <v>750</v>
      </c>
      <c r="H176" s="32">
        <f>G176*12</f>
        <v>9000</v>
      </c>
      <c r="I176" s="32">
        <v>60</v>
      </c>
      <c r="J176" s="36"/>
      <c r="K176" s="32">
        <f>G176</f>
        <v>750</v>
      </c>
      <c r="L176" s="32">
        <v>300</v>
      </c>
      <c r="M176" s="37"/>
      <c r="N176" s="24">
        <v>125</v>
      </c>
      <c r="O176" s="24"/>
      <c r="P176" s="12">
        <f>G176*0.0775*13</f>
        <v>755.625</v>
      </c>
      <c r="Q176" s="9"/>
      <c r="R176" s="12">
        <f>P176/13</f>
        <v>58.125</v>
      </c>
      <c r="S176" s="12"/>
      <c r="T176" s="12"/>
      <c r="U176" s="12">
        <f>G176*0.075*13</f>
        <v>731.25</v>
      </c>
      <c r="V176" s="12">
        <f>U176/13</f>
        <v>56.25</v>
      </c>
      <c r="W176" s="12"/>
      <c r="X176" s="12"/>
      <c r="Y176" s="12">
        <f>P176+S176+U176+W176</f>
        <v>1486.875</v>
      </c>
      <c r="Z176" s="12">
        <f>G176*0.01*13</f>
        <v>97.5</v>
      </c>
      <c r="AA176" s="12">
        <f>Z176/13</f>
        <v>7.5</v>
      </c>
      <c r="AB176" s="38"/>
      <c r="AC176" s="38"/>
      <c r="AD176" s="38"/>
      <c r="AE176" s="38"/>
      <c r="AF176" s="37"/>
      <c r="AG176" s="38"/>
      <c r="AH176" s="37"/>
      <c r="AI176" s="12"/>
      <c r="AJ176" s="38"/>
      <c r="AK176" s="38"/>
      <c r="AL176" s="38"/>
      <c r="AM176" s="12"/>
      <c r="AN176" s="12"/>
      <c r="AO176" s="12"/>
      <c r="AP176" s="38"/>
      <c r="AQ176" s="37"/>
    </row>
    <row r="177" spans="1:43">
      <c r="A177" s="49"/>
      <c r="B177" s="15"/>
      <c r="C177" s="85" t="s">
        <v>352</v>
      </c>
      <c r="D177" s="99"/>
      <c r="E177" s="83"/>
      <c r="F177" s="84"/>
      <c r="G177" s="86">
        <f>SUM(G176)</f>
        <v>750</v>
      </c>
      <c r="H177" s="30">
        <f t="shared" ref="H177:AA177" si="89">SUM(H176)</f>
        <v>9000</v>
      </c>
      <c r="I177" s="30">
        <f t="shared" si="89"/>
        <v>60</v>
      </c>
      <c r="J177" s="30">
        <f t="shared" si="89"/>
        <v>0</v>
      </c>
      <c r="K177" s="30">
        <f t="shared" si="89"/>
        <v>750</v>
      </c>
      <c r="L177" s="30">
        <f t="shared" si="89"/>
        <v>300</v>
      </c>
      <c r="M177" s="20">
        <f t="shared" si="89"/>
        <v>0</v>
      </c>
      <c r="N177" s="20">
        <f t="shared" si="89"/>
        <v>125</v>
      </c>
      <c r="O177" s="20">
        <f t="shared" si="89"/>
        <v>0</v>
      </c>
      <c r="P177" s="20">
        <f t="shared" si="89"/>
        <v>755.625</v>
      </c>
      <c r="Q177" s="20">
        <f t="shared" si="89"/>
        <v>0</v>
      </c>
      <c r="R177" s="20">
        <f t="shared" si="89"/>
        <v>58.125</v>
      </c>
      <c r="S177" s="20">
        <f>SUM(S176)</f>
        <v>0</v>
      </c>
      <c r="T177" s="20">
        <f>SUM(T176)</f>
        <v>0</v>
      </c>
      <c r="U177" s="20">
        <f t="shared" si="89"/>
        <v>731.25</v>
      </c>
      <c r="V177" s="20">
        <f t="shared" si="89"/>
        <v>56.25</v>
      </c>
      <c r="W177" s="20">
        <f t="shared" si="89"/>
        <v>0</v>
      </c>
      <c r="X177" s="20">
        <f t="shared" si="89"/>
        <v>0</v>
      </c>
      <c r="Y177" s="20">
        <f t="shared" si="89"/>
        <v>1486.875</v>
      </c>
      <c r="Z177" s="20">
        <f t="shared" si="89"/>
        <v>97.5</v>
      </c>
      <c r="AA177" s="20">
        <f t="shared" si="89"/>
        <v>7.5</v>
      </c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</row>
    <row r="178" spans="1:43">
      <c r="A178" s="55">
        <f>A176+1</f>
        <v>127</v>
      </c>
      <c r="B178" s="109" t="s">
        <v>353</v>
      </c>
      <c r="C178" s="25" t="s">
        <v>354</v>
      </c>
      <c r="D178" s="82" t="s">
        <v>355</v>
      </c>
      <c r="E178" s="83" t="s">
        <v>79</v>
      </c>
      <c r="F178" s="84" t="s">
        <v>351</v>
      </c>
      <c r="G178" s="26">
        <f>650+247</f>
        <v>897</v>
      </c>
      <c r="H178" s="32">
        <f t="shared" ref="H178:H196" si="90">G178*12</f>
        <v>10764</v>
      </c>
      <c r="I178" s="32">
        <v>60</v>
      </c>
      <c r="J178" s="32"/>
      <c r="K178" s="32">
        <f t="shared" ref="K178:K196" si="91">G178</f>
        <v>897</v>
      </c>
      <c r="L178" s="32">
        <v>300</v>
      </c>
      <c r="M178" s="12"/>
      <c r="N178" s="24">
        <v>125</v>
      </c>
      <c r="O178" s="24"/>
      <c r="P178" s="12">
        <f>G178*0.0775*13</f>
        <v>903.72749999999996</v>
      </c>
      <c r="Q178" s="9"/>
      <c r="R178" s="12">
        <f>P178/13</f>
        <v>69.517499999999998</v>
      </c>
      <c r="S178" s="12"/>
      <c r="T178" s="12"/>
      <c r="U178" s="12">
        <f t="shared" ref="U178:U196" si="92">G178*0.075*13</f>
        <v>874.57499999999993</v>
      </c>
      <c r="V178" s="12">
        <f>U178/13</f>
        <v>67.274999999999991</v>
      </c>
      <c r="W178" s="12"/>
      <c r="X178" s="12"/>
      <c r="Y178" s="12">
        <f>P178+S178+U178+W178+0.01</f>
        <v>1778.3124999999998</v>
      </c>
      <c r="Z178" s="12">
        <f t="shared" ref="Z178:Z196" si="93">G178*0.01*13</f>
        <v>116.61000000000001</v>
      </c>
      <c r="AA178" s="12">
        <f>Z178/13</f>
        <v>8.9700000000000006</v>
      </c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</row>
    <row r="179" spans="1:43">
      <c r="A179" s="21">
        <f>A178+1</f>
        <v>128</v>
      </c>
      <c r="B179" s="27" t="s">
        <v>356</v>
      </c>
      <c r="C179" s="25" t="s">
        <v>342</v>
      </c>
      <c r="D179" s="82" t="s">
        <v>355</v>
      </c>
      <c r="E179" s="83" t="s">
        <v>79</v>
      </c>
      <c r="F179" s="84" t="s">
        <v>351</v>
      </c>
      <c r="G179" s="26">
        <f>650+247</f>
        <v>897</v>
      </c>
      <c r="H179" s="32">
        <f t="shared" si="90"/>
        <v>10764</v>
      </c>
      <c r="I179" s="32">
        <v>60</v>
      </c>
      <c r="J179" s="32"/>
      <c r="K179" s="32">
        <f t="shared" si="91"/>
        <v>897</v>
      </c>
      <c r="L179" s="32">
        <v>300</v>
      </c>
      <c r="M179" s="12"/>
      <c r="N179" s="24">
        <v>125</v>
      </c>
      <c r="O179" s="24"/>
      <c r="P179" s="12">
        <f>G179*0.0775*13</f>
        <v>903.72749999999996</v>
      </c>
      <c r="Q179" s="9"/>
      <c r="R179" s="12">
        <f>P179/13</f>
        <v>69.517499999999998</v>
      </c>
      <c r="S179" s="12"/>
      <c r="T179" s="12"/>
      <c r="U179" s="12">
        <f t="shared" si="92"/>
        <v>874.57499999999993</v>
      </c>
      <c r="V179" s="12">
        <f>U179/13</f>
        <v>67.274999999999991</v>
      </c>
      <c r="W179" s="12"/>
      <c r="X179" s="12"/>
      <c r="Y179" s="12">
        <f>P179+S179+U179+W179+0.01</f>
        <v>1778.3124999999998</v>
      </c>
      <c r="Z179" s="12">
        <f t="shared" si="93"/>
        <v>116.61000000000001</v>
      </c>
      <c r="AA179" s="12">
        <f>Z179/13</f>
        <v>8.9700000000000006</v>
      </c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</row>
    <row r="180" spans="1:43">
      <c r="A180" s="21">
        <f t="shared" ref="A180:A185" si="94">A179+1</f>
        <v>129</v>
      </c>
      <c r="B180" s="42" t="s">
        <v>357</v>
      </c>
      <c r="C180" s="58" t="s">
        <v>358</v>
      </c>
      <c r="D180" s="82" t="s">
        <v>355</v>
      </c>
      <c r="E180" s="83" t="s">
        <v>79</v>
      </c>
      <c r="F180" s="84" t="s">
        <v>351</v>
      </c>
      <c r="G180" s="26">
        <f>417+50</f>
        <v>467</v>
      </c>
      <c r="H180" s="32">
        <f>G180*12</f>
        <v>5604</v>
      </c>
      <c r="I180" s="32">
        <v>60</v>
      </c>
      <c r="J180" s="36"/>
      <c r="K180" s="32">
        <f>G180</f>
        <v>467</v>
      </c>
      <c r="L180" s="32">
        <v>300</v>
      </c>
      <c r="M180" s="37"/>
      <c r="N180" s="24">
        <v>125</v>
      </c>
      <c r="O180" s="24"/>
      <c r="P180" s="12">
        <f>G180*0.0775*13</f>
        <v>470.50250000000005</v>
      </c>
      <c r="Q180" s="9">
        <f>P180/13</f>
        <v>36.192500000000003</v>
      </c>
      <c r="R180" s="12"/>
      <c r="S180" s="37"/>
      <c r="T180" s="37"/>
      <c r="U180" s="12">
        <f>G180*0.075*13</f>
        <v>455.32499999999999</v>
      </c>
      <c r="V180" s="12">
        <f>U180/13</f>
        <v>35.024999999999999</v>
      </c>
      <c r="W180" s="37"/>
      <c r="X180" s="37"/>
      <c r="Y180" s="12">
        <f>P180+S180+U180+W180</f>
        <v>925.8275000000001</v>
      </c>
      <c r="Z180" s="12">
        <f>G180*0.01*13</f>
        <v>60.71</v>
      </c>
      <c r="AA180" s="12">
        <f>Z180/13</f>
        <v>4.67</v>
      </c>
      <c r="AB180" s="38"/>
      <c r="AC180" s="38"/>
      <c r="AD180" s="38"/>
      <c r="AE180" s="38"/>
      <c r="AF180" s="37"/>
      <c r="AG180" s="38"/>
      <c r="AH180" s="37"/>
      <c r="AI180" s="12"/>
      <c r="AJ180" s="38"/>
      <c r="AK180" s="38"/>
      <c r="AL180" s="38"/>
      <c r="AM180" s="12"/>
      <c r="AN180" s="12"/>
      <c r="AO180" s="12"/>
      <c r="AP180" s="38"/>
      <c r="AQ180" s="37"/>
    </row>
    <row r="181" spans="1:43">
      <c r="A181" s="21">
        <f t="shared" si="94"/>
        <v>130</v>
      </c>
      <c r="B181" s="27" t="s">
        <v>359</v>
      </c>
      <c r="C181" s="25" t="s">
        <v>360</v>
      </c>
      <c r="D181" s="82" t="s">
        <v>355</v>
      </c>
      <c r="E181" s="83" t="s">
        <v>79</v>
      </c>
      <c r="F181" s="84" t="s">
        <v>351</v>
      </c>
      <c r="G181" s="26">
        <f>417+50</f>
        <v>467</v>
      </c>
      <c r="H181" s="32">
        <f t="shared" si="90"/>
        <v>5604</v>
      </c>
      <c r="I181" s="32">
        <v>60</v>
      </c>
      <c r="J181" s="36"/>
      <c r="K181" s="32">
        <f t="shared" si="91"/>
        <v>467</v>
      </c>
      <c r="L181" s="32">
        <v>300</v>
      </c>
      <c r="M181" s="37"/>
      <c r="N181" s="24">
        <v>125</v>
      </c>
      <c r="O181" s="24"/>
      <c r="P181" s="12">
        <f t="shared" ref="P181:P196" si="95">G181*0.0775*13</f>
        <v>470.50250000000005</v>
      </c>
      <c r="Q181" s="40"/>
      <c r="R181" s="12">
        <f>P181/13</f>
        <v>36.192500000000003</v>
      </c>
      <c r="S181" s="12"/>
      <c r="T181" s="12"/>
      <c r="U181" s="12">
        <f t="shared" si="92"/>
        <v>455.32499999999999</v>
      </c>
      <c r="V181" s="12">
        <f t="shared" ref="V181:V196" si="96">U181/13</f>
        <v>35.024999999999999</v>
      </c>
      <c r="W181" s="12"/>
      <c r="X181" s="12"/>
      <c r="Y181" s="12">
        <f>P181+S181+U181+W181</f>
        <v>925.8275000000001</v>
      </c>
      <c r="Z181" s="12">
        <f t="shared" si="93"/>
        <v>60.71</v>
      </c>
      <c r="AA181" s="12">
        <f t="shared" ref="AA181:AA196" si="97">Z181/13</f>
        <v>4.67</v>
      </c>
      <c r="AB181" s="38"/>
      <c r="AC181" s="38"/>
      <c r="AD181" s="38"/>
      <c r="AE181" s="38"/>
      <c r="AF181" s="37"/>
      <c r="AG181" s="38"/>
      <c r="AH181" s="37"/>
      <c r="AI181" s="12"/>
      <c r="AJ181" s="38"/>
      <c r="AK181" s="38"/>
      <c r="AL181" s="38"/>
      <c r="AM181" s="12"/>
      <c r="AN181" s="12"/>
      <c r="AO181" s="12"/>
      <c r="AP181" s="38"/>
      <c r="AQ181" s="37"/>
    </row>
    <row r="182" spans="1:43">
      <c r="A182" s="21">
        <f t="shared" si="94"/>
        <v>131</v>
      </c>
      <c r="B182" s="27" t="s">
        <v>361</v>
      </c>
      <c r="C182" s="25" t="s">
        <v>362</v>
      </c>
      <c r="D182" s="82" t="s">
        <v>355</v>
      </c>
      <c r="E182" s="83" t="s">
        <v>79</v>
      </c>
      <c r="F182" s="84" t="s">
        <v>351</v>
      </c>
      <c r="G182" s="26">
        <f>627+50</f>
        <v>677</v>
      </c>
      <c r="H182" s="32">
        <f t="shared" si="90"/>
        <v>8124</v>
      </c>
      <c r="I182" s="32">
        <v>60</v>
      </c>
      <c r="J182" s="32"/>
      <c r="K182" s="32">
        <f t="shared" si="91"/>
        <v>677</v>
      </c>
      <c r="L182" s="32">
        <v>300</v>
      </c>
      <c r="M182" s="12"/>
      <c r="N182" s="24">
        <v>125</v>
      </c>
      <c r="O182" s="24"/>
      <c r="P182" s="12">
        <f>G182*0.0775*13</f>
        <v>682.07749999999999</v>
      </c>
      <c r="Q182" s="26">
        <f>P182/13</f>
        <v>52.467500000000001</v>
      </c>
      <c r="R182" s="12"/>
      <c r="S182" s="12"/>
      <c r="T182" s="12"/>
      <c r="U182" s="12">
        <f t="shared" si="92"/>
        <v>660.07499999999993</v>
      </c>
      <c r="V182" s="12">
        <f>U182/13</f>
        <v>50.774999999999991</v>
      </c>
      <c r="W182" s="12"/>
      <c r="X182" s="12"/>
      <c r="Y182" s="12">
        <f>P182+S182+U182+W182+0.01</f>
        <v>1342.1624999999999</v>
      </c>
      <c r="Z182" s="12">
        <f t="shared" si="93"/>
        <v>88.01</v>
      </c>
      <c r="AA182" s="12">
        <f>Z182/13</f>
        <v>6.7700000000000005</v>
      </c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</row>
    <row r="183" spans="1:43">
      <c r="A183" s="21">
        <f t="shared" si="94"/>
        <v>132</v>
      </c>
      <c r="B183" s="27" t="s">
        <v>363</v>
      </c>
      <c r="C183" s="51" t="s">
        <v>364</v>
      </c>
      <c r="D183" s="82" t="s">
        <v>355</v>
      </c>
      <c r="E183" s="83" t="s">
        <v>79</v>
      </c>
      <c r="F183" s="84" t="s">
        <v>351</v>
      </c>
      <c r="G183" s="26">
        <v>500</v>
      </c>
      <c r="H183" s="32">
        <f t="shared" si="90"/>
        <v>6000</v>
      </c>
      <c r="I183" s="32">
        <v>60</v>
      </c>
      <c r="J183" s="32"/>
      <c r="K183" s="32">
        <f t="shared" si="91"/>
        <v>500</v>
      </c>
      <c r="L183" s="32">
        <v>300</v>
      </c>
      <c r="M183" s="12"/>
      <c r="N183" s="24">
        <v>125</v>
      </c>
      <c r="O183" s="24"/>
      <c r="P183" s="12">
        <f>G183*0.0775*13</f>
        <v>503.75</v>
      </c>
      <c r="Q183" s="26"/>
      <c r="R183" s="12">
        <f>P183/13</f>
        <v>38.75</v>
      </c>
      <c r="S183" s="12"/>
      <c r="T183" s="12"/>
      <c r="U183" s="12">
        <f t="shared" si="92"/>
        <v>487.5</v>
      </c>
      <c r="V183" s="12">
        <f>U183/13</f>
        <v>37.5</v>
      </c>
      <c r="W183" s="12"/>
      <c r="X183" s="12"/>
      <c r="Y183" s="12">
        <f>P183+S183+U183+W183</f>
        <v>991.25</v>
      </c>
      <c r="Z183" s="12">
        <f t="shared" si="93"/>
        <v>65</v>
      </c>
      <c r="AA183" s="12">
        <f>Z183/13</f>
        <v>5</v>
      </c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</row>
    <row r="184" spans="1:43">
      <c r="A184" s="21">
        <f t="shared" si="94"/>
        <v>133</v>
      </c>
      <c r="B184" s="27" t="s">
        <v>365</v>
      </c>
      <c r="C184" s="25" t="s">
        <v>366</v>
      </c>
      <c r="D184" s="82" t="s">
        <v>355</v>
      </c>
      <c r="E184" s="83" t="s">
        <v>79</v>
      </c>
      <c r="F184" s="84" t="s">
        <v>351</v>
      </c>
      <c r="G184" s="26">
        <f>547+30+50</f>
        <v>627</v>
      </c>
      <c r="H184" s="32">
        <f>G184*12</f>
        <v>7524</v>
      </c>
      <c r="I184" s="32">
        <v>60</v>
      </c>
      <c r="J184" s="36"/>
      <c r="K184" s="32">
        <f>G184</f>
        <v>627</v>
      </c>
      <c r="L184" s="32">
        <v>300</v>
      </c>
      <c r="M184" s="37"/>
      <c r="N184" s="24">
        <v>125</v>
      </c>
      <c r="O184" s="24"/>
      <c r="P184" s="12">
        <f>G184*0.0775*13</f>
        <v>631.70249999999999</v>
      </c>
      <c r="Q184" s="40"/>
      <c r="R184" s="12">
        <f>P184/13</f>
        <v>48.592500000000001</v>
      </c>
      <c r="S184" s="12"/>
      <c r="T184" s="12"/>
      <c r="U184" s="12">
        <f>G184*0.075*13</f>
        <v>611.32499999999993</v>
      </c>
      <c r="V184" s="12">
        <f>U184/13</f>
        <v>47.024999999999991</v>
      </c>
      <c r="W184" s="12"/>
      <c r="X184" s="12"/>
      <c r="Y184" s="12">
        <f>P184+S184+U184+W184</f>
        <v>1243.0274999999999</v>
      </c>
      <c r="Z184" s="12">
        <f>G184*0.01*13</f>
        <v>81.510000000000005</v>
      </c>
      <c r="AA184" s="12">
        <f>Z184/13</f>
        <v>6.2700000000000005</v>
      </c>
      <c r="AB184" s="38"/>
      <c r="AC184" s="38"/>
      <c r="AD184" s="38"/>
      <c r="AE184" s="38"/>
      <c r="AF184" s="37"/>
      <c r="AG184" s="38"/>
      <c r="AH184" s="37"/>
      <c r="AI184" s="12"/>
      <c r="AJ184" s="38"/>
      <c r="AK184" s="38"/>
      <c r="AL184" s="38"/>
      <c r="AM184" s="12"/>
      <c r="AN184" s="12"/>
      <c r="AO184" s="12"/>
      <c r="AP184" s="38"/>
      <c r="AQ184" s="37"/>
    </row>
    <row r="185" spans="1:43">
      <c r="A185" s="21">
        <f t="shared" si="94"/>
        <v>134</v>
      </c>
      <c r="B185" s="27" t="s">
        <v>367</v>
      </c>
      <c r="C185" s="25" t="s">
        <v>368</v>
      </c>
      <c r="D185" s="82" t="s">
        <v>355</v>
      </c>
      <c r="E185" s="83" t="s">
        <v>79</v>
      </c>
      <c r="F185" s="84" t="s">
        <v>351</v>
      </c>
      <c r="G185" s="26">
        <f>520+30+50</f>
        <v>600</v>
      </c>
      <c r="H185" s="32">
        <f t="shared" si="90"/>
        <v>7200</v>
      </c>
      <c r="I185" s="32">
        <v>60</v>
      </c>
      <c r="J185" s="32"/>
      <c r="K185" s="32">
        <f t="shared" si="91"/>
        <v>600</v>
      </c>
      <c r="L185" s="32">
        <v>300</v>
      </c>
      <c r="M185" s="12"/>
      <c r="N185" s="24">
        <v>125</v>
      </c>
      <c r="O185" s="24"/>
      <c r="P185" s="12">
        <f>G185*0.0775*13</f>
        <v>604.5</v>
      </c>
      <c r="Q185" s="26">
        <f>P185/13</f>
        <v>46.5</v>
      </c>
      <c r="R185" s="12"/>
      <c r="S185" s="12"/>
      <c r="T185" s="12"/>
      <c r="U185" s="12">
        <f t="shared" si="92"/>
        <v>585</v>
      </c>
      <c r="V185" s="12">
        <f>U185/13</f>
        <v>45</v>
      </c>
      <c r="W185" s="12"/>
      <c r="X185" s="12"/>
      <c r="Y185" s="12">
        <f>P185+S185+U185+W185</f>
        <v>1189.5</v>
      </c>
      <c r="Z185" s="12">
        <f t="shared" si="93"/>
        <v>78</v>
      </c>
      <c r="AA185" s="12">
        <f>Z185/13</f>
        <v>6</v>
      </c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</row>
    <row r="186" spans="1:43">
      <c r="A186" s="21">
        <f>A185+1</f>
        <v>135</v>
      </c>
      <c r="B186" s="110" t="s">
        <v>369</v>
      </c>
      <c r="C186" s="56" t="s">
        <v>370</v>
      </c>
      <c r="D186" s="82" t="s">
        <v>355</v>
      </c>
      <c r="E186" s="83" t="s">
        <v>79</v>
      </c>
      <c r="F186" s="84" t="s">
        <v>351</v>
      </c>
      <c r="G186" s="26">
        <f t="shared" ref="G186:G191" si="98">467+30+50</f>
        <v>547</v>
      </c>
      <c r="H186" s="32">
        <f>G186*12</f>
        <v>6564</v>
      </c>
      <c r="I186" s="32">
        <v>60</v>
      </c>
      <c r="J186" s="36"/>
      <c r="K186" s="32">
        <f>G186</f>
        <v>547</v>
      </c>
      <c r="L186" s="32">
        <v>300</v>
      </c>
      <c r="M186" s="37"/>
      <c r="N186" s="24">
        <v>125</v>
      </c>
      <c r="O186" s="24"/>
      <c r="P186" s="12">
        <f>G186*0.0775*13</f>
        <v>551.10249999999996</v>
      </c>
      <c r="Q186" s="40"/>
      <c r="R186" s="12">
        <f>P186/13</f>
        <v>42.392499999999998</v>
      </c>
      <c r="S186" s="12"/>
      <c r="T186" s="12"/>
      <c r="U186" s="12">
        <f>G186*0.075*13</f>
        <v>533.32499999999993</v>
      </c>
      <c r="V186" s="12">
        <f>U186/13</f>
        <v>41.024999999999991</v>
      </c>
      <c r="W186" s="12"/>
      <c r="X186" s="12"/>
      <c r="Y186" s="12">
        <f>P186+S186+U186+W186</f>
        <v>1084.4274999999998</v>
      </c>
      <c r="Z186" s="12">
        <f>G186*0.01*13</f>
        <v>71.11</v>
      </c>
      <c r="AA186" s="12">
        <f>Z186/13</f>
        <v>5.47</v>
      </c>
      <c r="AB186" s="38"/>
      <c r="AC186" s="38"/>
      <c r="AD186" s="38"/>
      <c r="AE186" s="38"/>
      <c r="AF186" s="37"/>
      <c r="AG186" s="38"/>
      <c r="AH186" s="37"/>
      <c r="AI186" s="12"/>
      <c r="AJ186" s="38"/>
      <c r="AK186" s="38"/>
      <c r="AL186" s="38"/>
      <c r="AM186" s="12"/>
      <c r="AN186" s="12"/>
      <c r="AO186" s="12"/>
      <c r="AP186" s="38"/>
      <c r="AQ186" s="37"/>
    </row>
    <row r="187" spans="1:43">
      <c r="A187" s="21">
        <f t="shared" ref="A187:A196" si="99">A186+1</f>
        <v>136</v>
      </c>
      <c r="B187" s="27" t="s">
        <v>371</v>
      </c>
      <c r="C187" s="56" t="s">
        <v>370</v>
      </c>
      <c r="D187" s="82" t="s">
        <v>355</v>
      </c>
      <c r="E187" s="83" t="s">
        <v>79</v>
      </c>
      <c r="F187" s="84" t="s">
        <v>351</v>
      </c>
      <c r="G187" s="26">
        <f t="shared" si="98"/>
        <v>547</v>
      </c>
      <c r="H187" s="32">
        <f t="shared" si="90"/>
        <v>6564</v>
      </c>
      <c r="I187" s="32">
        <v>60</v>
      </c>
      <c r="J187" s="36"/>
      <c r="K187" s="32">
        <f t="shared" si="91"/>
        <v>547</v>
      </c>
      <c r="L187" s="32">
        <v>300</v>
      </c>
      <c r="M187" s="37"/>
      <c r="N187" s="24">
        <v>125</v>
      </c>
      <c r="O187" s="24"/>
      <c r="P187" s="12">
        <f t="shared" si="95"/>
        <v>551.10249999999996</v>
      </c>
      <c r="Q187" s="40"/>
      <c r="R187" s="12">
        <f>P187/13</f>
        <v>42.392499999999998</v>
      </c>
      <c r="S187" s="12"/>
      <c r="T187" s="12"/>
      <c r="U187" s="12">
        <f t="shared" si="92"/>
        <v>533.32499999999993</v>
      </c>
      <c r="V187" s="12">
        <f t="shared" si="96"/>
        <v>41.024999999999991</v>
      </c>
      <c r="W187" s="12"/>
      <c r="X187" s="12"/>
      <c r="Y187" s="12">
        <f t="shared" ref="Y187:Y193" si="100">P187+S187+U187+W187</f>
        <v>1084.4274999999998</v>
      </c>
      <c r="Z187" s="12">
        <f t="shared" si="93"/>
        <v>71.11</v>
      </c>
      <c r="AA187" s="12">
        <f t="shared" si="97"/>
        <v>5.47</v>
      </c>
      <c r="AB187" s="38"/>
      <c r="AC187" s="38"/>
      <c r="AD187" s="38"/>
      <c r="AE187" s="38"/>
      <c r="AF187" s="37"/>
      <c r="AG187" s="38"/>
      <c r="AH187" s="37"/>
      <c r="AI187" s="12"/>
      <c r="AJ187" s="38"/>
      <c r="AK187" s="38"/>
      <c r="AL187" s="38"/>
      <c r="AM187" s="12"/>
      <c r="AN187" s="12"/>
      <c r="AO187" s="12"/>
      <c r="AP187" s="38"/>
      <c r="AQ187" s="37"/>
    </row>
    <row r="188" spans="1:43">
      <c r="A188" s="21">
        <f t="shared" si="99"/>
        <v>137</v>
      </c>
      <c r="B188" s="27" t="s">
        <v>372</v>
      </c>
      <c r="C188" s="56" t="s">
        <v>370</v>
      </c>
      <c r="D188" s="82" t="s">
        <v>355</v>
      </c>
      <c r="E188" s="83" t="s">
        <v>79</v>
      </c>
      <c r="F188" s="84" t="s">
        <v>351</v>
      </c>
      <c r="G188" s="26">
        <f t="shared" si="98"/>
        <v>547</v>
      </c>
      <c r="H188" s="32">
        <f t="shared" si="90"/>
        <v>6564</v>
      </c>
      <c r="I188" s="32">
        <v>60</v>
      </c>
      <c r="J188" s="36"/>
      <c r="K188" s="32">
        <f t="shared" si="91"/>
        <v>547</v>
      </c>
      <c r="L188" s="32">
        <v>300</v>
      </c>
      <c r="M188" s="37"/>
      <c r="N188" s="24">
        <v>125</v>
      </c>
      <c r="O188" s="24"/>
      <c r="P188" s="12">
        <f t="shared" si="95"/>
        <v>551.10249999999996</v>
      </c>
      <c r="Q188" s="9">
        <f>P188/13</f>
        <v>42.392499999999998</v>
      </c>
      <c r="R188" s="40"/>
      <c r="S188" s="12"/>
      <c r="T188" s="12"/>
      <c r="U188" s="12">
        <f t="shared" si="92"/>
        <v>533.32499999999993</v>
      </c>
      <c r="V188" s="12">
        <f t="shared" si="96"/>
        <v>41.024999999999991</v>
      </c>
      <c r="W188" s="12"/>
      <c r="X188" s="12"/>
      <c r="Y188" s="12">
        <f t="shared" si="100"/>
        <v>1084.4274999999998</v>
      </c>
      <c r="Z188" s="12">
        <f t="shared" si="93"/>
        <v>71.11</v>
      </c>
      <c r="AA188" s="12">
        <f t="shared" si="97"/>
        <v>5.47</v>
      </c>
      <c r="AB188" s="38"/>
      <c r="AC188" s="38"/>
      <c r="AD188" s="38"/>
      <c r="AE188" s="38"/>
      <c r="AF188" s="37"/>
      <c r="AG188" s="38"/>
      <c r="AH188" s="37"/>
      <c r="AI188" s="12"/>
      <c r="AJ188" s="38"/>
      <c r="AK188" s="38"/>
      <c r="AL188" s="38"/>
      <c r="AM188" s="12"/>
      <c r="AN188" s="12"/>
      <c r="AO188" s="12"/>
      <c r="AP188" s="38"/>
      <c r="AQ188" s="37"/>
    </row>
    <row r="189" spans="1:43">
      <c r="A189" s="21">
        <f t="shared" si="99"/>
        <v>138</v>
      </c>
      <c r="B189" s="27" t="s">
        <v>373</v>
      </c>
      <c r="C189" s="56" t="s">
        <v>370</v>
      </c>
      <c r="D189" s="82" t="s">
        <v>355</v>
      </c>
      <c r="E189" s="83" t="s">
        <v>79</v>
      </c>
      <c r="F189" s="84" t="s">
        <v>351</v>
      </c>
      <c r="G189" s="26">
        <f t="shared" si="98"/>
        <v>547</v>
      </c>
      <c r="H189" s="32">
        <f>G189*12</f>
        <v>6564</v>
      </c>
      <c r="I189" s="32">
        <v>60</v>
      </c>
      <c r="J189" s="36"/>
      <c r="K189" s="32">
        <f>G189</f>
        <v>547</v>
      </c>
      <c r="L189" s="32">
        <v>300</v>
      </c>
      <c r="M189" s="37"/>
      <c r="N189" s="24">
        <v>125</v>
      </c>
      <c r="O189" s="24"/>
      <c r="P189" s="12">
        <f>G189*0.0775*13</f>
        <v>551.10249999999996</v>
      </c>
      <c r="Q189" s="9">
        <f>P189/13</f>
        <v>42.392499999999998</v>
      </c>
      <c r="R189" s="40"/>
      <c r="S189" s="12"/>
      <c r="T189" s="12"/>
      <c r="U189" s="12">
        <f>G189*0.075*13</f>
        <v>533.32499999999993</v>
      </c>
      <c r="V189" s="12">
        <f>U189/13</f>
        <v>41.024999999999991</v>
      </c>
      <c r="W189" s="12"/>
      <c r="X189" s="12"/>
      <c r="Y189" s="12">
        <f>P189+S189+U189+W189</f>
        <v>1084.4274999999998</v>
      </c>
      <c r="Z189" s="12">
        <f>G189*0.01*13</f>
        <v>71.11</v>
      </c>
      <c r="AA189" s="12">
        <f>Z189/13</f>
        <v>5.47</v>
      </c>
      <c r="AB189" s="38"/>
      <c r="AC189" s="38"/>
      <c r="AD189" s="38"/>
      <c r="AE189" s="38"/>
      <c r="AF189" s="37"/>
      <c r="AG189" s="38"/>
      <c r="AH189" s="37"/>
      <c r="AI189" s="12"/>
      <c r="AJ189" s="38"/>
      <c r="AK189" s="38"/>
      <c r="AL189" s="38"/>
      <c r="AM189" s="12"/>
      <c r="AN189" s="12"/>
      <c r="AO189" s="12"/>
      <c r="AP189" s="38"/>
      <c r="AQ189" s="37"/>
    </row>
    <row r="190" spans="1:43">
      <c r="A190" s="21">
        <f t="shared" si="99"/>
        <v>139</v>
      </c>
      <c r="B190" s="27" t="s">
        <v>374</v>
      </c>
      <c r="C190" s="56" t="s">
        <v>370</v>
      </c>
      <c r="D190" s="82" t="s">
        <v>355</v>
      </c>
      <c r="E190" s="83" t="s">
        <v>79</v>
      </c>
      <c r="F190" s="84" t="s">
        <v>351</v>
      </c>
      <c r="G190" s="26">
        <f t="shared" si="98"/>
        <v>547</v>
      </c>
      <c r="H190" s="32">
        <f t="shared" si="90"/>
        <v>6564</v>
      </c>
      <c r="I190" s="32">
        <v>60</v>
      </c>
      <c r="J190" s="36"/>
      <c r="K190" s="32">
        <f t="shared" si="91"/>
        <v>547</v>
      </c>
      <c r="L190" s="32">
        <v>300</v>
      </c>
      <c r="M190" s="37"/>
      <c r="N190" s="24">
        <v>125</v>
      </c>
      <c r="O190" s="24"/>
      <c r="P190" s="12">
        <f t="shared" si="95"/>
        <v>551.10249999999996</v>
      </c>
      <c r="Q190" s="40"/>
      <c r="R190" s="12">
        <f>P190/13</f>
        <v>42.392499999999998</v>
      </c>
      <c r="S190" s="12"/>
      <c r="T190" s="12"/>
      <c r="U190" s="12">
        <f t="shared" si="92"/>
        <v>533.32499999999993</v>
      </c>
      <c r="V190" s="12">
        <f t="shared" si="96"/>
        <v>41.024999999999991</v>
      </c>
      <c r="W190" s="12"/>
      <c r="X190" s="12"/>
      <c r="Y190" s="12">
        <f t="shared" si="100"/>
        <v>1084.4274999999998</v>
      </c>
      <c r="Z190" s="12">
        <f t="shared" si="93"/>
        <v>71.11</v>
      </c>
      <c r="AA190" s="12">
        <f t="shared" si="97"/>
        <v>5.47</v>
      </c>
      <c r="AB190" s="38"/>
      <c r="AC190" s="38"/>
      <c r="AD190" s="38"/>
      <c r="AE190" s="38"/>
      <c r="AF190" s="37"/>
      <c r="AG190" s="38"/>
      <c r="AH190" s="37"/>
      <c r="AI190" s="12"/>
      <c r="AJ190" s="38"/>
      <c r="AK190" s="38"/>
      <c r="AL190" s="38"/>
      <c r="AM190" s="12"/>
      <c r="AN190" s="12"/>
      <c r="AO190" s="12"/>
      <c r="AP190" s="38"/>
      <c r="AQ190" s="37"/>
    </row>
    <row r="191" spans="1:43">
      <c r="A191" s="21">
        <f t="shared" si="99"/>
        <v>140</v>
      </c>
      <c r="B191" s="27" t="s">
        <v>375</v>
      </c>
      <c r="C191" s="56" t="s">
        <v>370</v>
      </c>
      <c r="D191" s="82" t="s">
        <v>355</v>
      </c>
      <c r="E191" s="83" t="s">
        <v>79</v>
      </c>
      <c r="F191" s="84" t="s">
        <v>351</v>
      </c>
      <c r="G191" s="26">
        <f t="shared" si="98"/>
        <v>547</v>
      </c>
      <c r="H191" s="32">
        <f t="shared" si="90"/>
        <v>6564</v>
      </c>
      <c r="I191" s="32">
        <v>60</v>
      </c>
      <c r="J191" s="36"/>
      <c r="K191" s="32">
        <f t="shared" si="91"/>
        <v>547</v>
      </c>
      <c r="L191" s="32">
        <v>300</v>
      </c>
      <c r="M191" s="37"/>
      <c r="N191" s="24">
        <v>125</v>
      </c>
      <c r="O191" s="24"/>
      <c r="P191" s="12">
        <f t="shared" si="95"/>
        <v>551.10249999999996</v>
      </c>
      <c r="Q191" s="40"/>
      <c r="R191" s="12">
        <f>P191/13</f>
        <v>42.392499999999998</v>
      </c>
      <c r="S191" s="37"/>
      <c r="T191" s="37"/>
      <c r="U191" s="12">
        <f t="shared" si="92"/>
        <v>533.32499999999993</v>
      </c>
      <c r="V191" s="12">
        <f t="shared" si="96"/>
        <v>41.024999999999991</v>
      </c>
      <c r="W191" s="37"/>
      <c r="X191" s="37"/>
      <c r="Y191" s="12">
        <f t="shared" si="100"/>
        <v>1084.4274999999998</v>
      </c>
      <c r="Z191" s="12">
        <f t="shared" si="93"/>
        <v>71.11</v>
      </c>
      <c r="AA191" s="12">
        <f t="shared" si="97"/>
        <v>5.47</v>
      </c>
      <c r="AB191" s="38"/>
      <c r="AC191" s="38"/>
      <c r="AD191" s="38"/>
      <c r="AE191" s="38"/>
      <c r="AF191" s="37"/>
      <c r="AG191" s="38"/>
      <c r="AH191" s="37"/>
      <c r="AI191" s="12"/>
      <c r="AJ191" s="38"/>
      <c r="AK191" s="38"/>
      <c r="AL191" s="38"/>
      <c r="AM191" s="12"/>
      <c r="AN191" s="12"/>
      <c r="AO191" s="12"/>
      <c r="AP191" s="38"/>
      <c r="AQ191" s="37"/>
    </row>
    <row r="192" spans="1:43">
      <c r="A192" s="21">
        <f t="shared" si="99"/>
        <v>141</v>
      </c>
      <c r="B192" s="27" t="s">
        <v>376</v>
      </c>
      <c r="C192" s="51" t="s">
        <v>377</v>
      </c>
      <c r="D192" s="82" t="s">
        <v>355</v>
      </c>
      <c r="E192" s="83" t="s">
        <v>79</v>
      </c>
      <c r="F192" s="84" t="s">
        <v>351</v>
      </c>
      <c r="G192" s="26">
        <f>417+50</f>
        <v>467</v>
      </c>
      <c r="H192" s="32">
        <f t="shared" si="90"/>
        <v>5604</v>
      </c>
      <c r="I192" s="32">
        <v>60</v>
      </c>
      <c r="J192" s="36"/>
      <c r="K192" s="32">
        <f t="shared" si="91"/>
        <v>467</v>
      </c>
      <c r="L192" s="32">
        <v>300</v>
      </c>
      <c r="M192" s="37"/>
      <c r="N192" s="24">
        <v>125</v>
      </c>
      <c r="O192" s="24"/>
      <c r="P192" s="12">
        <f t="shared" si="95"/>
        <v>470.50250000000005</v>
      </c>
      <c r="Q192" s="12"/>
      <c r="R192" s="12">
        <f>P192/13</f>
        <v>36.192500000000003</v>
      </c>
      <c r="S192" s="12"/>
      <c r="T192" s="12"/>
      <c r="U192" s="12">
        <f t="shared" si="92"/>
        <v>455.32499999999999</v>
      </c>
      <c r="V192" s="12">
        <f t="shared" si="96"/>
        <v>35.024999999999999</v>
      </c>
      <c r="W192" s="12"/>
      <c r="X192" s="12"/>
      <c r="Y192" s="12">
        <f t="shared" si="100"/>
        <v>925.8275000000001</v>
      </c>
      <c r="Z192" s="12">
        <f t="shared" si="93"/>
        <v>60.71</v>
      </c>
      <c r="AA192" s="12">
        <f t="shared" si="97"/>
        <v>4.67</v>
      </c>
      <c r="AB192" s="38"/>
      <c r="AC192" s="38"/>
      <c r="AD192" s="38"/>
      <c r="AE192" s="38"/>
      <c r="AF192" s="37"/>
      <c r="AG192" s="38"/>
      <c r="AH192" s="37"/>
      <c r="AI192" s="12"/>
      <c r="AJ192" s="38"/>
      <c r="AK192" s="38"/>
      <c r="AL192" s="38"/>
      <c r="AM192" s="12"/>
      <c r="AN192" s="12"/>
      <c r="AO192" s="12"/>
      <c r="AP192" s="38"/>
      <c r="AQ192" s="37"/>
    </row>
    <row r="193" spans="1:43">
      <c r="A193" s="21">
        <f t="shared" si="99"/>
        <v>142</v>
      </c>
      <c r="B193" s="27" t="s">
        <v>378</v>
      </c>
      <c r="C193" s="51" t="s">
        <v>377</v>
      </c>
      <c r="D193" s="82" t="s">
        <v>355</v>
      </c>
      <c r="E193" s="83" t="s">
        <v>79</v>
      </c>
      <c r="F193" s="84" t="s">
        <v>351</v>
      </c>
      <c r="G193" s="26">
        <f>417+50</f>
        <v>467</v>
      </c>
      <c r="H193" s="32">
        <f t="shared" si="90"/>
        <v>5604</v>
      </c>
      <c r="I193" s="32">
        <v>60</v>
      </c>
      <c r="J193" s="36"/>
      <c r="K193" s="32">
        <f t="shared" si="91"/>
        <v>467</v>
      </c>
      <c r="L193" s="32">
        <v>300</v>
      </c>
      <c r="M193" s="37"/>
      <c r="N193" s="24">
        <v>125</v>
      </c>
      <c r="O193" s="24"/>
      <c r="P193" s="12">
        <f t="shared" si="95"/>
        <v>470.50250000000005</v>
      </c>
      <c r="Q193" s="9">
        <f>P193/13</f>
        <v>36.192500000000003</v>
      </c>
      <c r="R193" s="12"/>
      <c r="S193" s="12"/>
      <c r="T193" s="12"/>
      <c r="U193" s="12">
        <f t="shared" si="92"/>
        <v>455.32499999999999</v>
      </c>
      <c r="V193" s="12">
        <f t="shared" si="96"/>
        <v>35.024999999999999</v>
      </c>
      <c r="W193" s="12"/>
      <c r="X193" s="12"/>
      <c r="Y193" s="12">
        <f t="shared" si="100"/>
        <v>925.8275000000001</v>
      </c>
      <c r="Z193" s="12">
        <f t="shared" si="93"/>
        <v>60.71</v>
      </c>
      <c r="AA193" s="12">
        <f t="shared" si="97"/>
        <v>4.67</v>
      </c>
      <c r="AB193" s="38"/>
      <c r="AC193" s="38"/>
      <c r="AD193" s="38"/>
      <c r="AE193" s="38"/>
      <c r="AF193" s="37"/>
      <c r="AG193" s="38"/>
      <c r="AH193" s="37"/>
      <c r="AI193" s="12"/>
      <c r="AJ193" s="38"/>
      <c r="AK193" s="38"/>
      <c r="AL193" s="38"/>
      <c r="AM193" s="12"/>
      <c r="AN193" s="12"/>
      <c r="AO193" s="12"/>
      <c r="AP193" s="38"/>
      <c r="AQ193" s="37"/>
    </row>
    <row r="194" spans="1:43">
      <c r="A194" s="21">
        <f t="shared" si="99"/>
        <v>143</v>
      </c>
      <c r="B194" s="111" t="s">
        <v>379</v>
      </c>
      <c r="C194" s="51" t="s">
        <v>380</v>
      </c>
      <c r="D194" s="82" t="s">
        <v>355</v>
      </c>
      <c r="E194" s="83" t="s">
        <v>79</v>
      </c>
      <c r="F194" s="84" t="s">
        <v>351</v>
      </c>
      <c r="G194" s="26">
        <f>417</f>
        <v>417</v>
      </c>
      <c r="H194" s="32">
        <f t="shared" si="90"/>
        <v>5004</v>
      </c>
      <c r="I194" s="32">
        <v>60</v>
      </c>
      <c r="J194" s="36"/>
      <c r="K194" s="32">
        <f t="shared" si="91"/>
        <v>417</v>
      </c>
      <c r="L194" s="32">
        <v>300</v>
      </c>
      <c r="M194" s="37"/>
      <c r="N194" s="24">
        <v>125</v>
      </c>
      <c r="O194" s="24"/>
      <c r="P194" s="12">
        <f t="shared" si="95"/>
        <v>420.12750000000005</v>
      </c>
      <c r="Q194" s="40"/>
      <c r="R194" s="12">
        <f>P194/13</f>
        <v>32.317500000000003</v>
      </c>
      <c r="S194" s="12"/>
      <c r="T194" s="12"/>
      <c r="U194" s="12">
        <f t="shared" si="92"/>
        <v>406.57499999999999</v>
      </c>
      <c r="V194" s="12">
        <f t="shared" si="96"/>
        <v>31.274999999999999</v>
      </c>
      <c r="W194" s="12"/>
      <c r="X194" s="12"/>
      <c r="Y194" s="12">
        <f>P194+S194+U194+W194+0.01</f>
        <v>826.71250000000009</v>
      </c>
      <c r="Z194" s="12">
        <f t="shared" si="93"/>
        <v>54.21</v>
      </c>
      <c r="AA194" s="12">
        <f t="shared" si="97"/>
        <v>4.17</v>
      </c>
      <c r="AB194" s="38"/>
      <c r="AC194" s="38"/>
      <c r="AD194" s="38"/>
      <c r="AE194" s="38"/>
      <c r="AF194" s="37"/>
      <c r="AG194" s="38"/>
      <c r="AH194" s="37"/>
      <c r="AI194" s="12"/>
      <c r="AJ194" s="38"/>
      <c r="AK194" s="38"/>
      <c r="AL194" s="38"/>
      <c r="AM194" s="12"/>
      <c r="AN194" s="12"/>
      <c r="AO194" s="12"/>
      <c r="AP194" s="38"/>
      <c r="AQ194" s="37"/>
    </row>
    <row r="195" spans="1:43">
      <c r="A195" s="21">
        <f t="shared" si="99"/>
        <v>144</v>
      </c>
      <c r="B195" s="111" t="s">
        <v>381</v>
      </c>
      <c r="C195" s="51" t="s">
        <v>380</v>
      </c>
      <c r="D195" s="82" t="s">
        <v>355</v>
      </c>
      <c r="E195" s="83" t="s">
        <v>79</v>
      </c>
      <c r="F195" s="84" t="s">
        <v>351</v>
      </c>
      <c r="G195" s="26">
        <f>417</f>
        <v>417</v>
      </c>
      <c r="H195" s="32">
        <f t="shared" si="90"/>
        <v>5004</v>
      </c>
      <c r="I195" s="32">
        <v>60</v>
      </c>
      <c r="J195" s="36"/>
      <c r="K195" s="32">
        <f t="shared" si="91"/>
        <v>417</v>
      </c>
      <c r="L195" s="32">
        <v>300</v>
      </c>
      <c r="M195" s="37"/>
      <c r="N195" s="24">
        <v>125</v>
      </c>
      <c r="O195" s="24"/>
      <c r="P195" s="12">
        <f t="shared" si="95"/>
        <v>420.12750000000005</v>
      </c>
      <c r="Q195" s="40"/>
      <c r="R195" s="12">
        <f>P195/13</f>
        <v>32.317500000000003</v>
      </c>
      <c r="S195" s="12"/>
      <c r="T195" s="12"/>
      <c r="U195" s="12">
        <f t="shared" si="92"/>
        <v>406.57499999999999</v>
      </c>
      <c r="V195" s="12">
        <f t="shared" si="96"/>
        <v>31.274999999999999</v>
      </c>
      <c r="W195" s="12"/>
      <c r="X195" s="12"/>
      <c r="Y195" s="12">
        <f>P195+S195+U195+W195+0.01</f>
        <v>826.71250000000009</v>
      </c>
      <c r="Z195" s="12">
        <f t="shared" si="93"/>
        <v>54.21</v>
      </c>
      <c r="AA195" s="12">
        <f t="shared" si="97"/>
        <v>4.17</v>
      </c>
      <c r="AB195" s="38"/>
      <c r="AC195" s="38"/>
      <c r="AD195" s="38"/>
      <c r="AE195" s="38"/>
      <c r="AF195" s="37"/>
      <c r="AG195" s="38"/>
      <c r="AH195" s="37"/>
      <c r="AI195" s="12"/>
      <c r="AJ195" s="38"/>
      <c r="AK195" s="38"/>
      <c r="AL195" s="38"/>
      <c r="AM195" s="12"/>
      <c r="AN195" s="12"/>
      <c r="AO195" s="12"/>
      <c r="AP195" s="38"/>
      <c r="AQ195" s="37"/>
    </row>
    <row r="196" spans="1:43">
      <c r="A196" s="21">
        <f t="shared" si="99"/>
        <v>145</v>
      </c>
      <c r="B196" s="112" t="s">
        <v>382</v>
      </c>
      <c r="C196" s="51" t="s">
        <v>380</v>
      </c>
      <c r="D196" s="82" t="s">
        <v>355</v>
      </c>
      <c r="E196" s="83" t="s">
        <v>79</v>
      </c>
      <c r="F196" s="84" t="s">
        <v>351</v>
      </c>
      <c r="G196" s="26">
        <v>417</v>
      </c>
      <c r="H196" s="32">
        <f t="shared" si="90"/>
        <v>5004</v>
      </c>
      <c r="I196" s="32">
        <v>60</v>
      </c>
      <c r="J196" s="36"/>
      <c r="K196" s="32">
        <f t="shared" si="91"/>
        <v>417</v>
      </c>
      <c r="L196" s="32">
        <v>300</v>
      </c>
      <c r="M196" s="37"/>
      <c r="N196" s="24">
        <v>125</v>
      </c>
      <c r="O196" s="24"/>
      <c r="P196" s="12">
        <f t="shared" si="95"/>
        <v>420.12750000000005</v>
      </c>
      <c r="Q196" s="9"/>
      <c r="R196" s="12">
        <f>P196/13</f>
        <v>32.317500000000003</v>
      </c>
      <c r="S196" s="12"/>
      <c r="T196" s="12"/>
      <c r="U196" s="12">
        <f t="shared" si="92"/>
        <v>406.57499999999999</v>
      </c>
      <c r="V196" s="12">
        <f t="shared" si="96"/>
        <v>31.274999999999999</v>
      </c>
      <c r="W196" s="12"/>
      <c r="X196" s="12"/>
      <c r="Y196" s="12">
        <f>P196+S196+U196+W196+0.01</f>
        <v>826.71250000000009</v>
      </c>
      <c r="Z196" s="12">
        <f t="shared" si="93"/>
        <v>54.21</v>
      </c>
      <c r="AA196" s="12">
        <f t="shared" si="97"/>
        <v>4.17</v>
      </c>
      <c r="AB196" s="38"/>
      <c r="AC196" s="38"/>
      <c r="AD196" s="38"/>
      <c r="AE196" s="38"/>
      <c r="AF196" s="37"/>
      <c r="AG196" s="38"/>
      <c r="AH196" s="37"/>
      <c r="AI196" s="12"/>
      <c r="AJ196" s="38"/>
      <c r="AK196" s="38"/>
      <c r="AL196" s="38"/>
      <c r="AM196" s="12"/>
      <c r="AN196" s="12"/>
      <c r="AO196" s="12"/>
      <c r="AP196" s="38"/>
      <c r="AQ196" s="37"/>
    </row>
    <row r="197" spans="1:43">
      <c r="A197" s="49"/>
      <c r="B197" s="59"/>
      <c r="C197" s="113" t="s">
        <v>383</v>
      </c>
      <c r="D197" s="114"/>
      <c r="E197" s="115"/>
      <c r="F197" s="116"/>
      <c r="G197" s="86">
        <f t="shared" ref="G197:O197" si="101">SUM(G178:G196)</f>
        <v>10599</v>
      </c>
      <c r="H197" s="30">
        <f t="shared" si="101"/>
        <v>127188</v>
      </c>
      <c r="I197" s="30">
        <f t="shared" si="101"/>
        <v>1140</v>
      </c>
      <c r="J197" s="30">
        <f t="shared" si="101"/>
        <v>0</v>
      </c>
      <c r="K197" s="30">
        <f t="shared" si="101"/>
        <v>10599</v>
      </c>
      <c r="L197" s="30">
        <f t="shared" si="101"/>
        <v>5700</v>
      </c>
      <c r="M197" s="20">
        <f t="shared" si="101"/>
        <v>0</v>
      </c>
      <c r="N197" s="20">
        <f t="shared" si="101"/>
        <v>2375</v>
      </c>
      <c r="O197" s="20">
        <f t="shared" si="101"/>
        <v>0</v>
      </c>
      <c r="P197" s="20">
        <f>SUM(P178:P196)-0.01</f>
        <v>10678.482500000002</v>
      </c>
      <c r="Q197" s="20">
        <f>SUM(Q178:Q196)</f>
        <v>256.13749999999999</v>
      </c>
      <c r="R197" s="20">
        <f>SUM(R178:R196)-0.01</f>
        <v>565.27499999999998</v>
      </c>
      <c r="S197" s="20">
        <f>SUM(S178:S196)</f>
        <v>0</v>
      </c>
      <c r="T197" s="20">
        <f>SUM(T178:T196)</f>
        <v>0</v>
      </c>
      <c r="U197" s="20">
        <f>SUM(U178:U196)+0.08</f>
        <v>10334.105000000003</v>
      </c>
      <c r="V197" s="20">
        <f>SUM(V178:V196)+0.08</f>
        <v>795.00499999999977</v>
      </c>
      <c r="W197" s="20">
        <f>SUM(W178:W196)</f>
        <v>0</v>
      </c>
      <c r="X197" s="20">
        <f>SUM(X178:X196)</f>
        <v>0</v>
      </c>
      <c r="Y197" s="20">
        <f>SUM(Y178:Y196)+0.01</f>
        <v>21012.587499999998</v>
      </c>
      <c r="Z197" s="20">
        <f>SUM(Z178:Z196)</f>
        <v>1377.8700000000001</v>
      </c>
      <c r="AA197" s="20">
        <f>SUM(AA178:AA196)</f>
        <v>105.99000000000001</v>
      </c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</row>
    <row r="198" spans="1:43">
      <c r="A198" s="21">
        <f>A196+1</f>
        <v>146</v>
      </c>
      <c r="B198" s="27" t="s">
        <v>384</v>
      </c>
      <c r="C198" s="56" t="s">
        <v>385</v>
      </c>
      <c r="D198" s="82" t="s">
        <v>386</v>
      </c>
      <c r="E198" s="83" t="s">
        <v>79</v>
      </c>
      <c r="F198" s="84" t="s">
        <v>351</v>
      </c>
      <c r="G198" s="26">
        <f>817+30+50</f>
        <v>897</v>
      </c>
      <c r="H198" s="32">
        <f>G198*12</f>
        <v>10764</v>
      </c>
      <c r="I198" s="32">
        <v>60</v>
      </c>
      <c r="J198" s="36"/>
      <c r="K198" s="32">
        <f>G198</f>
        <v>897</v>
      </c>
      <c r="L198" s="32">
        <v>300</v>
      </c>
      <c r="M198" s="37"/>
      <c r="N198" s="24">
        <v>125</v>
      </c>
      <c r="O198" s="24"/>
      <c r="P198" s="12">
        <f>G198*0.0775*13</f>
        <v>903.72749999999996</v>
      </c>
      <c r="Q198" s="9">
        <f>P198/13</f>
        <v>69.517499999999998</v>
      </c>
      <c r="R198" s="12"/>
      <c r="S198" s="12"/>
      <c r="T198" s="12"/>
      <c r="U198" s="12">
        <f>G198*0.075*13</f>
        <v>874.57499999999993</v>
      </c>
      <c r="V198" s="12">
        <f>U198/13</f>
        <v>67.274999999999991</v>
      </c>
      <c r="W198" s="12"/>
      <c r="X198" s="12"/>
      <c r="Y198" s="12">
        <f>P198+S198+U198+W198+0.01</f>
        <v>1778.3124999999998</v>
      </c>
      <c r="Z198" s="12">
        <f>G198*0.01*13</f>
        <v>116.61000000000001</v>
      </c>
      <c r="AA198" s="12">
        <f>Z198/13</f>
        <v>8.9700000000000006</v>
      </c>
      <c r="AB198" s="38"/>
      <c r="AC198" s="38"/>
      <c r="AD198" s="38"/>
      <c r="AE198" s="38"/>
      <c r="AF198" s="37"/>
      <c r="AG198" s="12"/>
      <c r="AH198" s="37"/>
      <c r="AI198" s="12"/>
      <c r="AJ198" s="38"/>
      <c r="AK198" s="38"/>
      <c r="AL198" s="38"/>
      <c r="AM198" s="12"/>
      <c r="AN198" s="12"/>
      <c r="AO198" s="12"/>
      <c r="AP198" s="38"/>
      <c r="AQ198" s="37"/>
    </row>
    <row r="199" spans="1:43">
      <c r="A199" s="21">
        <f>A198+1</f>
        <v>147</v>
      </c>
      <c r="B199" s="27" t="s">
        <v>387</v>
      </c>
      <c r="C199" s="56" t="s">
        <v>388</v>
      </c>
      <c r="D199" s="82" t="s">
        <v>386</v>
      </c>
      <c r="E199" s="83" t="s">
        <v>79</v>
      </c>
      <c r="F199" s="84" t="s">
        <v>351</v>
      </c>
      <c r="G199" s="26">
        <f>437+30+50</f>
        <v>517</v>
      </c>
      <c r="H199" s="32">
        <f>G199*12</f>
        <v>6204</v>
      </c>
      <c r="I199" s="32">
        <v>60</v>
      </c>
      <c r="J199" s="36"/>
      <c r="K199" s="32">
        <f>G199</f>
        <v>517</v>
      </c>
      <c r="L199" s="32">
        <v>300</v>
      </c>
      <c r="M199" s="37"/>
      <c r="N199" s="24">
        <v>125</v>
      </c>
      <c r="O199" s="24"/>
      <c r="P199" s="12">
        <f>G199*0.0775*13</f>
        <v>520.87750000000005</v>
      </c>
      <c r="Q199" s="9">
        <f>P199/13</f>
        <v>40.067500000000003</v>
      </c>
      <c r="R199" s="12"/>
      <c r="S199" s="12"/>
      <c r="T199" s="12"/>
      <c r="U199" s="12">
        <f>G199*0.075*13</f>
        <v>504.07499999999999</v>
      </c>
      <c r="V199" s="12">
        <f>U199/13</f>
        <v>38.774999999999999</v>
      </c>
      <c r="W199" s="12"/>
      <c r="X199" s="12"/>
      <c r="Y199" s="12">
        <f>P199+S199+U199+W199+0.01</f>
        <v>1024.9625000000001</v>
      </c>
      <c r="Z199" s="12">
        <f>G199*0.01*13</f>
        <v>67.209999999999994</v>
      </c>
      <c r="AA199" s="12">
        <f>Z199/13</f>
        <v>5.17</v>
      </c>
      <c r="AB199" s="12"/>
      <c r="AC199" s="12"/>
      <c r="AD199" s="12"/>
      <c r="AE199" s="12"/>
      <c r="AF199" s="12"/>
      <c r="AG199" s="12"/>
      <c r="AH199" s="12"/>
      <c r="AI199" s="12"/>
      <c r="AJ199" s="12"/>
      <c r="AK199" s="38"/>
      <c r="AL199" s="38"/>
      <c r="AM199" s="12"/>
      <c r="AN199" s="12"/>
      <c r="AO199" s="12"/>
      <c r="AP199" s="37"/>
      <c r="AQ199" s="37"/>
    </row>
    <row r="200" spans="1:43">
      <c r="A200" s="21">
        <f>A199+1</f>
        <v>148</v>
      </c>
      <c r="B200" s="111" t="s">
        <v>389</v>
      </c>
      <c r="C200" s="56" t="s">
        <v>390</v>
      </c>
      <c r="D200" s="82" t="s">
        <v>386</v>
      </c>
      <c r="E200" s="83" t="s">
        <v>79</v>
      </c>
      <c r="F200" s="84" t="s">
        <v>351</v>
      </c>
      <c r="G200" s="26">
        <v>500</v>
      </c>
      <c r="H200" s="32">
        <f>G200*12</f>
        <v>6000</v>
      </c>
      <c r="I200" s="32">
        <v>60</v>
      </c>
      <c r="J200" s="36"/>
      <c r="K200" s="32">
        <f>G200</f>
        <v>500</v>
      </c>
      <c r="L200" s="32">
        <v>300</v>
      </c>
      <c r="M200" s="37"/>
      <c r="N200" s="24">
        <v>125</v>
      </c>
      <c r="O200" s="24"/>
      <c r="P200" s="12">
        <f>G200*0.0775*13</f>
        <v>503.75</v>
      </c>
      <c r="Q200" s="9">
        <f>P200/13</f>
        <v>38.75</v>
      </c>
      <c r="R200" s="12"/>
      <c r="S200" s="12"/>
      <c r="T200" s="12"/>
      <c r="U200" s="12">
        <f>G200*0.075*13</f>
        <v>487.5</v>
      </c>
      <c r="V200" s="12">
        <f>U200/13</f>
        <v>37.5</v>
      </c>
      <c r="W200" s="12"/>
      <c r="X200" s="12"/>
      <c r="Y200" s="12">
        <f>P200+S200+U200+W200</f>
        <v>991.25</v>
      </c>
      <c r="Z200" s="12">
        <f>G200*0.01*13</f>
        <v>65</v>
      </c>
      <c r="AA200" s="12">
        <f>Z200/13</f>
        <v>5</v>
      </c>
      <c r="AB200" s="12"/>
      <c r="AC200" s="12"/>
      <c r="AD200" s="12"/>
      <c r="AE200" s="12"/>
      <c r="AF200" s="12"/>
      <c r="AG200" s="12"/>
      <c r="AH200" s="12"/>
      <c r="AI200" s="12"/>
      <c r="AJ200" s="12"/>
      <c r="AK200" s="38"/>
      <c r="AL200" s="38"/>
      <c r="AM200" s="12"/>
      <c r="AN200" s="12"/>
      <c r="AO200" s="12"/>
      <c r="AP200" s="37"/>
      <c r="AQ200" s="37"/>
    </row>
    <row r="201" spans="1:43">
      <c r="A201" s="21">
        <f>A200+1</f>
        <v>149</v>
      </c>
      <c r="B201" s="27" t="s">
        <v>391</v>
      </c>
      <c r="C201" s="25" t="s">
        <v>392</v>
      </c>
      <c r="D201" s="82" t="s">
        <v>386</v>
      </c>
      <c r="E201" s="83" t="s">
        <v>79</v>
      </c>
      <c r="F201" s="84" t="s">
        <v>351</v>
      </c>
      <c r="G201" s="26">
        <f>572+30+50</f>
        <v>652</v>
      </c>
      <c r="H201" s="32">
        <f>G201*12</f>
        <v>7824</v>
      </c>
      <c r="I201" s="32">
        <v>60</v>
      </c>
      <c r="J201" s="32"/>
      <c r="K201" s="32">
        <f>G201</f>
        <v>652</v>
      </c>
      <c r="L201" s="32">
        <v>300</v>
      </c>
      <c r="M201" s="12"/>
      <c r="N201" s="24">
        <v>125</v>
      </c>
      <c r="O201" s="24"/>
      <c r="P201" s="12"/>
      <c r="Q201" s="12"/>
      <c r="R201" s="12"/>
      <c r="S201" s="12"/>
      <c r="T201" s="12"/>
      <c r="U201" s="12">
        <f>G201*0.075*13</f>
        <v>635.69999999999993</v>
      </c>
      <c r="V201" s="12">
        <f>U201/13</f>
        <v>48.899999999999991</v>
      </c>
      <c r="W201" s="12">
        <f>G201*0.06*13</f>
        <v>508.55999999999995</v>
      </c>
      <c r="X201" s="12">
        <v>34.32</v>
      </c>
      <c r="Y201" s="12">
        <f>P201+S201+U201+W201</f>
        <v>1144.2599999999998</v>
      </c>
      <c r="Z201" s="12">
        <f>G201*0.01*13</f>
        <v>84.76</v>
      </c>
      <c r="AA201" s="12">
        <f>Z201/13</f>
        <v>6.5200000000000005</v>
      </c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>
      <c r="A202" s="21"/>
      <c r="B202" s="15"/>
      <c r="C202" s="113" t="s">
        <v>393</v>
      </c>
      <c r="D202" s="82"/>
      <c r="E202" s="83"/>
      <c r="F202" s="84"/>
      <c r="G202" s="86">
        <f>SUM(G198:G201)</f>
        <v>2566</v>
      </c>
      <c r="H202" s="30">
        <f>SUM(H198:H201)</f>
        <v>30792</v>
      </c>
      <c r="I202" s="30">
        <f>SUM(I198:I201)</f>
        <v>240</v>
      </c>
      <c r="J202" s="30">
        <f>SUM(J198:J199)</f>
        <v>0</v>
      </c>
      <c r="K202" s="30">
        <f>SUM(K198:K201)</f>
        <v>2566</v>
      </c>
      <c r="L202" s="30">
        <f>SUM(L198:L201)</f>
        <v>1200</v>
      </c>
      <c r="M202" s="20">
        <f>SUM(M198:M199)</f>
        <v>0</v>
      </c>
      <c r="N202" s="20">
        <f>SUM(N198:N201)</f>
        <v>500</v>
      </c>
      <c r="O202" s="20">
        <f>SUM(O198:O199)</f>
        <v>0</v>
      </c>
      <c r="P202" s="20">
        <f>SUM(P198:P201)</f>
        <v>1928.355</v>
      </c>
      <c r="Q202" s="20">
        <f>SUM(Q198:Q201)</f>
        <v>148.33500000000001</v>
      </c>
      <c r="R202" s="20">
        <f>SUM(R198:R199)</f>
        <v>0</v>
      </c>
      <c r="S202" s="20">
        <f>SUM(S198:S201)</f>
        <v>0</v>
      </c>
      <c r="T202" s="20">
        <f>SUM(T198:T201)</f>
        <v>0</v>
      </c>
      <c r="U202" s="20">
        <f>SUM(U198:U201)+0.01</f>
        <v>2501.86</v>
      </c>
      <c r="V202" s="20">
        <f>SUM(V198:V201)+0.01</f>
        <v>192.45999999999998</v>
      </c>
      <c r="W202" s="20">
        <f>SUM(W198:W201)</f>
        <v>508.55999999999995</v>
      </c>
      <c r="X202" s="20">
        <f>SUM(X198:X201)</f>
        <v>34.32</v>
      </c>
      <c r="Y202" s="20">
        <f>SUM(Y198:Y201)-0.01</f>
        <v>4938.7749999999996</v>
      </c>
      <c r="Z202" s="20">
        <f>SUM(Z198:Z201)</f>
        <v>333.58</v>
      </c>
      <c r="AA202" s="20">
        <f>SUM(AA198:AA201)</f>
        <v>25.66</v>
      </c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</row>
    <row r="203" spans="1:43">
      <c r="A203" s="21">
        <f>A201+1</f>
        <v>150</v>
      </c>
      <c r="B203" s="27" t="s">
        <v>396</v>
      </c>
      <c r="C203" s="105" t="s">
        <v>394</v>
      </c>
      <c r="D203" s="117" t="s">
        <v>395</v>
      </c>
      <c r="E203" s="83" t="s">
        <v>79</v>
      </c>
      <c r="F203" s="84" t="s">
        <v>351</v>
      </c>
      <c r="G203" s="26">
        <v>1500</v>
      </c>
      <c r="H203" s="32">
        <f t="shared" ref="H203:H210" si="102">G203*12</f>
        <v>18000</v>
      </c>
      <c r="I203" s="32">
        <v>60</v>
      </c>
      <c r="J203" s="36"/>
      <c r="K203" s="32">
        <f t="shared" ref="K203:K210" si="103">G203</f>
        <v>1500</v>
      </c>
      <c r="L203" s="32">
        <v>300</v>
      </c>
      <c r="M203" s="37"/>
      <c r="N203" s="24">
        <v>125</v>
      </c>
      <c r="O203" s="24"/>
      <c r="P203" s="12">
        <f t="shared" ref="P203:P210" si="104">G203*0.0775*13</f>
        <v>1511.25</v>
      </c>
      <c r="Q203" s="40"/>
      <c r="R203" s="12">
        <f>P203/13</f>
        <v>116.25</v>
      </c>
      <c r="S203" s="12"/>
      <c r="T203" s="12"/>
      <c r="U203" s="12">
        <f>75*13</f>
        <v>975</v>
      </c>
      <c r="V203" s="12">
        <f t="shared" ref="V203:V210" si="105">U203/13</f>
        <v>75</v>
      </c>
      <c r="W203" s="12"/>
      <c r="X203" s="12"/>
      <c r="Y203" s="12">
        <f>P203+S203+U203+W203</f>
        <v>2486.25</v>
      </c>
      <c r="Z203" s="12">
        <f t="shared" ref="Z203:Z210" si="106">G203*0.01*13</f>
        <v>195</v>
      </c>
      <c r="AA203" s="12">
        <f t="shared" ref="AA203:AA210" si="107">Z203/13</f>
        <v>15</v>
      </c>
      <c r="AB203" s="38"/>
      <c r="AC203" s="38"/>
      <c r="AD203" s="38"/>
      <c r="AE203" s="38"/>
      <c r="AF203" s="37"/>
      <c r="AG203" s="38"/>
      <c r="AH203" s="37"/>
      <c r="AI203" s="12"/>
      <c r="AJ203" s="38"/>
      <c r="AK203" s="38"/>
      <c r="AL203" s="38"/>
      <c r="AM203" s="12"/>
      <c r="AN203" s="12"/>
      <c r="AO203" s="12"/>
      <c r="AP203" s="38"/>
      <c r="AQ203" s="37"/>
    </row>
    <row r="204" spans="1:43">
      <c r="A204" s="21">
        <f t="shared" ref="A204:A210" si="108">A203+1</f>
        <v>151</v>
      </c>
      <c r="C204" s="105" t="s">
        <v>397</v>
      </c>
      <c r="D204" s="117" t="s">
        <v>395</v>
      </c>
      <c r="E204" s="83" t="s">
        <v>79</v>
      </c>
      <c r="F204" s="84" t="s">
        <v>351</v>
      </c>
      <c r="G204" s="26">
        <f>700+50</f>
        <v>750</v>
      </c>
      <c r="H204" s="32">
        <f t="shared" si="102"/>
        <v>9000</v>
      </c>
      <c r="I204" s="32">
        <v>60</v>
      </c>
      <c r="J204" s="36"/>
      <c r="K204" s="32">
        <f t="shared" si="103"/>
        <v>750</v>
      </c>
      <c r="L204" s="32">
        <v>300</v>
      </c>
      <c r="M204" s="37"/>
      <c r="N204" s="24">
        <v>125</v>
      </c>
      <c r="O204" s="24"/>
      <c r="P204" s="12">
        <f t="shared" si="104"/>
        <v>755.625</v>
      </c>
      <c r="Q204" s="40"/>
      <c r="R204" s="12">
        <f>P204/13</f>
        <v>58.125</v>
      </c>
      <c r="S204" s="12"/>
      <c r="T204" s="12"/>
      <c r="U204" s="12">
        <f t="shared" ref="U204:U210" si="109">G204*0.075*13</f>
        <v>731.25</v>
      </c>
      <c r="V204" s="12">
        <f t="shared" si="105"/>
        <v>56.25</v>
      </c>
      <c r="W204" s="12"/>
      <c r="X204" s="12"/>
      <c r="Y204" s="12">
        <f>P204+S204+U204+W204</f>
        <v>1486.875</v>
      </c>
      <c r="Z204" s="12">
        <f t="shared" si="106"/>
        <v>97.5</v>
      </c>
      <c r="AA204" s="12">
        <f t="shared" si="107"/>
        <v>7.5</v>
      </c>
      <c r="AB204" s="38"/>
      <c r="AC204" s="38"/>
      <c r="AD204" s="38"/>
      <c r="AE204" s="38"/>
      <c r="AF204" s="37"/>
      <c r="AG204" s="38"/>
      <c r="AH204" s="37"/>
      <c r="AI204" s="12"/>
      <c r="AJ204" s="38"/>
      <c r="AK204" s="38"/>
      <c r="AL204" s="38"/>
      <c r="AM204" s="12"/>
      <c r="AN204" s="12"/>
      <c r="AO204" s="12"/>
      <c r="AP204" s="38"/>
      <c r="AQ204" s="37"/>
    </row>
    <row r="205" spans="1:43">
      <c r="A205" s="21">
        <f t="shared" si="108"/>
        <v>152</v>
      </c>
      <c r="B205" s="27" t="s">
        <v>398</v>
      </c>
      <c r="C205" s="27" t="s">
        <v>399</v>
      </c>
      <c r="D205" s="117" t="s">
        <v>395</v>
      </c>
      <c r="E205" s="83" t="s">
        <v>79</v>
      </c>
      <c r="F205" s="84" t="s">
        <v>351</v>
      </c>
      <c r="G205" s="26">
        <v>500</v>
      </c>
      <c r="H205" s="32">
        <f t="shared" si="102"/>
        <v>6000</v>
      </c>
      <c r="I205" s="32">
        <v>60</v>
      </c>
      <c r="J205" s="36"/>
      <c r="K205" s="32">
        <f t="shared" si="103"/>
        <v>500</v>
      </c>
      <c r="L205" s="32">
        <v>300</v>
      </c>
      <c r="M205" s="37"/>
      <c r="N205" s="24">
        <v>125</v>
      </c>
      <c r="O205" s="24"/>
      <c r="P205" s="12">
        <f t="shared" si="104"/>
        <v>503.75</v>
      </c>
      <c r="Q205" s="9">
        <f>P205/13</f>
        <v>38.75</v>
      </c>
      <c r="R205" s="12"/>
      <c r="S205" s="12"/>
      <c r="T205" s="12"/>
      <c r="U205" s="12">
        <f t="shared" si="109"/>
        <v>487.5</v>
      </c>
      <c r="V205" s="12">
        <f t="shared" si="105"/>
        <v>37.5</v>
      </c>
      <c r="W205" s="12"/>
      <c r="X205" s="12"/>
      <c r="Y205" s="12">
        <f>P205+S205+U205+W205</f>
        <v>991.25</v>
      </c>
      <c r="Z205" s="12">
        <f t="shared" si="106"/>
        <v>65</v>
      </c>
      <c r="AA205" s="12">
        <f t="shared" si="107"/>
        <v>5</v>
      </c>
      <c r="AB205" s="38"/>
      <c r="AC205" s="38"/>
      <c r="AD205" s="38"/>
      <c r="AE205" s="38"/>
      <c r="AF205" s="37"/>
      <c r="AG205" s="38"/>
      <c r="AH205" s="37"/>
      <c r="AI205" s="12"/>
      <c r="AJ205" s="38"/>
      <c r="AK205" s="38"/>
      <c r="AL205" s="38"/>
      <c r="AM205" s="12"/>
      <c r="AN205" s="12"/>
      <c r="AO205" s="12"/>
      <c r="AP205" s="38"/>
      <c r="AQ205" s="37"/>
    </row>
    <row r="206" spans="1:43">
      <c r="A206" s="21">
        <f t="shared" si="108"/>
        <v>153</v>
      </c>
      <c r="B206" s="27" t="s">
        <v>400</v>
      </c>
      <c r="C206" s="27" t="s">
        <v>135</v>
      </c>
      <c r="D206" s="117" t="s">
        <v>395</v>
      </c>
      <c r="E206" s="83" t="s">
        <v>79</v>
      </c>
      <c r="F206" s="84" t="s">
        <v>351</v>
      </c>
      <c r="G206" s="26">
        <f>567+30+50</f>
        <v>647</v>
      </c>
      <c r="H206" s="32">
        <f t="shared" si="102"/>
        <v>7764</v>
      </c>
      <c r="I206" s="32">
        <v>60</v>
      </c>
      <c r="J206" s="36"/>
      <c r="K206" s="32">
        <f t="shared" si="103"/>
        <v>647</v>
      </c>
      <c r="L206" s="32">
        <v>300</v>
      </c>
      <c r="M206" s="37"/>
      <c r="N206" s="24">
        <v>125</v>
      </c>
      <c r="O206" s="24"/>
      <c r="P206" s="12">
        <f t="shared" si="104"/>
        <v>651.85249999999996</v>
      </c>
      <c r="Q206" s="9">
        <f>P206/13</f>
        <v>50.142499999999998</v>
      </c>
      <c r="R206" s="12"/>
      <c r="S206" s="12"/>
      <c r="T206" s="12"/>
      <c r="U206" s="12">
        <f t="shared" si="109"/>
        <v>630.82499999999993</v>
      </c>
      <c r="V206" s="12">
        <f t="shared" si="105"/>
        <v>48.524999999999991</v>
      </c>
      <c r="W206" s="12"/>
      <c r="X206" s="12"/>
      <c r="Y206" s="12">
        <f>P206+S206+U206+W206</f>
        <v>1282.6774999999998</v>
      </c>
      <c r="Z206" s="12">
        <f t="shared" si="106"/>
        <v>84.11</v>
      </c>
      <c r="AA206" s="12">
        <f t="shared" si="107"/>
        <v>6.47</v>
      </c>
      <c r="AB206" s="38"/>
      <c r="AC206" s="38"/>
      <c r="AD206" s="38"/>
      <c r="AE206" s="38"/>
      <c r="AF206" s="37"/>
      <c r="AG206" s="12"/>
      <c r="AH206" s="37"/>
      <c r="AI206" s="12"/>
      <c r="AJ206" s="38"/>
      <c r="AK206" s="38"/>
      <c r="AL206" s="38"/>
      <c r="AM206" s="12"/>
      <c r="AN206" s="12"/>
      <c r="AO206" s="12"/>
      <c r="AP206" s="38"/>
      <c r="AQ206" s="37"/>
    </row>
    <row r="207" spans="1:43">
      <c r="A207" s="21">
        <f t="shared" si="108"/>
        <v>154</v>
      </c>
      <c r="B207" s="27" t="s">
        <v>401</v>
      </c>
      <c r="C207" s="27" t="s">
        <v>137</v>
      </c>
      <c r="D207" s="117" t="s">
        <v>395</v>
      </c>
      <c r="E207" s="83" t="s">
        <v>79</v>
      </c>
      <c r="F207" s="84" t="s">
        <v>351</v>
      </c>
      <c r="G207" s="26">
        <v>417</v>
      </c>
      <c r="H207" s="32">
        <f t="shared" si="102"/>
        <v>5004</v>
      </c>
      <c r="I207" s="32">
        <v>60</v>
      </c>
      <c r="J207" s="36"/>
      <c r="K207" s="32">
        <f t="shared" si="103"/>
        <v>417</v>
      </c>
      <c r="L207" s="32">
        <v>300</v>
      </c>
      <c r="M207" s="37"/>
      <c r="N207" s="24">
        <v>125</v>
      </c>
      <c r="O207" s="24"/>
      <c r="P207" s="12">
        <f t="shared" si="104"/>
        <v>420.12750000000005</v>
      </c>
      <c r="Q207" s="9">
        <f>P207/13</f>
        <v>32.317500000000003</v>
      </c>
      <c r="R207" s="12"/>
      <c r="S207" s="12"/>
      <c r="T207" s="12"/>
      <c r="U207" s="12">
        <f t="shared" si="109"/>
        <v>406.57499999999999</v>
      </c>
      <c r="V207" s="12">
        <f t="shared" si="105"/>
        <v>31.274999999999999</v>
      </c>
      <c r="W207" s="12"/>
      <c r="X207" s="12"/>
      <c r="Y207" s="12">
        <f>P207+S207+U207+W207+0.01</f>
        <v>826.71250000000009</v>
      </c>
      <c r="Z207" s="12">
        <f t="shared" si="106"/>
        <v>54.21</v>
      </c>
      <c r="AA207" s="12">
        <f t="shared" si="107"/>
        <v>4.17</v>
      </c>
      <c r="AB207" s="38"/>
      <c r="AC207" s="38"/>
      <c r="AD207" s="38"/>
      <c r="AE207" s="38"/>
      <c r="AF207" s="37"/>
      <c r="AG207" s="12"/>
      <c r="AH207" s="37"/>
      <c r="AI207" s="12"/>
      <c r="AJ207" s="38"/>
      <c r="AK207" s="38"/>
      <c r="AL207" s="38"/>
      <c r="AM207" s="12"/>
      <c r="AN207" s="12"/>
      <c r="AO207" s="12"/>
      <c r="AP207" s="38"/>
      <c r="AQ207" s="37"/>
    </row>
    <row r="208" spans="1:43">
      <c r="A208" s="21">
        <f t="shared" si="108"/>
        <v>155</v>
      </c>
      <c r="B208" s="27" t="s">
        <v>402</v>
      </c>
      <c r="C208" s="27" t="s">
        <v>137</v>
      </c>
      <c r="D208" s="117" t="s">
        <v>395</v>
      </c>
      <c r="E208" s="83" t="s">
        <v>79</v>
      </c>
      <c r="F208" s="84" t="s">
        <v>351</v>
      </c>
      <c r="G208" s="26">
        <v>417</v>
      </c>
      <c r="H208" s="32">
        <f t="shared" si="102"/>
        <v>5004</v>
      </c>
      <c r="I208" s="32">
        <v>60</v>
      </c>
      <c r="J208" s="36"/>
      <c r="K208" s="32">
        <f t="shared" si="103"/>
        <v>417</v>
      </c>
      <c r="L208" s="32">
        <v>300</v>
      </c>
      <c r="M208" s="37"/>
      <c r="N208" s="24">
        <v>125</v>
      </c>
      <c r="O208" s="24"/>
      <c r="P208" s="12">
        <f t="shared" si="104"/>
        <v>420.12750000000005</v>
      </c>
      <c r="Q208" s="9"/>
      <c r="R208" s="12">
        <f>P208/13</f>
        <v>32.317500000000003</v>
      </c>
      <c r="S208" s="12"/>
      <c r="T208" s="12"/>
      <c r="U208" s="12">
        <f t="shared" si="109"/>
        <v>406.57499999999999</v>
      </c>
      <c r="V208" s="12">
        <f t="shared" si="105"/>
        <v>31.274999999999999</v>
      </c>
      <c r="W208" s="12"/>
      <c r="X208" s="12"/>
      <c r="Y208" s="12">
        <f>P208+S208+U208+W208+0.01</f>
        <v>826.71250000000009</v>
      </c>
      <c r="Z208" s="12">
        <f t="shared" si="106"/>
        <v>54.21</v>
      </c>
      <c r="AA208" s="12">
        <f t="shared" si="107"/>
        <v>4.17</v>
      </c>
      <c r="AB208" s="38"/>
      <c r="AC208" s="38"/>
      <c r="AD208" s="38"/>
      <c r="AE208" s="38"/>
      <c r="AF208" s="37"/>
      <c r="AG208" s="12"/>
      <c r="AH208" s="37"/>
      <c r="AI208" s="12"/>
      <c r="AJ208" s="38"/>
      <c r="AK208" s="38"/>
      <c r="AL208" s="38"/>
      <c r="AM208" s="12"/>
      <c r="AN208" s="12"/>
      <c r="AO208" s="12"/>
      <c r="AP208" s="38"/>
      <c r="AQ208" s="37"/>
    </row>
    <row r="209" spans="1:43">
      <c r="A209" s="21">
        <f t="shared" si="108"/>
        <v>156</v>
      </c>
      <c r="B209" s="27" t="s">
        <v>403</v>
      </c>
      <c r="C209" s="27" t="s">
        <v>137</v>
      </c>
      <c r="D209" s="117" t="s">
        <v>395</v>
      </c>
      <c r="E209" s="83" t="s">
        <v>79</v>
      </c>
      <c r="F209" s="84" t="s">
        <v>351</v>
      </c>
      <c r="G209" s="26">
        <v>417</v>
      </c>
      <c r="H209" s="32">
        <f t="shared" si="102"/>
        <v>5004</v>
      </c>
      <c r="I209" s="32">
        <v>60</v>
      </c>
      <c r="J209" s="36"/>
      <c r="K209" s="32">
        <f t="shared" si="103"/>
        <v>417</v>
      </c>
      <c r="L209" s="32">
        <v>300</v>
      </c>
      <c r="M209" s="37"/>
      <c r="N209" s="24">
        <v>125</v>
      </c>
      <c r="O209" s="24"/>
      <c r="P209" s="12">
        <f t="shared" si="104"/>
        <v>420.12750000000005</v>
      </c>
      <c r="Q209" s="9"/>
      <c r="R209" s="12">
        <f>P209/13</f>
        <v>32.317500000000003</v>
      </c>
      <c r="S209" s="12"/>
      <c r="T209" s="12"/>
      <c r="U209" s="12">
        <f t="shared" si="109"/>
        <v>406.57499999999999</v>
      </c>
      <c r="V209" s="12">
        <f t="shared" si="105"/>
        <v>31.274999999999999</v>
      </c>
      <c r="W209" s="12"/>
      <c r="X209" s="12"/>
      <c r="Y209" s="12">
        <f>P209+S209+U209+W209+0.01</f>
        <v>826.71250000000009</v>
      </c>
      <c r="Z209" s="12">
        <f t="shared" si="106"/>
        <v>54.21</v>
      </c>
      <c r="AA209" s="12">
        <f t="shared" si="107"/>
        <v>4.17</v>
      </c>
      <c r="AB209" s="38"/>
      <c r="AC209" s="38"/>
      <c r="AD209" s="38"/>
      <c r="AE209" s="38"/>
      <c r="AF209" s="37"/>
      <c r="AG209" s="12"/>
      <c r="AH209" s="37"/>
      <c r="AI209" s="12"/>
      <c r="AJ209" s="38"/>
      <c r="AK209" s="38"/>
      <c r="AL209" s="38"/>
      <c r="AM209" s="12"/>
      <c r="AN209" s="12"/>
      <c r="AO209" s="12"/>
      <c r="AP209" s="38"/>
      <c r="AQ209" s="37"/>
    </row>
    <row r="210" spans="1:43">
      <c r="A210" s="21">
        <f t="shared" si="108"/>
        <v>157</v>
      </c>
      <c r="B210" s="27" t="s">
        <v>404</v>
      </c>
      <c r="C210" s="27" t="s">
        <v>137</v>
      </c>
      <c r="D210" s="117" t="s">
        <v>395</v>
      </c>
      <c r="E210" s="83" t="s">
        <v>79</v>
      </c>
      <c r="F210" s="84" t="s">
        <v>351</v>
      </c>
      <c r="G210" s="26">
        <v>417</v>
      </c>
      <c r="H210" s="32">
        <f t="shared" si="102"/>
        <v>5004</v>
      </c>
      <c r="I210" s="32">
        <v>60</v>
      </c>
      <c r="J210" s="32"/>
      <c r="K210" s="32">
        <f t="shared" si="103"/>
        <v>417</v>
      </c>
      <c r="L210" s="32">
        <v>300</v>
      </c>
      <c r="M210" s="12"/>
      <c r="N210" s="24">
        <v>125</v>
      </c>
      <c r="O210" s="24"/>
      <c r="P210" s="12">
        <f t="shared" si="104"/>
        <v>420.12750000000005</v>
      </c>
      <c r="Q210" s="9"/>
      <c r="R210" s="12">
        <f>P210/13</f>
        <v>32.317500000000003</v>
      </c>
      <c r="S210" s="12"/>
      <c r="T210" s="12"/>
      <c r="U210" s="12">
        <f t="shared" si="109"/>
        <v>406.57499999999999</v>
      </c>
      <c r="V210" s="12">
        <f t="shared" si="105"/>
        <v>31.274999999999999</v>
      </c>
      <c r="W210" s="12"/>
      <c r="X210" s="12"/>
      <c r="Y210" s="12">
        <f>P210+S210+U210+W210+0.01</f>
        <v>826.71250000000009</v>
      </c>
      <c r="Z210" s="12">
        <f t="shared" si="106"/>
        <v>54.21</v>
      </c>
      <c r="AA210" s="12">
        <f t="shared" si="107"/>
        <v>4.17</v>
      </c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</row>
    <row r="211" spans="1:43">
      <c r="A211" s="21"/>
      <c r="B211" s="15"/>
      <c r="C211" s="85" t="s">
        <v>405</v>
      </c>
      <c r="D211" s="99"/>
      <c r="E211" s="83"/>
      <c r="F211" s="84"/>
      <c r="G211" s="86">
        <f>SUM(G203:G210)</f>
        <v>5065</v>
      </c>
      <c r="H211" s="30">
        <f>SUM(H203:H210)</f>
        <v>60780</v>
      </c>
      <c r="I211" s="30">
        <f>SUM(I203:I210)</f>
        <v>480</v>
      </c>
      <c r="J211" s="30"/>
      <c r="K211" s="30">
        <f>SUM(K203:K210)</f>
        <v>5065</v>
      </c>
      <c r="L211" s="30">
        <f>SUM(L203:L210)</f>
        <v>2400</v>
      </c>
      <c r="M211" s="20"/>
      <c r="N211" s="31">
        <f>SUM(N203:N210)</f>
        <v>1000</v>
      </c>
      <c r="O211" s="31"/>
      <c r="P211" s="20">
        <f>SUM(P203:P210)+0.01</f>
        <v>5102.9975000000013</v>
      </c>
      <c r="Q211" s="20">
        <f>SUM(Q203:Q210)</f>
        <v>121.21000000000001</v>
      </c>
      <c r="R211" s="20">
        <f>SUM(R203:R210)+0.01</f>
        <v>271.33749999999998</v>
      </c>
      <c r="S211" s="20">
        <f>SUM(S203:S210)</f>
        <v>0</v>
      </c>
      <c r="T211" s="20">
        <f>SUM(T203:T210)</f>
        <v>0</v>
      </c>
      <c r="U211" s="20">
        <f>SUM(U203:U210)+0.01</f>
        <v>4450.8849999999993</v>
      </c>
      <c r="V211" s="20">
        <f>SUM(V203:V210)+0.01</f>
        <v>342.38499999999993</v>
      </c>
      <c r="W211" s="20">
        <f>SUM(W203:X210)</f>
        <v>0</v>
      </c>
      <c r="X211" s="20">
        <f>SUM(X203:X210)</f>
        <v>0</v>
      </c>
      <c r="Y211" s="20">
        <f>SUM(Y203:Y210)-0.01</f>
        <v>9553.8924999999981</v>
      </c>
      <c r="Z211" s="20">
        <f>SUM(Z203:Z210)</f>
        <v>658.45</v>
      </c>
      <c r="AA211" s="20">
        <f>SUM(AA203:AA210)</f>
        <v>50.650000000000006</v>
      </c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</row>
    <row r="212" spans="1:43">
      <c r="A212" s="21">
        <f>A210+1</f>
        <v>158</v>
      </c>
      <c r="B212" s="111" t="s">
        <v>406</v>
      </c>
      <c r="C212" s="51" t="s">
        <v>407</v>
      </c>
      <c r="D212" s="82" t="s">
        <v>408</v>
      </c>
      <c r="E212" s="83" t="s">
        <v>79</v>
      </c>
      <c r="F212" s="84" t="s">
        <v>351</v>
      </c>
      <c r="G212" s="26">
        <v>900</v>
      </c>
      <c r="H212" s="32">
        <f t="shared" ref="H212:H247" si="110">G212*12</f>
        <v>10800</v>
      </c>
      <c r="I212" s="32">
        <v>60</v>
      </c>
      <c r="J212" s="36"/>
      <c r="K212" s="32">
        <f t="shared" ref="K212:K247" si="111">G212</f>
        <v>900</v>
      </c>
      <c r="L212" s="32">
        <v>300</v>
      </c>
      <c r="M212" s="37"/>
      <c r="N212" s="24">
        <v>125</v>
      </c>
      <c r="O212" s="24"/>
      <c r="P212" s="12">
        <f>G212*0.0775*13</f>
        <v>906.75</v>
      </c>
      <c r="Q212" s="9"/>
      <c r="R212" s="12">
        <f>P212/13</f>
        <v>69.75</v>
      </c>
      <c r="S212" s="12"/>
      <c r="T212" s="12"/>
      <c r="U212" s="12">
        <f>G212*0.075*13</f>
        <v>877.5</v>
      </c>
      <c r="V212" s="12">
        <f t="shared" ref="V212:V247" si="112">U212/13</f>
        <v>67.5</v>
      </c>
      <c r="W212" s="12"/>
      <c r="X212" s="12"/>
      <c r="Y212" s="12">
        <f t="shared" ref="Y212:Y219" si="113">P212+S212+U212+W212</f>
        <v>1784.25</v>
      </c>
      <c r="Z212" s="12">
        <f>G212*0.01*13</f>
        <v>117</v>
      </c>
      <c r="AA212" s="12">
        <f t="shared" ref="AA212:AA247" si="114">Z212/13</f>
        <v>9</v>
      </c>
      <c r="AB212" s="38"/>
      <c r="AC212" s="38"/>
      <c r="AD212" s="38"/>
      <c r="AE212" s="38"/>
      <c r="AF212" s="37"/>
      <c r="AG212" s="38"/>
      <c r="AH212" s="37"/>
      <c r="AI212" s="12"/>
      <c r="AJ212" s="38"/>
      <c r="AK212" s="38"/>
      <c r="AL212" s="38"/>
      <c r="AM212" s="12"/>
      <c r="AN212" s="12"/>
      <c r="AO212" s="12"/>
      <c r="AP212" s="38"/>
      <c r="AQ212" s="37"/>
    </row>
    <row r="213" spans="1:43">
      <c r="A213" s="21">
        <f>A212+1</f>
        <v>159</v>
      </c>
      <c r="B213" s="27" t="s">
        <v>409</v>
      </c>
      <c r="C213" s="51" t="s">
        <v>410</v>
      </c>
      <c r="D213" s="82" t="s">
        <v>408</v>
      </c>
      <c r="E213" s="83" t="s">
        <v>79</v>
      </c>
      <c r="F213" s="84" t="s">
        <v>351</v>
      </c>
      <c r="G213" s="26">
        <f>740+30+50</f>
        <v>820</v>
      </c>
      <c r="H213" s="32">
        <f t="shared" si="110"/>
        <v>9840</v>
      </c>
      <c r="I213" s="32">
        <v>60</v>
      </c>
      <c r="J213" s="36"/>
      <c r="K213" s="32">
        <f t="shared" si="111"/>
        <v>820</v>
      </c>
      <c r="L213" s="32">
        <v>300</v>
      </c>
      <c r="M213" s="37"/>
      <c r="N213" s="24">
        <v>125</v>
      </c>
      <c r="O213" s="24"/>
      <c r="P213" s="12">
        <f>G213*0.0775*13</f>
        <v>826.15</v>
      </c>
      <c r="Q213" s="9"/>
      <c r="R213" s="12">
        <f>P213/13</f>
        <v>63.55</v>
      </c>
      <c r="S213" s="12"/>
      <c r="T213" s="12"/>
      <c r="U213" s="12">
        <f>G213*0.075*13</f>
        <v>799.5</v>
      </c>
      <c r="V213" s="12">
        <f t="shared" si="112"/>
        <v>61.5</v>
      </c>
      <c r="W213" s="12"/>
      <c r="X213" s="12"/>
      <c r="Y213" s="12">
        <f t="shared" si="113"/>
        <v>1625.65</v>
      </c>
      <c r="Z213" s="12">
        <f>G213*0.01*13</f>
        <v>106.6</v>
      </c>
      <c r="AA213" s="12">
        <f t="shared" si="114"/>
        <v>8.1999999999999993</v>
      </c>
      <c r="AB213" s="38"/>
      <c r="AC213" s="38"/>
      <c r="AD213" s="38"/>
      <c r="AE213" s="38"/>
      <c r="AF213" s="37"/>
      <c r="AG213" s="38"/>
      <c r="AH213" s="37"/>
      <c r="AI213" s="12"/>
      <c r="AJ213" s="38"/>
      <c r="AK213" s="38"/>
      <c r="AL213" s="38"/>
      <c r="AM213" s="12"/>
      <c r="AN213" s="12"/>
      <c r="AO213" s="12"/>
      <c r="AP213" s="38"/>
      <c r="AQ213" s="37"/>
    </row>
    <row r="214" spans="1:43">
      <c r="A214" s="21">
        <f>A213+1</f>
        <v>160</v>
      </c>
      <c r="B214" s="27" t="s">
        <v>411</v>
      </c>
      <c r="C214" s="56" t="s">
        <v>162</v>
      </c>
      <c r="D214" s="82" t="s">
        <v>408</v>
      </c>
      <c r="E214" s="83" t="s">
        <v>79</v>
      </c>
      <c r="F214" s="84" t="s">
        <v>351</v>
      </c>
      <c r="G214" s="26">
        <f>567+30+50</f>
        <v>647</v>
      </c>
      <c r="H214" s="32">
        <f>G214*12</f>
        <v>7764</v>
      </c>
      <c r="I214" s="32">
        <v>60</v>
      </c>
      <c r="J214" s="32"/>
      <c r="K214" s="32">
        <f>G214</f>
        <v>647</v>
      </c>
      <c r="L214" s="32">
        <v>300</v>
      </c>
      <c r="M214" s="12"/>
      <c r="N214" s="24">
        <v>125</v>
      </c>
      <c r="O214" s="24"/>
      <c r="P214" s="12">
        <f>G214*0.0775*13</f>
        <v>651.85249999999996</v>
      </c>
      <c r="Q214" s="9">
        <f>P214/13</f>
        <v>50.142499999999998</v>
      </c>
      <c r="R214" s="12"/>
      <c r="S214" s="12"/>
      <c r="T214" s="12"/>
      <c r="U214" s="12">
        <f>G214*0.075*13</f>
        <v>630.82499999999993</v>
      </c>
      <c r="V214" s="12">
        <f>U214/13</f>
        <v>48.524999999999991</v>
      </c>
      <c r="W214" s="12"/>
      <c r="X214" s="12"/>
      <c r="Y214" s="12">
        <f>P214+S214+U214+W214</f>
        <v>1282.6774999999998</v>
      </c>
      <c r="Z214" s="12">
        <f>G214*0.01*13</f>
        <v>84.11</v>
      </c>
      <c r="AA214" s="12">
        <f>Z214/13</f>
        <v>6.47</v>
      </c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</row>
    <row r="215" spans="1:43">
      <c r="A215" s="21">
        <f>A214+1</f>
        <v>161</v>
      </c>
      <c r="B215" s="27" t="s">
        <v>412</v>
      </c>
      <c r="C215" s="51" t="s">
        <v>410</v>
      </c>
      <c r="D215" s="82" t="s">
        <v>408</v>
      </c>
      <c r="E215" s="83" t="s">
        <v>79</v>
      </c>
      <c r="F215" s="84" t="s">
        <v>351</v>
      </c>
      <c r="G215" s="26">
        <f>740+30+50</f>
        <v>820</v>
      </c>
      <c r="H215" s="32">
        <f>G215*12</f>
        <v>9840</v>
      </c>
      <c r="I215" s="32">
        <v>60</v>
      </c>
      <c r="J215" s="36"/>
      <c r="K215" s="32">
        <f>G215</f>
        <v>820</v>
      </c>
      <c r="L215" s="32">
        <v>300</v>
      </c>
      <c r="M215" s="37"/>
      <c r="N215" s="24">
        <v>125</v>
      </c>
      <c r="O215" s="24"/>
      <c r="P215" s="12"/>
      <c r="Q215" s="12"/>
      <c r="R215" s="12"/>
      <c r="S215" s="12"/>
      <c r="T215" s="12"/>
      <c r="U215" s="12">
        <f>G215*0.075*13</f>
        <v>799.5</v>
      </c>
      <c r="V215" s="12">
        <f>U215/13</f>
        <v>61.5</v>
      </c>
      <c r="W215" s="12">
        <f>G215*0.06*13</f>
        <v>639.59999999999991</v>
      </c>
      <c r="X215" s="12">
        <f>W215/12</f>
        <v>53.29999999999999</v>
      </c>
      <c r="Y215" s="12">
        <f>P215+S215+U215+W215</f>
        <v>1439.1</v>
      </c>
      <c r="Z215" s="12">
        <f>G215*0.01*13</f>
        <v>106.6</v>
      </c>
      <c r="AA215" s="12">
        <f>Z215/13</f>
        <v>8.1999999999999993</v>
      </c>
      <c r="AB215" s="38"/>
      <c r="AC215" s="38"/>
      <c r="AD215" s="38"/>
      <c r="AE215" s="38"/>
      <c r="AF215" s="37"/>
      <c r="AG215" s="38"/>
      <c r="AH215" s="37"/>
      <c r="AI215" s="12"/>
      <c r="AJ215" s="38"/>
      <c r="AK215" s="38"/>
      <c r="AL215" s="38"/>
      <c r="AM215" s="12"/>
      <c r="AN215" s="12"/>
      <c r="AO215" s="12"/>
      <c r="AP215" s="38"/>
      <c r="AQ215" s="37"/>
    </row>
    <row r="216" spans="1:43">
      <c r="A216" s="21">
        <f>A215+1</f>
        <v>162</v>
      </c>
      <c r="B216" s="27" t="s">
        <v>413</v>
      </c>
      <c r="C216" s="51" t="s">
        <v>410</v>
      </c>
      <c r="D216" s="82" t="s">
        <v>408</v>
      </c>
      <c r="E216" s="83" t="s">
        <v>79</v>
      </c>
      <c r="F216" s="84" t="s">
        <v>351</v>
      </c>
      <c r="G216" s="26">
        <f>737+30+50</f>
        <v>817</v>
      </c>
      <c r="H216" s="32">
        <f t="shared" si="110"/>
        <v>9804</v>
      </c>
      <c r="I216" s="32">
        <v>60</v>
      </c>
      <c r="J216" s="36"/>
      <c r="K216" s="32">
        <f t="shared" si="111"/>
        <v>817</v>
      </c>
      <c r="L216" s="32">
        <v>300</v>
      </c>
      <c r="M216" s="37"/>
      <c r="N216" s="24">
        <v>125</v>
      </c>
      <c r="O216" s="24"/>
      <c r="P216" s="12"/>
      <c r="Q216" s="9"/>
      <c r="R216" s="12"/>
      <c r="S216" s="12"/>
      <c r="T216" s="12"/>
      <c r="U216" s="12">
        <f t="shared" ref="U216:U250" si="115">G216*0.075*13</f>
        <v>796.57499999999993</v>
      </c>
      <c r="V216" s="12">
        <f t="shared" si="112"/>
        <v>61.274999999999991</v>
      </c>
      <c r="W216" s="12">
        <f>G216*0.06*13</f>
        <v>637.26</v>
      </c>
      <c r="X216" s="12">
        <f>W216/12</f>
        <v>53.104999999999997</v>
      </c>
      <c r="Y216" s="12">
        <f t="shared" si="113"/>
        <v>1433.835</v>
      </c>
      <c r="Z216" s="12">
        <f t="shared" ref="Z216:Z247" si="116">G216*0.01*13</f>
        <v>106.21</v>
      </c>
      <c r="AA216" s="12">
        <f t="shared" si="114"/>
        <v>8.17</v>
      </c>
      <c r="AB216" s="38"/>
      <c r="AC216" s="38"/>
      <c r="AD216" s="38"/>
      <c r="AE216" s="38"/>
      <c r="AF216" s="37"/>
      <c r="AG216" s="38"/>
      <c r="AH216" s="37"/>
      <c r="AI216" s="12"/>
      <c r="AJ216" s="38"/>
      <c r="AK216" s="38"/>
      <c r="AL216" s="38"/>
      <c r="AM216" s="12"/>
      <c r="AN216" s="12"/>
      <c r="AO216" s="12"/>
      <c r="AP216" s="38"/>
      <c r="AQ216" s="37"/>
    </row>
    <row r="217" spans="1:43">
      <c r="A217" s="21">
        <f t="shared" ref="A217:A247" si="117">A216+1</f>
        <v>163</v>
      </c>
      <c r="B217" s="27" t="s">
        <v>414</v>
      </c>
      <c r="C217" s="56" t="s">
        <v>415</v>
      </c>
      <c r="D217" s="82" t="s">
        <v>408</v>
      </c>
      <c r="E217" s="83" t="s">
        <v>79</v>
      </c>
      <c r="F217" s="84" t="s">
        <v>351</v>
      </c>
      <c r="G217" s="26">
        <f>605.15+30+50</f>
        <v>685.15</v>
      </c>
      <c r="H217" s="32">
        <f t="shared" si="110"/>
        <v>8221.7999999999993</v>
      </c>
      <c r="I217" s="32">
        <v>60</v>
      </c>
      <c r="J217" s="36"/>
      <c r="K217" s="32">
        <f t="shared" si="111"/>
        <v>685.15</v>
      </c>
      <c r="L217" s="32">
        <v>300</v>
      </c>
      <c r="M217" s="37"/>
      <c r="N217" s="24">
        <v>125</v>
      </c>
      <c r="O217" s="24"/>
      <c r="P217" s="12">
        <f>G217*0.0775*13</f>
        <v>690.28862500000002</v>
      </c>
      <c r="Q217" s="9">
        <f>P217/13</f>
        <v>53.099125000000001</v>
      </c>
      <c r="R217" s="12"/>
      <c r="S217" s="12"/>
      <c r="T217" s="12"/>
      <c r="U217" s="12">
        <f t="shared" si="115"/>
        <v>668.02125000000001</v>
      </c>
      <c r="V217" s="12">
        <f t="shared" si="112"/>
        <v>51.386250000000004</v>
      </c>
      <c r="W217" s="12"/>
      <c r="X217" s="12"/>
      <c r="Y217" s="12">
        <f t="shared" si="113"/>
        <v>1358.3098749999999</v>
      </c>
      <c r="Z217" s="12">
        <f t="shared" si="116"/>
        <v>89.069499999999991</v>
      </c>
      <c r="AA217" s="12">
        <f t="shared" si="114"/>
        <v>6.8514999999999997</v>
      </c>
      <c r="AB217" s="38"/>
      <c r="AC217" s="38"/>
      <c r="AD217" s="38"/>
      <c r="AE217" s="38"/>
      <c r="AF217" s="37"/>
      <c r="AG217" s="38"/>
      <c r="AH217" s="37"/>
      <c r="AI217" s="12"/>
      <c r="AJ217" s="38"/>
      <c r="AK217" s="38"/>
      <c r="AL217" s="38"/>
      <c r="AM217" s="12"/>
      <c r="AN217" s="12"/>
      <c r="AO217" s="12"/>
      <c r="AP217" s="38"/>
      <c r="AQ217" s="37"/>
    </row>
    <row r="218" spans="1:43">
      <c r="A218" s="21">
        <f t="shared" si="117"/>
        <v>164</v>
      </c>
      <c r="B218" s="27" t="s">
        <v>416</v>
      </c>
      <c r="C218" s="56" t="s">
        <v>415</v>
      </c>
      <c r="D218" s="82" t="s">
        <v>408</v>
      </c>
      <c r="E218" s="83" t="s">
        <v>79</v>
      </c>
      <c r="F218" s="84" t="s">
        <v>351</v>
      </c>
      <c r="G218" s="26">
        <f>605.15+30+50</f>
        <v>685.15</v>
      </c>
      <c r="H218" s="32">
        <f>G218*12</f>
        <v>8221.7999999999993</v>
      </c>
      <c r="I218" s="32">
        <v>60</v>
      </c>
      <c r="J218" s="36"/>
      <c r="K218" s="32">
        <f>G218</f>
        <v>685.15</v>
      </c>
      <c r="L218" s="32">
        <v>300</v>
      </c>
      <c r="M218" s="37"/>
      <c r="N218" s="24">
        <v>125</v>
      </c>
      <c r="O218" s="24"/>
      <c r="P218" s="12">
        <f>G218*0.0775*13</f>
        <v>690.28862500000002</v>
      </c>
      <c r="Q218" s="40"/>
      <c r="R218" s="12">
        <f>P218/13</f>
        <v>53.099125000000001</v>
      </c>
      <c r="S218" s="12"/>
      <c r="T218" s="12"/>
      <c r="U218" s="12">
        <f>G218*0.075*13</f>
        <v>668.02125000000001</v>
      </c>
      <c r="V218" s="12">
        <f t="shared" si="112"/>
        <v>51.386250000000004</v>
      </c>
      <c r="W218" s="12"/>
      <c r="X218" s="12"/>
      <c r="Y218" s="12">
        <f t="shared" si="113"/>
        <v>1358.3098749999999</v>
      </c>
      <c r="Z218" s="12">
        <f>G218*0.01*13</f>
        <v>89.069499999999991</v>
      </c>
      <c r="AA218" s="12">
        <f t="shared" si="114"/>
        <v>6.8514999999999997</v>
      </c>
      <c r="AB218" s="38"/>
      <c r="AC218" s="38"/>
      <c r="AD218" s="38"/>
      <c r="AE218" s="38"/>
      <c r="AF218" s="37"/>
      <c r="AG218" s="38"/>
      <c r="AH218" s="37"/>
      <c r="AI218" s="12"/>
      <c r="AJ218" s="38"/>
      <c r="AK218" s="38"/>
      <c r="AL218" s="38"/>
      <c r="AM218" s="12"/>
      <c r="AN218" s="12"/>
      <c r="AO218" s="12"/>
      <c r="AP218" s="38"/>
      <c r="AQ218" s="37"/>
    </row>
    <row r="219" spans="1:43">
      <c r="A219" s="21">
        <f t="shared" si="117"/>
        <v>165</v>
      </c>
      <c r="B219" s="27" t="s">
        <v>417</v>
      </c>
      <c r="C219" s="56" t="s">
        <v>415</v>
      </c>
      <c r="D219" s="82" t="s">
        <v>408</v>
      </c>
      <c r="E219" s="83" t="s">
        <v>79</v>
      </c>
      <c r="F219" s="84" t="s">
        <v>351</v>
      </c>
      <c r="G219" s="26">
        <f>605.15+30+50</f>
        <v>685.15</v>
      </c>
      <c r="H219" s="32">
        <f>G219*12</f>
        <v>8221.7999999999993</v>
      </c>
      <c r="I219" s="32">
        <v>60</v>
      </c>
      <c r="J219" s="36"/>
      <c r="K219" s="32">
        <f t="shared" si="111"/>
        <v>685.15</v>
      </c>
      <c r="L219" s="32">
        <v>300</v>
      </c>
      <c r="M219" s="37"/>
      <c r="N219" s="24">
        <v>125</v>
      </c>
      <c r="O219" s="24"/>
      <c r="P219" s="12"/>
      <c r="Q219" s="12"/>
      <c r="R219" s="12"/>
      <c r="S219" s="12"/>
      <c r="T219" s="12"/>
      <c r="U219" s="12">
        <f t="shared" si="115"/>
        <v>668.02125000000001</v>
      </c>
      <c r="V219" s="12">
        <f t="shared" si="112"/>
        <v>51.386250000000004</v>
      </c>
      <c r="W219" s="12">
        <f>G219*0.06*13</f>
        <v>534.41699999999992</v>
      </c>
      <c r="X219" s="12">
        <f>W219/12</f>
        <v>44.534749999999995</v>
      </c>
      <c r="Y219" s="12">
        <f t="shared" si="113"/>
        <v>1202.4382499999999</v>
      </c>
      <c r="Z219" s="12">
        <f t="shared" si="116"/>
        <v>89.069499999999991</v>
      </c>
      <c r="AA219" s="12">
        <f t="shared" si="114"/>
        <v>6.8514999999999997</v>
      </c>
      <c r="AB219" s="38"/>
      <c r="AC219" s="38"/>
      <c r="AD219" s="38"/>
      <c r="AE219" s="38"/>
      <c r="AF219" s="37"/>
      <c r="AG219" s="38"/>
      <c r="AH219" s="37"/>
      <c r="AI219" s="12"/>
      <c r="AJ219" s="38"/>
      <c r="AK219" s="38"/>
      <c r="AL219" s="38"/>
      <c r="AM219" s="12"/>
      <c r="AN219" s="12"/>
      <c r="AO219" s="12"/>
      <c r="AP219" s="38"/>
      <c r="AQ219" s="37"/>
    </row>
    <row r="220" spans="1:43">
      <c r="A220" s="21">
        <f t="shared" si="117"/>
        <v>166</v>
      </c>
      <c r="B220" s="27" t="s">
        <v>418</v>
      </c>
      <c r="C220" s="56" t="s">
        <v>419</v>
      </c>
      <c r="D220" s="82" t="s">
        <v>408</v>
      </c>
      <c r="E220" s="83" t="s">
        <v>79</v>
      </c>
      <c r="F220" s="84" t="s">
        <v>351</v>
      </c>
      <c r="G220" s="26">
        <f>547+30+50</f>
        <v>627</v>
      </c>
      <c r="H220" s="32">
        <f t="shared" si="110"/>
        <v>7524</v>
      </c>
      <c r="I220" s="32">
        <v>60</v>
      </c>
      <c r="J220" s="36"/>
      <c r="K220" s="32">
        <f t="shared" si="111"/>
        <v>627</v>
      </c>
      <c r="L220" s="32">
        <v>300</v>
      </c>
      <c r="M220" s="37"/>
      <c r="N220" s="24">
        <v>125</v>
      </c>
      <c r="O220" s="24"/>
      <c r="P220" s="12">
        <f>G220*0.0775*13</f>
        <v>631.70249999999999</v>
      </c>
      <c r="Q220" s="40"/>
      <c r="R220" s="12">
        <f>P220/13</f>
        <v>48.592500000000001</v>
      </c>
      <c r="S220" s="12"/>
      <c r="T220" s="12"/>
      <c r="U220" s="12">
        <f t="shared" si="115"/>
        <v>611.32499999999993</v>
      </c>
      <c r="V220" s="12">
        <f t="shared" si="112"/>
        <v>47.024999999999991</v>
      </c>
      <c r="W220" s="12"/>
      <c r="X220" s="12"/>
      <c r="Y220" s="12">
        <f t="shared" ref="Y220:Y233" si="118">P220+S220+U220+W220</f>
        <v>1243.0274999999999</v>
      </c>
      <c r="Z220" s="12">
        <f t="shared" si="116"/>
        <v>81.510000000000005</v>
      </c>
      <c r="AA220" s="12">
        <f t="shared" si="114"/>
        <v>6.2700000000000005</v>
      </c>
      <c r="AB220" s="38"/>
      <c r="AC220" s="38"/>
      <c r="AD220" s="38"/>
      <c r="AE220" s="38"/>
      <c r="AF220" s="37"/>
      <c r="AG220" s="37"/>
      <c r="AH220" s="37"/>
      <c r="AI220" s="12"/>
      <c r="AJ220" s="38"/>
      <c r="AK220" s="38"/>
      <c r="AL220" s="38"/>
      <c r="AM220" s="12"/>
      <c r="AN220" s="12"/>
      <c r="AO220" s="12"/>
      <c r="AP220" s="37"/>
      <c r="AQ220" s="37"/>
    </row>
    <row r="221" spans="1:43">
      <c r="A221" s="21">
        <f>A220+1</f>
        <v>167</v>
      </c>
      <c r="B221" s="27" t="s">
        <v>420</v>
      </c>
      <c r="C221" s="56" t="s">
        <v>421</v>
      </c>
      <c r="D221" s="82" t="s">
        <v>408</v>
      </c>
      <c r="E221" s="83" t="s">
        <v>79</v>
      </c>
      <c r="F221" s="84" t="s">
        <v>351</v>
      </c>
      <c r="G221" s="26">
        <f t="shared" ref="G221:G233" si="119">467+30+50</f>
        <v>547</v>
      </c>
      <c r="H221" s="32">
        <f t="shared" si="110"/>
        <v>6564</v>
      </c>
      <c r="I221" s="32">
        <v>60</v>
      </c>
      <c r="J221" s="36"/>
      <c r="K221" s="32">
        <f t="shared" si="111"/>
        <v>547</v>
      </c>
      <c r="L221" s="32">
        <v>300</v>
      </c>
      <c r="M221" s="37"/>
      <c r="N221" s="24">
        <v>125</v>
      </c>
      <c r="O221" s="24"/>
      <c r="P221" s="12">
        <f>G221*0.0775*13</f>
        <v>551.10249999999996</v>
      </c>
      <c r="Q221" s="9">
        <f>P221/13</f>
        <v>42.392499999999998</v>
      </c>
      <c r="R221" s="12"/>
      <c r="S221" s="12"/>
      <c r="T221" s="12"/>
      <c r="U221" s="12">
        <f t="shared" si="115"/>
        <v>533.32499999999993</v>
      </c>
      <c r="V221" s="12">
        <f t="shared" si="112"/>
        <v>41.024999999999991</v>
      </c>
      <c r="W221" s="12"/>
      <c r="X221" s="12"/>
      <c r="Y221" s="12">
        <f t="shared" si="118"/>
        <v>1084.4274999999998</v>
      </c>
      <c r="Z221" s="12">
        <f t="shared" si="116"/>
        <v>71.11</v>
      </c>
      <c r="AA221" s="12">
        <f t="shared" si="114"/>
        <v>5.47</v>
      </c>
      <c r="AB221" s="37"/>
      <c r="AC221" s="37"/>
      <c r="AD221" s="37"/>
      <c r="AE221" s="37"/>
      <c r="AF221" s="37"/>
      <c r="AG221" s="37"/>
      <c r="AH221" s="37"/>
      <c r="AI221" s="12"/>
      <c r="AJ221" s="37"/>
      <c r="AK221" s="37"/>
      <c r="AL221" s="60"/>
      <c r="AM221" s="12"/>
      <c r="AN221" s="12"/>
      <c r="AO221" s="12"/>
      <c r="AP221" s="60"/>
      <c r="AQ221" s="60"/>
    </row>
    <row r="222" spans="1:43">
      <c r="A222" s="21">
        <f>A221+1</f>
        <v>168</v>
      </c>
      <c r="B222" s="27" t="s">
        <v>422</v>
      </c>
      <c r="C222" s="56" t="s">
        <v>421</v>
      </c>
      <c r="D222" s="82" t="s">
        <v>408</v>
      </c>
      <c r="E222" s="83" t="s">
        <v>79</v>
      </c>
      <c r="F222" s="84" t="s">
        <v>351</v>
      </c>
      <c r="G222" s="26">
        <f t="shared" si="119"/>
        <v>547</v>
      </c>
      <c r="H222" s="32">
        <f t="shared" si="110"/>
        <v>6564</v>
      </c>
      <c r="I222" s="32">
        <v>60</v>
      </c>
      <c r="J222" s="36"/>
      <c r="K222" s="32">
        <f t="shared" si="111"/>
        <v>547</v>
      </c>
      <c r="L222" s="32">
        <v>300</v>
      </c>
      <c r="M222" s="37"/>
      <c r="N222" s="24">
        <v>125</v>
      </c>
      <c r="O222" s="24"/>
      <c r="P222" s="12">
        <f>G222*0.0775*13</f>
        <v>551.10249999999996</v>
      </c>
      <c r="Q222" s="40"/>
      <c r="R222" s="12">
        <f>P222/13</f>
        <v>42.392499999999998</v>
      </c>
      <c r="S222" s="12"/>
      <c r="T222" s="12"/>
      <c r="U222" s="12">
        <f t="shared" si="115"/>
        <v>533.32499999999993</v>
      </c>
      <c r="V222" s="12">
        <f t="shared" si="112"/>
        <v>41.024999999999991</v>
      </c>
      <c r="W222" s="12"/>
      <c r="X222" s="12"/>
      <c r="Y222" s="12">
        <f t="shared" si="118"/>
        <v>1084.4274999999998</v>
      </c>
      <c r="Z222" s="12">
        <f t="shared" si="116"/>
        <v>71.11</v>
      </c>
      <c r="AA222" s="12">
        <f t="shared" si="114"/>
        <v>5.47</v>
      </c>
      <c r="AB222" s="38"/>
      <c r="AC222" s="38"/>
      <c r="AD222" s="38"/>
      <c r="AE222" s="38"/>
      <c r="AF222" s="37"/>
      <c r="AG222" s="37"/>
      <c r="AH222" s="37"/>
      <c r="AI222" s="12"/>
      <c r="AJ222" s="38"/>
      <c r="AK222" s="38"/>
      <c r="AL222" s="38"/>
      <c r="AM222" s="12"/>
      <c r="AN222" s="12"/>
      <c r="AO222" s="12"/>
      <c r="AP222" s="37"/>
      <c r="AQ222" s="37"/>
    </row>
    <row r="223" spans="1:43">
      <c r="A223" s="21">
        <f t="shared" si="117"/>
        <v>169</v>
      </c>
      <c r="B223" s="27" t="s">
        <v>423</v>
      </c>
      <c r="C223" s="56" t="s">
        <v>421</v>
      </c>
      <c r="D223" s="82" t="s">
        <v>408</v>
      </c>
      <c r="E223" s="83" t="s">
        <v>79</v>
      </c>
      <c r="F223" s="84" t="s">
        <v>351</v>
      </c>
      <c r="G223" s="26">
        <f t="shared" si="119"/>
        <v>547</v>
      </c>
      <c r="H223" s="32">
        <f t="shared" si="110"/>
        <v>6564</v>
      </c>
      <c r="I223" s="32">
        <v>60</v>
      </c>
      <c r="J223" s="36"/>
      <c r="K223" s="32">
        <f t="shared" si="111"/>
        <v>547</v>
      </c>
      <c r="L223" s="32">
        <v>300</v>
      </c>
      <c r="M223" s="37"/>
      <c r="N223" s="24">
        <v>125</v>
      </c>
      <c r="O223" s="24"/>
      <c r="P223" s="12"/>
      <c r="Q223" s="12"/>
      <c r="R223" s="12"/>
      <c r="S223" s="12"/>
      <c r="T223" s="12"/>
      <c r="U223" s="12">
        <f t="shared" si="115"/>
        <v>533.32499999999993</v>
      </c>
      <c r="V223" s="12">
        <f t="shared" si="112"/>
        <v>41.024999999999991</v>
      </c>
      <c r="W223" s="12">
        <f>G223*0.06*13</f>
        <v>426.66</v>
      </c>
      <c r="X223" s="12">
        <f>W223/12</f>
        <v>35.555</v>
      </c>
      <c r="Y223" s="12">
        <f t="shared" si="118"/>
        <v>959.9849999999999</v>
      </c>
      <c r="Z223" s="12">
        <f t="shared" si="116"/>
        <v>71.11</v>
      </c>
      <c r="AA223" s="12">
        <f t="shared" si="114"/>
        <v>5.47</v>
      </c>
      <c r="AB223" s="38"/>
      <c r="AC223" s="38"/>
      <c r="AD223" s="38"/>
      <c r="AE223" s="38"/>
      <c r="AF223" s="37"/>
      <c r="AG223" s="37"/>
      <c r="AH223" s="37"/>
      <c r="AI223" s="12"/>
      <c r="AJ223" s="38"/>
      <c r="AK223" s="38"/>
      <c r="AL223" s="38"/>
      <c r="AM223" s="12"/>
      <c r="AN223" s="12"/>
      <c r="AO223" s="12"/>
      <c r="AP223" s="37"/>
      <c r="AQ223" s="37"/>
    </row>
    <row r="224" spans="1:43">
      <c r="A224" s="21">
        <f t="shared" si="117"/>
        <v>170</v>
      </c>
      <c r="B224" s="27" t="s">
        <v>424</v>
      </c>
      <c r="C224" s="56" t="s">
        <v>421</v>
      </c>
      <c r="D224" s="82" t="s">
        <v>408</v>
      </c>
      <c r="E224" s="83" t="s">
        <v>79</v>
      </c>
      <c r="F224" s="84" t="s">
        <v>351</v>
      </c>
      <c r="G224" s="26">
        <f t="shared" si="119"/>
        <v>547</v>
      </c>
      <c r="H224" s="32">
        <f t="shared" si="110"/>
        <v>6564</v>
      </c>
      <c r="I224" s="32">
        <v>60</v>
      </c>
      <c r="J224" s="36"/>
      <c r="K224" s="32">
        <f t="shared" si="111"/>
        <v>547</v>
      </c>
      <c r="L224" s="32">
        <v>300</v>
      </c>
      <c r="M224" s="37"/>
      <c r="N224" s="24">
        <v>125</v>
      </c>
      <c r="O224" s="24"/>
      <c r="P224" s="12">
        <f t="shared" ref="P224:P229" si="120">G224*0.0775*13</f>
        <v>551.10249999999996</v>
      </c>
      <c r="Q224" s="9">
        <f>P224/13</f>
        <v>42.392499999999998</v>
      </c>
      <c r="R224" s="12"/>
      <c r="S224" s="12"/>
      <c r="T224" s="12"/>
      <c r="U224" s="12">
        <f t="shared" si="115"/>
        <v>533.32499999999993</v>
      </c>
      <c r="V224" s="12">
        <f t="shared" si="112"/>
        <v>41.024999999999991</v>
      </c>
      <c r="W224" s="12"/>
      <c r="X224" s="12"/>
      <c r="Y224" s="12">
        <f t="shared" si="118"/>
        <v>1084.4274999999998</v>
      </c>
      <c r="Z224" s="12">
        <f t="shared" si="116"/>
        <v>71.11</v>
      </c>
      <c r="AA224" s="12">
        <f t="shared" si="114"/>
        <v>5.47</v>
      </c>
      <c r="AB224" s="38"/>
      <c r="AC224" s="38"/>
      <c r="AD224" s="38"/>
      <c r="AE224" s="37"/>
      <c r="AF224" s="37"/>
      <c r="AG224" s="37"/>
      <c r="AH224" s="37"/>
      <c r="AI224" s="12"/>
      <c r="AJ224" s="38"/>
      <c r="AK224" s="38"/>
      <c r="AL224" s="38"/>
      <c r="AM224" s="12"/>
      <c r="AN224" s="12"/>
      <c r="AO224" s="12"/>
      <c r="AP224" s="37"/>
      <c r="AQ224" s="37"/>
    </row>
    <row r="225" spans="1:43">
      <c r="A225" s="21">
        <f t="shared" si="117"/>
        <v>171</v>
      </c>
      <c r="B225" s="27" t="s">
        <v>425</v>
      </c>
      <c r="C225" s="56" t="s">
        <v>421</v>
      </c>
      <c r="D225" s="82" t="s">
        <v>408</v>
      </c>
      <c r="E225" s="83" t="s">
        <v>79</v>
      </c>
      <c r="F225" s="84" t="s">
        <v>351</v>
      </c>
      <c r="G225" s="26">
        <f t="shared" si="119"/>
        <v>547</v>
      </c>
      <c r="H225" s="32">
        <f t="shared" si="110"/>
        <v>6564</v>
      </c>
      <c r="I225" s="32">
        <v>60</v>
      </c>
      <c r="J225" s="36"/>
      <c r="K225" s="32">
        <f t="shared" si="111"/>
        <v>547</v>
      </c>
      <c r="L225" s="32">
        <v>300</v>
      </c>
      <c r="M225" s="37"/>
      <c r="N225" s="24">
        <v>125</v>
      </c>
      <c r="O225" s="24"/>
      <c r="P225" s="12">
        <f t="shared" si="120"/>
        <v>551.10249999999996</v>
      </c>
      <c r="Q225" s="9">
        <f>P225/13</f>
        <v>42.392499999999998</v>
      </c>
      <c r="R225" s="12"/>
      <c r="S225" s="12"/>
      <c r="T225" s="12"/>
      <c r="U225" s="12">
        <f t="shared" si="115"/>
        <v>533.32499999999993</v>
      </c>
      <c r="V225" s="12">
        <f t="shared" si="112"/>
        <v>41.024999999999991</v>
      </c>
      <c r="W225" s="12"/>
      <c r="X225" s="12"/>
      <c r="Y225" s="12">
        <f t="shared" si="118"/>
        <v>1084.4274999999998</v>
      </c>
      <c r="Z225" s="12">
        <f t="shared" si="116"/>
        <v>71.11</v>
      </c>
      <c r="AA225" s="12">
        <f t="shared" si="114"/>
        <v>5.47</v>
      </c>
      <c r="AB225" s="38"/>
      <c r="AC225" s="38"/>
      <c r="AD225" s="38"/>
      <c r="AE225" s="38"/>
      <c r="AF225" s="37"/>
      <c r="AG225" s="37"/>
      <c r="AH225" s="37"/>
      <c r="AI225" s="12"/>
      <c r="AJ225" s="38"/>
      <c r="AK225" s="38"/>
      <c r="AL225" s="38"/>
      <c r="AM225" s="12"/>
      <c r="AN225" s="12"/>
      <c r="AO225" s="12"/>
      <c r="AP225" s="37"/>
      <c r="AQ225" s="37"/>
    </row>
    <row r="226" spans="1:43">
      <c r="A226" s="21">
        <f t="shared" si="117"/>
        <v>172</v>
      </c>
      <c r="B226" s="27" t="s">
        <v>426</v>
      </c>
      <c r="C226" s="56" t="s">
        <v>421</v>
      </c>
      <c r="D226" s="82" t="s">
        <v>408</v>
      </c>
      <c r="E226" s="83" t="s">
        <v>79</v>
      </c>
      <c r="F226" s="84" t="s">
        <v>351</v>
      </c>
      <c r="G226" s="26">
        <f t="shared" si="119"/>
        <v>547</v>
      </c>
      <c r="H226" s="32">
        <f t="shared" si="110"/>
        <v>6564</v>
      </c>
      <c r="I226" s="32">
        <v>60</v>
      </c>
      <c r="J226" s="36"/>
      <c r="K226" s="32">
        <f t="shared" si="111"/>
        <v>547</v>
      </c>
      <c r="L226" s="32">
        <v>300</v>
      </c>
      <c r="M226" s="37"/>
      <c r="N226" s="24">
        <v>125</v>
      </c>
      <c r="O226" s="24"/>
      <c r="P226" s="12">
        <f t="shared" si="120"/>
        <v>551.10249999999996</v>
      </c>
      <c r="Q226" s="40"/>
      <c r="R226" s="12">
        <f>P226/13</f>
        <v>42.392499999999998</v>
      </c>
      <c r="S226" s="12"/>
      <c r="T226" s="12"/>
      <c r="U226" s="12">
        <f t="shared" si="115"/>
        <v>533.32499999999993</v>
      </c>
      <c r="V226" s="12">
        <f t="shared" si="112"/>
        <v>41.024999999999991</v>
      </c>
      <c r="W226" s="12"/>
      <c r="X226" s="12"/>
      <c r="Y226" s="12">
        <f t="shared" si="118"/>
        <v>1084.4274999999998</v>
      </c>
      <c r="Z226" s="12">
        <f t="shared" si="116"/>
        <v>71.11</v>
      </c>
      <c r="AA226" s="12">
        <f t="shared" si="114"/>
        <v>5.47</v>
      </c>
      <c r="AB226" s="38"/>
      <c r="AC226" s="38"/>
      <c r="AD226" s="38"/>
      <c r="AE226" s="38"/>
      <c r="AF226" s="37"/>
      <c r="AG226" s="37"/>
      <c r="AH226" s="37"/>
      <c r="AI226" s="12"/>
      <c r="AJ226" s="38"/>
      <c r="AK226" s="38"/>
      <c r="AL226" s="38"/>
      <c r="AM226" s="12"/>
      <c r="AN226" s="12"/>
      <c r="AO226" s="12"/>
      <c r="AP226" s="37"/>
      <c r="AQ226" s="37"/>
    </row>
    <row r="227" spans="1:43">
      <c r="A227" s="21">
        <f t="shared" si="117"/>
        <v>173</v>
      </c>
      <c r="B227" s="27" t="s">
        <v>427</v>
      </c>
      <c r="C227" s="56" t="s">
        <v>421</v>
      </c>
      <c r="D227" s="82" t="s">
        <v>408</v>
      </c>
      <c r="E227" s="83" t="s">
        <v>79</v>
      </c>
      <c r="F227" s="84" t="s">
        <v>351</v>
      </c>
      <c r="G227" s="26">
        <f t="shared" si="119"/>
        <v>547</v>
      </c>
      <c r="H227" s="32">
        <f t="shared" si="110"/>
        <v>6564</v>
      </c>
      <c r="I227" s="32">
        <v>60</v>
      </c>
      <c r="J227" s="36"/>
      <c r="K227" s="32">
        <f t="shared" si="111"/>
        <v>547</v>
      </c>
      <c r="L227" s="32">
        <v>300</v>
      </c>
      <c r="M227" s="37"/>
      <c r="N227" s="24">
        <v>125</v>
      </c>
      <c r="O227" s="24"/>
      <c r="P227" s="12">
        <f t="shared" si="120"/>
        <v>551.10249999999996</v>
      </c>
      <c r="Q227" s="9">
        <f>P227/13</f>
        <v>42.392499999999998</v>
      </c>
      <c r="R227" s="12"/>
      <c r="S227" s="12"/>
      <c r="T227" s="12"/>
      <c r="U227" s="12">
        <f t="shared" si="115"/>
        <v>533.32499999999993</v>
      </c>
      <c r="V227" s="12">
        <f t="shared" si="112"/>
        <v>41.024999999999991</v>
      </c>
      <c r="W227" s="12"/>
      <c r="X227" s="12"/>
      <c r="Y227" s="12">
        <f t="shared" si="118"/>
        <v>1084.4274999999998</v>
      </c>
      <c r="Z227" s="12">
        <f t="shared" si="116"/>
        <v>71.11</v>
      </c>
      <c r="AA227" s="12">
        <f t="shared" si="114"/>
        <v>5.47</v>
      </c>
      <c r="AB227" s="38"/>
      <c r="AC227" s="38"/>
      <c r="AD227" s="38"/>
      <c r="AE227" s="38"/>
      <c r="AF227" s="37"/>
      <c r="AG227" s="37"/>
      <c r="AH227" s="37"/>
      <c r="AI227" s="12"/>
      <c r="AJ227" s="38"/>
      <c r="AK227" s="38"/>
      <c r="AL227" s="38"/>
      <c r="AM227" s="12"/>
      <c r="AN227" s="12"/>
      <c r="AO227" s="12"/>
      <c r="AP227" s="37"/>
      <c r="AQ227" s="37"/>
    </row>
    <row r="228" spans="1:43">
      <c r="A228" s="21">
        <f>A227+1</f>
        <v>174</v>
      </c>
      <c r="B228" s="27" t="s">
        <v>428</v>
      </c>
      <c r="C228" s="56" t="s">
        <v>421</v>
      </c>
      <c r="D228" s="82" t="s">
        <v>408</v>
      </c>
      <c r="E228" s="83" t="s">
        <v>79</v>
      </c>
      <c r="F228" s="84" t="s">
        <v>351</v>
      </c>
      <c r="G228" s="26">
        <f t="shared" si="119"/>
        <v>547</v>
      </c>
      <c r="H228" s="32">
        <f t="shared" si="110"/>
        <v>6564</v>
      </c>
      <c r="I228" s="32">
        <v>60</v>
      </c>
      <c r="J228" s="36"/>
      <c r="K228" s="32">
        <f t="shared" si="111"/>
        <v>547</v>
      </c>
      <c r="L228" s="32">
        <v>300</v>
      </c>
      <c r="M228" s="37"/>
      <c r="N228" s="24">
        <v>125</v>
      </c>
      <c r="O228" s="24"/>
      <c r="P228" s="12">
        <f t="shared" si="120"/>
        <v>551.10249999999996</v>
      </c>
      <c r="Q228" s="9">
        <f>P228/13</f>
        <v>42.392499999999998</v>
      </c>
      <c r="R228" s="12"/>
      <c r="S228" s="12"/>
      <c r="T228" s="12"/>
      <c r="U228" s="12">
        <f t="shared" si="115"/>
        <v>533.32499999999993</v>
      </c>
      <c r="V228" s="12">
        <f t="shared" si="112"/>
        <v>41.024999999999991</v>
      </c>
      <c r="W228" s="12"/>
      <c r="X228" s="12"/>
      <c r="Y228" s="12">
        <f t="shared" si="118"/>
        <v>1084.4274999999998</v>
      </c>
      <c r="Z228" s="12">
        <f t="shared" si="116"/>
        <v>71.11</v>
      </c>
      <c r="AA228" s="12">
        <f t="shared" si="114"/>
        <v>5.47</v>
      </c>
      <c r="AB228" s="38"/>
      <c r="AC228" s="38"/>
      <c r="AD228" s="38"/>
      <c r="AE228" s="38"/>
      <c r="AF228" s="37"/>
      <c r="AG228" s="37"/>
      <c r="AH228" s="37"/>
      <c r="AI228" s="12"/>
      <c r="AJ228" s="38"/>
      <c r="AK228" s="38"/>
      <c r="AL228" s="38"/>
      <c r="AM228" s="12"/>
      <c r="AN228" s="12"/>
      <c r="AO228" s="12"/>
      <c r="AP228" s="37"/>
      <c r="AQ228" s="37"/>
    </row>
    <row r="229" spans="1:43">
      <c r="A229" s="21">
        <f t="shared" si="117"/>
        <v>175</v>
      </c>
      <c r="B229" s="27" t="s">
        <v>429</v>
      </c>
      <c r="C229" s="56" t="s">
        <v>421</v>
      </c>
      <c r="D229" s="82" t="s">
        <v>408</v>
      </c>
      <c r="E229" s="83" t="s">
        <v>79</v>
      </c>
      <c r="F229" s="84" t="s">
        <v>351</v>
      </c>
      <c r="G229" s="26">
        <f t="shared" si="119"/>
        <v>547</v>
      </c>
      <c r="H229" s="32">
        <f t="shared" si="110"/>
        <v>6564</v>
      </c>
      <c r="I229" s="32">
        <v>60</v>
      </c>
      <c r="J229" s="36"/>
      <c r="K229" s="32">
        <f t="shared" si="111"/>
        <v>547</v>
      </c>
      <c r="L229" s="32">
        <v>300</v>
      </c>
      <c r="M229" s="37"/>
      <c r="N229" s="24">
        <v>125</v>
      </c>
      <c r="O229" s="24"/>
      <c r="P229" s="12">
        <f t="shared" si="120"/>
        <v>551.10249999999996</v>
      </c>
      <c r="Q229" s="40"/>
      <c r="R229" s="12">
        <f>P229/13</f>
        <v>42.392499999999998</v>
      </c>
      <c r="S229" s="12"/>
      <c r="T229" s="12"/>
      <c r="U229" s="12">
        <f t="shared" si="115"/>
        <v>533.32499999999993</v>
      </c>
      <c r="V229" s="12">
        <f t="shared" si="112"/>
        <v>41.024999999999991</v>
      </c>
      <c r="W229" s="12"/>
      <c r="X229" s="12"/>
      <c r="Y229" s="12">
        <f t="shared" si="118"/>
        <v>1084.4274999999998</v>
      </c>
      <c r="Z229" s="12">
        <f t="shared" si="116"/>
        <v>71.11</v>
      </c>
      <c r="AA229" s="12">
        <f t="shared" si="114"/>
        <v>5.47</v>
      </c>
      <c r="AB229" s="38"/>
      <c r="AC229" s="38"/>
      <c r="AD229" s="38"/>
      <c r="AE229" s="38"/>
      <c r="AF229" s="37"/>
      <c r="AG229" s="37"/>
      <c r="AH229" s="37"/>
      <c r="AI229" s="12"/>
      <c r="AJ229" s="38"/>
      <c r="AK229" s="38"/>
      <c r="AL229" s="38"/>
      <c r="AM229" s="12"/>
      <c r="AN229" s="12"/>
      <c r="AO229" s="12"/>
      <c r="AP229" s="37"/>
      <c r="AQ229" s="37"/>
    </row>
    <row r="230" spans="1:43">
      <c r="A230" s="21">
        <f t="shared" si="117"/>
        <v>176</v>
      </c>
      <c r="B230" s="27" t="s">
        <v>430</v>
      </c>
      <c r="C230" s="56" t="s">
        <v>421</v>
      </c>
      <c r="D230" s="82" t="s">
        <v>408</v>
      </c>
      <c r="E230" s="83" t="s">
        <v>79</v>
      </c>
      <c r="F230" s="84" t="s">
        <v>351</v>
      </c>
      <c r="G230" s="26">
        <f t="shared" si="119"/>
        <v>547</v>
      </c>
      <c r="H230" s="32">
        <f t="shared" si="110"/>
        <v>6564</v>
      </c>
      <c r="I230" s="32">
        <v>60</v>
      </c>
      <c r="J230" s="36"/>
      <c r="K230" s="32">
        <f t="shared" si="111"/>
        <v>547</v>
      </c>
      <c r="L230" s="32">
        <v>300</v>
      </c>
      <c r="M230" s="37"/>
      <c r="N230" s="24">
        <v>125</v>
      </c>
      <c r="O230" s="24"/>
      <c r="P230" s="12"/>
      <c r="Q230" s="12"/>
      <c r="R230" s="12"/>
      <c r="S230" s="12"/>
      <c r="T230" s="12"/>
      <c r="U230" s="12">
        <f t="shared" si="115"/>
        <v>533.32499999999993</v>
      </c>
      <c r="V230" s="12">
        <f t="shared" si="112"/>
        <v>41.024999999999991</v>
      </c>
      <c r="W230" s="12">
        <f>G230*0.06*13</f>
        <v>426.66</v>
      </c>
      <c r="X230" s="12">
        <f>W230/12</f>
        <v>35.555</v>
      </c>
      <c r="Y230" s="12">
        <f t="shared" si="118"/>
        <v>959.9849999999999</v>
      </c>
      <c r="Z230" s="12">
        <f t="shared" si="116"/>
        <v>71.11</v>
      </c>
      <c r="AA230" s="12">
        <f t="shared" si="114"/>
        <v>5.47</v>
      </c>
      <c r="AB230" s="38"/>
      <c r="AC230" s="38"/>
      <c r="AD230" s="38"/>
      <c r="AE230" s="38"/>
      <c r="AF230" s="37"/>
      <c r="AG230" s="37"/>
      <c r="AH230" s="37"/>
      <c r="AI230" s="12"/>
      <c r="AJ230" s="38"/>
      <c r="AK230" s="38"/>
      <c r="AL230" s="38"/>
      <c r="AM230" s="12"/>
      <c r="AN230" s="12"/>
      <c r="AO230" s="12"/>
      <c r="AP230" s="37"/>
      <c r="AQ230" s="37"/>
    </row>
    <row r="231" spans="1:43">
      <c r="A231" s="21">
        <f t="shared" si="117"/>
        <v>177</v>
      </c>
      <c r="B231" s="27" t="s">
        <v>431</v>
      </c>
      <c r="C231" s="56" t="s">
        <v>421</v>
      </c>
      <c r="D231" s="82" t="s">
        <v>408</v>
      </c>
      <c r="E231" s="83" t="s">
        <v>79</v>
      </c>
      <c r="F231" s="84" t="s">
        <v>351</v>
      </c>
      <c r="G231" s="26">
        <f t="shared" si="119"/>
        <v>547</v>
      </c>
      <c r="H231" s="32">
        <f t="shared" si="110"/>
        <v>6564</v>
      </c>
      <c r="I231" s="32">
        <v>60</v>
      </c>
      <c r="J231" s="36"/>
      <c r="K231" s="32">
        <f t="shared" si="111"/>
        <v>547</v>
      </c>
      <c r="L231" s="32">
        <v>300</v>
      </c>
      <c r="M231" s="37"/>
      <c r="N231" s="24">
        <v>125</v>
      </c>
      <c r="O231" s="24"/>
      <c r="P231" s="12"/>
      <c r="Q231" s="12"/>
      <c r="R231" s="12"/>
      <c r="S231" s="12"/>
      <c r="T231" s="12"/>
      <c r="U231" s="12">
        <f t="shared" si="115"/>
        <v>533.32499999999993</v>
      </c>
      <c r="V231" s="12">
        <f t="shared" si="112"/>
        <v>41.024999999999991</v>
      </c>
      <c r="W231" s="12">
        <f>G231*0.06*13</f>
        <v>426.66</v>
      </c>
      <c r="X231" s="12">
        <f>W231/12</f>
        <v>35.555</v>
      </c>
      <c r="Y231" s="12">
        <f t="shared" si="118"/>
        <v>959.9849999999999</v>
      </c>
      <c r="Z231" s="12">
        <f t="shared" si="116"/>
        <v>71.11</v>
      </c>
      <c r="AA231" s="12">
        <f t="shared" si="114"/>
        <v>5.47</v>
      </c>
      <c r="AB231" s="38"/>
      <c r="AC231" s="38"/>
      <c r="AD231" s="38"/>
      <c r="AE231" s="38"/>
      <c r="AF231" s="37"/>
      <c r="AG231" s="37"/>
      <c r="AH231" s="37"/>
      <c r="AI231" s="12"/>
      <c r="AJ231" s="38"/>
      <c r="AK231" s="38"/>
      <c r="AL231" s="38"/>
      <c r="AM231" s="12"/>
      <c r="AN231" s="12"/>
      <c r="AO231" s="12"/>
      <c r="AP231" s="37"/>
      <c r="AQ231" s="37"/>
    </row>
    <row r="232" spans="1:43">
      <c r="A232" s="21">
        <f t="shared" si="117"/>
        <v>178</v>
      </c>
      <c r="B232" s="27" t="s">
        <v>432</v>
      </c>
      <c r="C232" s="56" t="s">
        <v>421</v>
      </c>
      <c r="D232" s="82" t="s">
        <v>408</v>
      </c>
      <c r="E232" s="83" t="s">
        <v>79</v>
      </c>
      <c r="F232" s="84" t="s">
        <v>351</v>
      </c>
      <c r="G232" s="26">
        <f t="shared" si="119"/>
        <v>547</v>
      </c>
      <c r="H232" s="32">
        <f t="shared" si="110"/>
        <v>6564</v>
      </c>
      <c r="I232" s="32">
        <v>60</v>
      </c>
      <c r="J232" s="36"/>
      <c r="K232" s="32">
        <f t="shared" si="111"/>
        <v>547</v>
      </c>
      <c r="L232" s="32">
        <v>300</v>
      </c>
      <c r="M232" s="37"/>
      <c r="N232" s="24">
        <v>125</v>
      </c>
      <c r="O232" s="24"/>
      <c r="P232" s="12"/>
      <c r="Q232" s="12"/>
      <c r="R232" s="12"/>
      <c r="S232" s="12"/>
      <c r="T232" s="12"/>
      <c r="U232" s="12">
        <f t="shared" si="115"/>
        <v>533.32499999999993</v>
      </c>
      <c r="V232" s="12">
        <f t="shared" si="112"/>
        <v>41.024999999999991</v>
      </c>
      <c r="W232" s="12">
        <f>G232*0.06*13</f>
        <v>426.66</v>
      </c>
      <c r="X232" s="12">
        <f>W232/12</f>
        <v>35.555</v>
      </c>
      <c r="Y232" s="12">
        <f t="shared" si="118"/>
        <v>959.9849999999999</v>
      </c>
      <c r="Z232" s="12">
        <f t="shared" si="116"/>
        <v>71.11</v>
      </c>
      <c r="AA232" s="12">
        <f t="shared" si="114"/>
        <v>5.47</v>
      </c>
      <c r="AB232" s="38"/>
      <c r="AC232" s="38"/>
      <c r="AD232" s="38"/>
      <c r="AE232" s="38"/>
      <c r="AF232" s="37"/>
      <c r="AG232" s="37"/>
      <c r="AH232" s="37"/>
      <c r="AI232" s="12"/>
      <c r="AJ232" s="38"/>
      <c r="AK232" s="38"/>
      <c r="AL232" s="38"/>
      <c r="AM232" s="12"/>
      <c r="AN232" s="12"/>
      <c r="AO232" s="12"/>
      <c r="AP232" s="37"/>
      <c r="AQ232" s="37"/>
    </row>
    <row r="233" spans="1:43">
      <c r="A233" s="21">
        <f t="shared" si="117"/>
        <v>179</v>
      </c>
      <c r="B233" s="27" t="s">
        <v>433</v>
      </c>
      <c r="C233" s="56" t="s">
        <v>421</v>
      </c>
      <c r="D233" s="82" t="s">
        <v>408</v>
      </c>
      <c r="E233" s="83" t="s">
        <v>79</v>
      </c>
      <c r="F233" s="84" t="s">
        <v>351</v>
      </c>
      <c r="G233" s="26">
        <f t="shared" si="119"/>
        <v>547</v>
      </c>
      <c r="H233" s="32">
        <f t="shared" si="110"/>
        <v>6564</v>
      </c>
      <c r="I233" s="32">
        <v>60</v>
      </c>
      <c r="J233" s="36"/>
      <c r="K233" s="32">
        <f t="shared" si="111"/>
        <v>547</v>
      </c>
      <c r="L233" s="32">
        <v>300</v>
      </c>
      <c r="M233" s="37"/>
      <c r="N233" s="24">
        <v>125</v>
      </c>
      <c r="O233" s="24"/>
      <c r="P233" s="12">
        <f>G233*0.0775*13</f>
        <v>551.10249999999996</v>
      </c>
      <c r="Q233" s="40"/>
      <c r="R233" s="12">
        <f>P233/13</f>
        <v>42.392499999999998</v>
      </c>
      <c r="S233" s="12"/>
      <c r="T233" s="12"/>
      <c r="U233" s="12">
        <f t="shared" si="115"/>
        <v>533.32499999999993</v>
      </c>
      <c r="V233" s="12">
        <f t="shared" si="112"/>
        <v>41.024999999999991</v>
      </c>
      <c r="W233" s="12"/>
      <c r="X233" s="12"/>
      <c r="Y233" s="12">
        <f t="shared" si="118"/>
        <v>1084.4274999999998</v>
      </c>
      <c r="Z233" s="12">
        <f t="shared" si="116"/>
        <v>71.11</v>
      </c>
      <c r="AA233" s="12">
        <f t="shared" si="114"/>
        <v>5.47</v>
      </c>
      <c r="AB233" s="38"/>
      <c r="AC233" s="38"/>
      <c r="AD233" s="38"/>
      <c r="AE233" s="38"/>
      <c r="AF233" s="37"/>
      <c r="AG233" s="37"/>
      <c r="AH233" s="37"/>
      <c r="AI233" s="12"/>
      <c r="AJ233" s="38"/>
      <c r="AK233" s="38"/>
      <c r="AL233" s="38"/>
      <c r="AM233" s="12"/>
      <c r="AN233" s="12"/>
      <c r="AO233" s="12"/>
      <c r="AP233" s="37"/>
      <c r="AQ233" s="37"/>
    </row>
    <row r="234" spans="1:43">
      <c r="A234" s="21">
        <f t="shared" si="117"/>
        <v>180</v>
      </c>
      <c r="B234" s="27" t="s">
        <v>434</v>
      </c>
      <c r="C234" s="56" t="s">
        <v>435</v>
      </c>
      <c r="D234" s="82" t="s">
        <v>408</v>
      </c>
      <c r="E234" s="83" t="s">
        <v>79</v>
      </c>
      <c r="F234" s="84" t="s">
        <v>351</v>
      </c>
      <c r="G234" s="26">
        <f>417+30+50</f>
        <v>497</v>
      </c>
      <c r="H234" s="32">
        <f t="shared" si="110"/>
        <v>5964</v>
      </c>
      <c r="I234" s="32">
        <v>60</v>
      </c>
      <c r="J234" s="36"/>
      <c r="K234" s="32">
        <f t="shared" si="111"/>
        <v>497</v>
      </c>
      <c r="L234" s="32">
        <v>300</v>
      </c>
      <c r="M234" s="37"/>
      <c r="N234" s="24">
        <v>125</v>
      </c>
      <c r="O234" s="24"/>
      <c r="P234" s="12">
        <f>G234*0.0775*13</f>
        <v>500.72749999999996</v>
      </c>
      <c r="Q234" s="9">
        <f>P234/13</f>
        <v>38.517499999999998</v>
      </c>
      <c r="R234" s="12"/>
      <c r="S234" s="12"/>
      <c r="T234" s="12"/>
      <c r="U234" s="12">
        <f t="shared" si="115"/>
        <v>484.57499999999999</v>
      </c>
      <c r="V234" s="12">
        <f t="shared" si="112"/>
        <v>37.274999999999999</v>
      </c>
      <c r="W234" s="12"/>
      <c r="X234" s="12"/>
      <c r="Y234" s="12">
        <f>P234+S234+U234+W234+0.01</f>
        <v>985.3125</v>
      </c>
      <c r="Z234" s="12">
        <f t="shared" si="116"/>
        <v>64.61</v>
      </c>
      <c r="AA234" s="12">
        <f t="shared" si="114"/>
        <v>4.97</v>
      </c>
      <c r="AB234" s="38"/>
      <c r="AC234" s="38"/>
      <c r="AD234" s="38"/>
      <c r="AE234" s="38"/>
      <c r="AF234" s="37"/>
      <c r="AG234" s="37"/>
      <c r="AH234" s="37"/>
      <c r="AI234" s="12"/>
      <c r="AJ234" s="38"/>
      <c r="AK234" s="38"/>
      <c r="AL234" s="38"/>
      <c r="AM234" s="12"/>
      <c r="AN234" s="12"/>
      <c r="AO234" s="12"/>
      <c r="AP234" s="37"/>
      <c r="AQ234" s="37"/>
    </row>
    <row r="235" spans="1:43">
      <c r="A235" s="21">
        <f t="shared" si="117"/>
        <v>181</v>
      </c>
      <c r="B235" s="27" t="s">
        <v>436</v>
      </c>
      <c r="C235" s="56" t="s">
        <v>435</v>
      </c>
      <c r="D235" s="82" t="s">
        <v>408</v>
      </c>
      <c r="E235" s="83" t="s">
        <v>79</v>
      </c>
      <c r="F235" s="84" t="s">
        <v>351</v>
      </c>
      <c r="G235" s="118">
        <f>417+30+50</f>
        <v>497</v>
      </c>
      <c r="H235" s="32">
        <f t="shared" si="110"/>
        <v>5964</v>
      </c>
      <c r="I235" s="32">
        <v>60</v>
      </c>
      <c r="J235" s="36"/>
      <c r="K235" s="32">
        <f t="shared" si="111"/>
        <v>497</v>
      </c>
      <c r="L235" s="32">
        <v>300</v>
      </c>
      <c r="M235" s="37"/>
      <c r="N235" s="24">
        <v>125</v>
      </c>
      <c r="O235" s="24"/>
      <c r="P235" s="12"/>
      <c r="Q235" s="12"/>
      <c r="R235" s="12"/>
      <c r="S235" s="12"/>
      <c r="T235" s="12"/>
      <c r="U235" s="12">
        <f t="shared" si="115"/>
        <v>484.57499999999999</v>
      </c>
      <c r="V235" s="12">
        <f t="shared" si="112"/>
        <v>37.274999999999999</v>
      </c>
      <c r="W235" s="12">
        <f>G235*0.06*13</f>
        <v>387.66</v>
      </c>
      <c r="X235" s="12">
        <f>W235/12</f>
        <v>32.305</v>
      </c>
      <c r="Y235" s="12">
        <f>P235+S235+U235+W235</f>
        <v>872.23500000000001</v>
      </c>
      <c r="Z235" s="12">
        <f t="shared" si="116"/>
        <v>64.61</v>
      </c>
      <c r="AA235" s="12">
        <f t="shared" si="114"/>
        <v>4.97</v>
      </c>
      <c r="AB235" s="38"/>
      <c r="AC235" s="38"/>
      <c r="AD235" s="38"/>
      <c r="AE235" s="38"/>
      <c r="AF235" s="37"/>
      <c r="AG235" s="37"/>
      <c r="AH235" s="37"/>
      <c r="AI235" s="12"/>
      <c r="AJ235" s="38"/>
      <c r="AK235" s="38"/>
      <c r="AL235" s="38"/>
      <c r="AM235" s="12"/>
      <c r="AN235" s="12"/>
      <c r="AO235" s="12"/>
      <c r="AP235" s="37"/>
      <c r="AQ235" s="37"/>
    </row>
    <row r="236" spans="1:43">
      <c r="A236" s="21">
        <f t="shared" si="117"/>
        <v>182</v>
      </c>
      <c r="B236" s="27" t="s">
        <v>437</v>
      </c>
      <c r="C236" s="56" t="s">
        <v>435</v>
      </c>
      <c r="D236" s="82" t="s">
        <v>408</v>
      </c>
      <c r="E236" s="83" t="s">
        <v>79</v>
      </c>
      <c r="F236" s="84" t="s">
        <v>351</v>
      </c>
      <c r="G236" s="26">
        <f>387+30+50</f>
        <v>467</v>
      </c>
      <c r="H236" s="32">
        <f t="shared" si="110"/>
        <v>5604</v>
      </c>
      <c r="I236" s="32">
        <v>60</v>
      </c>
      <c r="J236" s="36"/>
      <c r="K236" s="32">
        <f t="shared" si="111"/>
        <v>467</v>
      </c>
      <c r="L236" s="32">
        <v>300</v>
      </c>
      <c r="M236" s="37"/>
      <c r="N236" s="24">
        <v>125</v>
      </c>
      <c r="O236" s="24"/>
      <c r="P236" s="12">
        <f>G236*0.0775*13</f>
        <v>470.50250000000005</v>
      </c>
      <c r="Q236" s="12"/>
      <c r="R236" s="12">
        <f t="shared" ref="R236:R241" si="121">P236/13</f>
        <v>36.192500000000003</v>
      </c>
      <c r="S236" s="12"/>
      <c r="T236" s="12"/>
      <c r="U236" s="12">
        <f t="shared" si="115"/>
        <v>455.32499999999999</v>
      </c>
      <c r="V236" s="12">
        <f t="shared" si="112"/>
        <v>35.024999999999999</v>
      </c>
      <c r="W236" s="12"/>
      <c r="X236" s="12"/>
      <c r="Y236" s="12">
        <f>P236+S236+U236+W236</f>
        <v>925.8275000000001</v>
      </c>
      <c r="Z236" s="12">
        <f t="shared" si="116"/>
        <v>60.71</v>
      </c>
      <c r="AA236" s="12">
        <f t="shared" si="114"/>
        <v>4.67</v>
      </c>
      <c r="AB236" s="38"/>
      <c r="AC236" s="38"/>
      <c r="AD236" s="38"/>
      <c r="AE236" s="38"/>
      <c r="AF236" s="37"/>
      <c r="AG236" s="37"/>
      <c r="AH236" s="37"/>
      <c r="AI236" s="12"/>
      <c r="AJ236" s="38"/>
      <c r="AK236" s="38"/>
      <c r="AL236" s="38"/>
      <c r="AM236" s="12"/>
      <c r="AN236" s="12"/>
      <c r="AO236" s="12"/>
      <c r="AP236" s="37"/>
      <c r="AQ236" s="37"/>
    </row>
    <row r="237" spans="1:43">
      <c r="A237" s="21">
        <f>A236+1</f>
        <v>183</v>
      </c>
      <c r="B237" s="108" t="s">
        <v>636</v>
      </c>
      <c r="C237" s="56" t="s">
        <v>435</v>
      </c>
      <c r="D237" s="82" t="s">
        <v>408</v>
      </c>
      <c r="E237" s="83" t="s">
        <v>79</v>
      </c>
      <c r="F237" s="84" t="s">
        <v>351</v>
      </c>
      <c r="G237" s="26">
        <f t="shared" ref="G237:G242" si="122">387+30+50</f>
        <v>467</v>
      </c>
      <c r="H237" s="32">
        <f t="shared" si="110"/>
        <v>5604</v>
      </c>
      <c r="I237" s="32">
        <v>60</v>
      </c>
      <c r="J237" s="36"/>
      <c r="K237" s="32">
        <f t="shared" si="111"/>
        <v>467</v>
      </c>
      <c r="L237" s="32">
        <v>300</v>
      </c>
      <c r="M237" s="37"/>
      <c r="N237" s="24">
        <v>125</v>
      </c>
      <c r="O237" s="24"/>
      <c r="P237" s="12">
        <f t="shared" ref="P237:P247" si="123">G237*0.0775*13</f>
        <v>470.50250000000005</v>
      </c>
      <c r="Q237" s="12"/>
      <c r="R237" s="12">
        <f t="shared" si="121"/>
        <v>36.192500000000003</v>
      </c>
      <c r="S237" s="12"/>
      <c r="T237" s="12"/>
      <c r="U237" s="12">
        <f t="shared" si="115"/>
        <v>455.32499999999999</v>
      </c>
      <c r="V237" s="12">
        <f t="shared" si="112"/>
        <v>35.024999999999999</v>
      </c>
      <c r="W237" s="12"/>
      <c r="X237" s="12"/>
      <c r="Y237" s="12">
        <f t="shared" ref="Y237:Y242" si="124">P237+S237+U237+W237</f>
        <v>925.8275000000001</v>
      </c>
      <c r="Z237" s="12">
        <f t="shared" si="116"/>
        <v>60.71</v>
      </c>
      <c r="AA237" s="12">
        <f t="shared" si="114"/>
        <v>4.67</v>
      </c>
      <c r="AB237" s="38"/>
      <c r="AC237" s="38"/>
      <c r="AD237" s="38"/>
      <c r="AE237" s="38"/>
      <c r="AF237" s="37"/>
      <c r="AG237" s="37"/>
      <c r="AH237" s="37"/>
      <c r="AI237" s="12"/>
      <c r="AJ237" s="38"/>
      <c r="AK237" s="38"/>
      <c r="AL237" s="38"/>
      <c r="AM237" s="12"/>
      <c r="AN237" s="12"/>
      <c r="AO237" s="12"/>
      <c r="AP237" s="37"/>
      <c r="AQ237" s="37"/>
    </row>
    <row r="238" spans="1:43">
      <c r="A238" s="21">
        <f t="shared" si="117"/>
        <v>184</v>
      </c>
      <c r="B238" s="27" t="s">
        <v>438</v>
      </c>
      <c r="C238" s="56" t="s">
        <v>435</v>
      </c>
      <c r="D238" s="82" t="s">
        <v>408</v>
      </c>
      <c r="E238" s="83" t="s">
        <v>79</v>
      </c>
      <c r="F238" s="84" t="s">
        <v>351</v>
      </c>
      <c r="G238" s="26">
        <f t="shared" si="122"/>
        <v>467</v>
      </c>
      <c r="H238" s="32">
        <f t="shared" si="110"/>
        <v>5604</v>
      </c>
      <c r="I238" s="32">
        <v>60</v>
      </c>
      <c r="J238" s="36"/>
      <c r="K238" s="32">
        <f t="shared" si="111"/>
        <v>467</v>
      </c>
      <c r="L238" s="32">
        <v>300</v>
      </c>
      <c r="M238" s="37"/>
      <c r="N238" s="24">
        <v>125</v>
      </c>
      <c r="O238" s="24"/>
      <c r="P238" s="12">
        <f t="shared" si="123"/>
        <v>470.50250000000005</v>
      </c>
      <c r="Q238" s="12"/>
      <c r="R238" s="12">
        <f t="shared" si="121"/>
        <v>36.192500000000003</v>
      </c>
      <c r="S238" s="12"/>
      <c r="T238" s="12"/>
      <c r="U238" s="12">
        <f t="shared" si="115"/>
        <v>455.32499999999999</v>
      </c>
      <c r="V238" s="12">
        <f t="shared" si="112"/>
        <v>35.024999999999999</v>
      </c>
      <c r="W238" s="12"/>
      <c r="X238" s="12"/>
      <c r="Y238" s="12">
        <f t="shared" si="124"/>
        <v>925.8275000000001</v>
      </c>
      <c r="Z238" s="12">
        <f t="shared" si="116"/>
        <v>60.71</v>
      </c>
      <c r="AA238" s="12">
        <f t="shared" si="114"/>
        <v>4.67</v>
      </c>
      <c r="AB238" s="38"/>
      <c r="AC238" s="38"/>
      <c r="AD238" s="38"/>
      <c r="AE238" s="38"/>
      <c r="AF238" s="37"/>
      <c r="AG238" s="37"/>
      <c r="AH238" s="37"/>
      <c r="AI238" s="12"/>
      <c r="AJ238" s="38"/>
      <c r="AK238" s="38"/>
      <c r="AL238" s="38"/>
      <c r="AM238" s="12"/>
      <c r="AN238" s="12"/>
      <c r="AO238" s="12"/>
      <c r="AP238" s="37"/>
      <c r="AQ238" s="37"/>
    </row>
    <row r="239" spans="1:43">
      <c r="A239" s="21">
        <f t="shared" si="117"/>
        <v>185</v>
      </c>
      <c r="B239" s="27" t="s">
        <v>439</v>
      </c>
      <c r="C239" s="51" t="s">
        <v>435</v>
      </c>
      <c r="D239" s="82" t="s">
        <v>408</v>
      </c>
      <c r="E239" s="83" t="s">
        <v>79</v>
      </c>
      <c r="F239" s="84" t="s">
        <v>351</v>
      </c>
      <c r="G239" s="26">
        <f t="shared" si="122"/>
        <v>467</v>
      </c>
      <c r="H239" s="32">
        <f>G239*12</f>
        <v>5604</v>
      </c>
      <c r="I239" s="32">
        <v>60</v>
      </c>
      <c r="J239" s="36"/>
      <c r="K239" s="32">
        <f>G239</f>
        <v>467</v>
      </c>
      <c r="L239" s="32">
        <v>300</v>
      </c>
      <c r="M239" s="37"/>
      <c r="N239" s="24">
        <v>125</v>
      </c>
      <c r="O239" s="24"/>
      <c r="P239" s="12">
        <f t="shared" si="123"/>
        <v>470.50250000000005</v>
      </c>
      <c r="Q239" s="40"/>
      <c r="R239" s="12">
        <f t="shared" si="121"/>
        <v>36.192500000000003</v>
      </c>
      <c r="S239" s="12"/>
      <c r="T239" s="12"/>
      <c r="U239" s="12">
        <f t="shared" si="115"/>
        <v>455.32499999999999</v>
      </c>
      <c r="V239" s="12">
        <f t="shared" si="112"/>
        <v>35.024999999999999</v>
      </c>
      <c r="W239" s="12"/>
      <c r="X239" s="12"/>
      <c r="Y239" s="12">
        <f t="shared" si="124"/>
        <v>925.8275000000001</v>
      </c>
      <c r="Z239" s="12">
        <f t="shared" si="116"/>
        <v>60.71</v>
      </c>
      <c r="AA239" s="12">
        <f t="shared" si="114"/>
        <v>4.67</v>
      </c>
      <c r="AB239" s="38"/>
      <c r="AC239" s="38"/>
      <c r="AD239" s="38"/>
      <c r="AE239" s="38"/>
      <c r="AF239" s="37"/>
      <c r="AG239" s="37"/>
      <c r="AH239" s="37"/>
      <c r="AI239" s="12"/>
      <c r="AJ239" s="38"/>
      <c r="AK239" s="38"/>
      <c r="AL239" s="38"/>
      <c r="AM239" s="12"/>
      <c r="AN239" s="12"/>
      <c r="AO239" s="12"/>
      <c r="AP239" s="37"/>
      <c r="AQ239" s="37"/>
    </row>
    <row r="240" spans="1:43">
      <c r="A240" s="21">
        <f t="shared" si="117"/>
        <v>186</v>
      </c>
      <c r="B240" s="27" t="s">
        <v>440</v>
      </c>
      <c r="C240" s="51" t="s">
        <v>435</v>
      </c>
      <c r="D240" s="82" t="s">
        <v>408</v>
      </c>
      <c r="E240" s="83" t="s">
        <v>79</v>
      </c>
      <c r="F240" s="84" t="s">
        <v>351</v>
      </c>
      <c r="G240" s="26">
        <f t="shared" si="122"/>
        <v>467</v>
      </c>
      <c r="H240" s="32">
        <f>G240*12</f>
        <v>5604</v>
      </c>
      <c r="I240" s="32">
        <v>60</v>
      </c>
      <c r="J240" s="36"/>
      <c r="K240" s="32">
        <f>G240</f>
        <v>467</v>
      </c>
      <c r="L240" s="32">
        <v>300</v>
      </c>
      <c r="M240" s="37"/>
      <c r="N240" s="24">
        <v>125</v>
      </c>
      <c r="O240" s="24"/>
      <c r="P240" s="12"/>
      <c r="Q240" s="40"/>
      <c r="R240" s="12"/>
      <c r="S240" s="12"/>
      <c r="T240" s="12"/>
      <c r="U240" s="12">
        <f t="shared" si="115"/>
        <v>455.32499999999999</v>
      </c>
      <c r="V240" s="12">
        <f t="shared" si="112"/>
        <v>35.024999999999999</v>
      </c>
      <c r="W240" s="12">
        <f>G240*0.06*13</f>
        <v>364.26</v>
      </c>
      <c r="X240" s="12">
        <f>W240/12</f>
        <v>30.355</v>
      </c>
      <c r="Y240" s="12">
        <f>P240+S240+U240+W240</f>
        <v>819.58500000000004</v>
      </c>
      <c r="Z240" s="12">
        <f t="shared" si="116"/>
        <v>60.71</v>
      </c>
      <c r="AA240" s="12">
        <f t="shared" si="114"/>
        <v>4.67</v>
      </c>
      <c r="AB240" s="38"/>
      <c r="AC240" s="38"/>
      <c r="AD240" s="38"/>
      <c r="AE240" s="38"/>
      <c r="AF240" s="37"/>
      <c r="AG240" s="38"/>
      <c r="AH240" s="37"/>
      <c r="AI240" s="12"/>
      <c r="AJ240" s="38"/>
      <c r="AK240" s="38"/>
      <c r="AL240" s="38"/>
      <c r="AM240" s="12"/>
      <c r="AN240" s="12"/>
      <c r="AO240" s="12"/>
      <c r="AP240" s="38"/>
      <c r="AQ240" s="37"/>
    </row>
    <row r="241" spans="1:43">
      <c r="A241" s="21">
        <f t="shared" si="117"/>
        <v>187</v>
      </c>
      <c r="B241" s="27" t="s">
        <v>441</v>
      </c>
      <c r="C241" s="51" t="s">
        <v>435</v>
      </c>
      <c r="D241" s="82" t="s">
        <v>408</v>
      </c>
      <c r="E241" s="83" t="s">
        <v>79</v>
      </c>
      <c r="F241" s="84" t="s">
        <v>351</v>
      </c>
      <c r="G241" s="26">
        <f t="shared" si="122"/>
        <v>467</v>
      </c>
      <c r="H241" s="32">
        <f t="shared" si="110"/>
        <v>5604</v>
      </c>
      <c r="I241" s="32">
        <v>60</v>
      </c>
      <c r="J241" s="36"/>
      <c r="K241" s="32">
        <f t="shared" si="111"/>
        <v>467</v>
      </c>
      <c r="L241" s="32">
        <v>300</v>
      </c>
      <c r="M241" s="37"/>
      <c r="N241" s="24">
        <v>125</v>
      </c>
      <c r="O241" s="24"/>
      <c r="P241" s="12">
        <f t="shared" si="123"/>
        <v>470.50250000000005</v>
      </c>
      <c r="Q241" s="9"/>
      <c r="R241" s="12">
        <f t="shared" si="121"/>
        <v>36.192500000000003</v>
      </c>
      <c r="S241" s="12"/>
      <c r="T241" s="12"/>
      <c r="U241" s="12">
        <f t="shared" si="115"/>
        <v>455.32499999999999</v>
      </c>
      <c r="V241" s="12">
        <f t="shared" si="112"/>
        <v>35.024999999999999</v>
      </c>
      <c r="W241" s="12"/>
      <c r="X241" s="12"/>
      <c r="Y241" s="12">
        <f t="shared" si="124"/>
        <v>925.8275000000001</v>
      </c>
      <c r="Z241" s="12">
        <f t="shared" si="116"/>
        <v>60.71</v>
      </c>
      <c r="AA241" s="12">
        <f t="shared" si="114"/>
        <v>4.67</v>
      </c>
      <c r="AB241" s="38"/>
      <c r="AC241" s="38"/>
      <c r="AD241" s="38"/>
      <c r="AE241" s="38"/>
      <c r="AF241" s="37"/>
      <c r="AG241" s="37"/>
      <c r="AH241" s="37"/>
      <c r="AI241" s="12"/>
      <c r="AJ241" s="38"/>
      <c r="AK241" s="38"/>
      <c r="AL241" s="38"/>
      <c r="AM241" s="12"/>
      <c r="AN241" s="12"/>
      <c r="AO241" s="12"/>
      <c r="AP241" s="37"/>
      <c r="AQ241" s="37"/>
    </row>
    <row r="242" spans="1:43">
      <c r="A242" s="21">
        <f t="shared" si="117"/>
        <v>188</v>
      </c>
      <c r="B242" s="27" t="s">
        <v>442</v>
      </c>
      <c r="C242" s="51" t="s">
        <v>435</v>
      </c>
      <c r="D242" s="82" t="s">
        <v>408</v>
      </c>
      <c r="E242" s="83" t="s">
        <v>79</v>
      </c>
      <c r="F242" s="84" t="s">
        <v>351</v>
      </c>
      <c r="G242" s="26">
        <f t="shared" si="122"/>
        <v>467</v>
      </c>
      <c r="H242" s="32">
        <f t="shared" si="110"/>
        <v>5604</v>
      </c>
      <c r="I242" s="32">
        <v>60</v>
      </c>
      <c r="J242" s="36"/>
      <c r="K242" s="32">
        <f t="shared" si="111"/>
        <v>467</v>
      </c>
      <c r="L242" s="32">
        <v>300</v>
      </c>
      <c r="M242" s="37"/>
      <c r="N242" s="24">
        <v>125</v>
      </c>
      <c r="O242" s="24"/>
      <c r="P242" s="12">
        <f t="shared" si="123"/>
        <v>470.50250000000005</v>
      </c>
      <c r="Q242" s="12"/>
      <c r="R242" s="12">
        <f>P242/13</f>
        <v>36.192500000000003</v>
      </c>
      <c r="S242" s="12"/>
      <c r="T242" s="12"/>
      <c r="U242" s="12">
        <f t="shared" si="115"/>
        <v>455.32499999999999</v>
      </c>
      <c r="V242" s="12">
        <f t="shared" si="112"/>
        <v>35.024999999999999</v>
      </c>
      <c r="W242" s="12"/>
      <c r="X242" s="12"/>
      <c r="Y242" s="12">
        <f t="shared" si="124"/>
        <v>925.8275000000001</v>
      </c>
      <c r="Z242" s="12">
        <f t="shared" si="116"/>
        <v>60.71</v>
      </c>
      <c r="AA242" s="12">
        <f t="shared" si="114"/>
        <v>4.67</v>
      </c>
      <c r="AB242" s="38"/>
      <c r="AC242" s="38"/>
      <c r="AD242" s="38"/>
      <c r="AE242" s="38"/>
      <c r="AF242" s="37"/>
      <c r="AG242" s="37"/>
      <c r="AH242" s="37"/>
      <c r="AI242" s="12"/>
      <c r="AJ242" s="38"/>
      <c r="AK242" s="38"/>
      <c r="AL242" s="38"/>
      <c r="AM242" s="12"/>
      <c r="AN242" s="12"/>
      <c r="AO242" s="12"/>
      <c r="AP242" s="37"/>
      <c r="AQ242" s="37"/>
    </row>
    <row r="243" spans="1:43">
      <c r="A243" s="21">
        <f t="shared" si="117"/>
        <v>189</v>
      </c>
      <c r="B243" s="27" t="s">
        <v>443</v>
      </c>
      <c r="C243" s="51" t="s">
        <v>444</v>
      </c>
      <c r="D243" s="82" t="s">
        <v>408</v>
      </c>
      <c r="E243" s="83" t="s">
        <v>79</v>
      </c>
      <c r="F243" s="84" t="s">
        <v>351</v>
      </c>
      <c r="G243" s="26">
        <v>417</v>
      </c>
      <c r="H243" s="32">
        <f t="shared" si="110"/>
        <v>5004</v>
      </c>
      <c r="I243" s="32">
        <v>60</v>
      </c>
      <c r="J243" s="36"/>
      <c r="K243" s="32">
        <f t="shared" si="111"/>
        <v>417</v>
      </c>
      <c r="L243" s="32">
        <v>300</v>
      </c>
      <c r="M243" s="37"/>
      <c r="N243" s="24">
        <v>125</v>
      </c>
      <c r="O243" s="24"/>
      <c r="P243" s="12">
        <f t="shared" si="123"/>
        <v>420.12750000000005</v>
      </c>
      <c r="Q243" s="9">
        <f>P243/13</f>
        <v>32.317500000000003</v>
      </c>
      <c r="R243" s="12"/>
      <c r="S243" s="12"/>
      <c r="T243" s="12"/>
      <c r="U243" s="12">
        <f t="shared" si="115"/>
        <v>406.57499999999999</v>
      </c>
      <c r="V243" s="12">
        <f t="shared" si="112"/>
        <v>31.274999999999999</v>
      </c>
      <c r="W243" s="12"/>
      <c r="X243" s="12"/>
      <c r="Y243" s="12">
        <f>P243+S243+U243+W243+0.01</f>
        <v>826.71250000000009</v>
      </c>
      <c r="Z243" s="12">
        <f t="shared" si="116"/>
        <v>54.21</v>
      </c>
      <c r="AA243" s="12">
        <f t="shared" si="114"/>
        <v>4.17</v>
      </c>
      <c r="AB243" s="38"/>
      <c r="AC243" s="38"/>
      <c r="AD243" s="38"/>
      <c r="AE243" s="38"/>
      <c r="AF243" s="37"/>
      <c r="AG243" s="37"/>
      <c r="AH243" s="37"/>
      <c r="AI243" s="12"/>
      <c r="AJ243" s="38"/>
      <c r="AK243" s="38"/>
      <c r="AL243" s="38"/>
      <c r="AM243" s="12"/>
      <c r="AN243" s="12"/>
      <c r="AO243" s="12"/>
      <c r="AP243" s="37"/>
      <c r="AQ243" s="37"/>
    </row>
    <row r="244" spans="1:43">
      <c r="A244" s="21">
        <f t="shared" si="117"/>
        <v>190</v>
      </c>
      <c r="B244" s="111" t="s">
        <v>445</v>
      </c>
      <c r="C244" s="51" t="s">
        <v>444</v>
      </c>
      <c r="D244" s="82" t="s">
        <v>408</v>
      </c>
      <c r="E244" s="83" t="s">
        <v>79</v>
      </c>
      <c r="F244" s="84" t="s">
        <v>351</v>
      </c>
      <c r="G244" s="26">
        <v>417</v>
      </c>
      <c r="H244" s="32">
        <f t="shared" si="110"/>
        <v>5004</v>
      </c>
      <c r="I244" s="32">
        <v>60</v>
      </c>
      <c r="J244" s="36"/>
      <c r="K244" s="32">
        <f t="shared" si="111"/>
        <v>417</v>
      </c>
      <c r="L244" s="32">
        <v>300</v>
      </c>
      <c r="M244" s="37"/>
      <c r="N244" s="24">
        <v>125</v>
      </c>
      <c r="O244" s="24"/>
      <c r="P244" s="12"/>
      <c r="Q244" s="40"/>
      <c r="R244" s="12"/>
      <c r="S244" s="12"/>
      <c r="T244" s="12"/>
      <c r="U244" s="12">
        <f>G244*0.075*13</f>
        <v>406.57499999999999</v>
      </c>
      <c r="V244" s="12">
        <f t="shared" si="112"/>
        <v>31.274999999999999</v>
      </c>
      <c r="W244" s="12">
        <f>G244*0.06*13</f>
        <v>325.26</v>
      </c>
      <c r="X244" s="12">
        <f>W244/12</f>
        <v>27.105</v>
      </c>
      <c r="Y244" s="12">
        <f>P244+S244+U244+W244+0.01</f>
        <v>731.84500000000003</v>
      </c>
      <c r="Z244" s="12">
        <f>G244*0.01*13</f>
        <v>54.21</v>
      </c>
      <c r="AA244" s="12">
        <f t="shared" si="114"/>
        <v>4.17</v>
      </c>
      <c r="AB244" s="38"/>
      <c r="AC244" s="38"/>
      <c r="AD244" s="38"/>
      <c r="AE244" s="38"/>
      <c r="AF244" s="37"/>
      <c r="AG244" s="37"/>
      <c r="AH244" s="37"/>
      <c r="AI244" s="12"/>
      <c r="AJ244" s="38"/>
      <c r="AK244" s="38"/>
      <c r="AL244" s="38"/>
      <c r="AM244" s="12"/>
      <c r="AN244" s="12"/>
      <c r="AO244" s="12"/>
      <c r="AP244" s="37"/>
      <c r="AQ244" s="37"/>
    </row>
    <row r="245" spans="1:43">
      <c r="A245" s="21">
        <f t="shared" si="117"/>
        <v>191</v>
      </c>
      <c r="B245" s="111" t="s">
        <v>446</v>
      </c>
      <c r="C245" s="51" t="s">
        <v>444</v>
      </c>
      <c r="D245" s="82" t="s">
        <v>408</v>
      </c>
      <c r="E245" s="83" t="s">
        <v>79</v>
      </c>
      <c r="F245" s="84" t="s">
        <v>351</v>
      </c>
      <c r="G245" s="26">
        <v>417</v>
      </c>
      <c r="H245" s="32">
        <f>G245*12</f>
        <v>5004</v>
      </c>
      <c r="I245" s="32">
        <v>60</v>
      </c>
      <c r="J245" s="36"/>
      <c r="K245" s="32">
        <f>G245</f>
        <v>417</v>
      </c>
      <c r="L245" s="32">
        <v>300</v>
      </c>
      <c r="M245" s="37"/>
      <c r="N245" s="24">
        <v>125</v>
      </c>
      <c r="O245" s="24"/>
      <c r="P245" s="12">
        <f>G245*0.0775*13</f>
        <v>420.12750000000005</v>
      </c>
      <c r="Q245" s="9">
        <f>P245/13</f>
        <v>32.317500000000003</v>
      </c>
      <c r="R245" s="12"/>
      <c r="S245" s="12"/>
      <c r="T245" s="12"/>
      <c r="U245" s="12">
        <f>G245*0.075*13</f>
        <v>406.57499999999999</v>
      </c>
      <c r="V245" s="12">
        <f>U245/13</f>
        <v>31.274999999999999</v>
      </c>
      <c r="W245" s="12"/>
      <c r="X245" s="12"/>
      <c r="Y245" s="12">
        <f>P245+S245+U245+W245+0.01</f>
        <v>826.71250000000009</v>
      </c>
      <c r="Z245" s="12">
        <f>G245*0.01*13</f>
        <v>54.21</v>
      </c>
      <c r="AA245" s="12">
        <f>Z245/13</f>
        <v>4.17</v>
      </c>
      <c r="AB245" s="38"/>
      <c r="AC245" s="38"/>
      <c r="AD245" s="38"/>
      <c r="AE245" s="38"/>
      <c r="AF245" s="37"/>
      <c r="AG245" s="37"/>
      <c r="AH245" s="37"/>
      <c r="AI245" s="12"/>
      <c r="AJ245" s="38"/>
      <c r="AK245" s="38"/>
      <c r="AL245" s="38"/>
      <c r="AM245" s="12"/>
      <c r="AN245" s="12"/>
      <c r="AO245" s="12"/>
      <c r="AP245" s="37"/>
      <c r="AQ245" s="37"/>
    </row>
    <row r="246" spans="1:43">
      <c r="A246" s="21">
        <f t="shared" si="117"/>
        <v>192</v>
      </c>
      <c r="B246" s="119" t="s">
        <v>447</v>
      </c>
      <c r="C246" s="51" t="s">
        <v>444</v>
      </c>
      <c r="D246" s="82" t="s">
        <v>408</v>
      </c>
      <c r="E246" s="83" t="s">
        <v>79</v>
      </c>
      <c r="F246" s="84" t="s">
        <v>351</v>
      </c>
      <c r="G246" s="26">
        <v>417</v>
      </c>
      <c r="H246" s="32">
        <f t="shared" si="110"/>
        <v>5004</v>
      </c>
      <c r="I246" s="32">
        <v>60</v>
      </c>
      <c r="J246" s="36"/>
      <c r="K246" s="32">
        <f t="shared" si="111"/>
        <v>417</v>
      </c>
      <c r="L246" s="32">
        <v>300</v>
      </c>
      <c r="M246" s="37"/>
      <c r="N246" s="24">
        <v>125</v>
      </c>
      <c r="O246" s="24"/>
      <c r="P246" s="12">
        <f t="shared" si="123"/>
        <v>420.12750000000005</v>
      </c>
      <c r="Q246" s="40"/>
      <c r="R246" s="12">
        <f>P246/13</f>
        <v>32.317500000000003</v>
      </c>
      <c r="S246" s="12"/>
      <c r="T246" s="12"/>
      <c r="U246" s="12">
        <f>G246*0.075*13</f>
        <v>406.57499999999999</v>
      </c>
      <c r="V246" s="12">
        <f t="shared" si="112"/>
        <v>31.274999999999999</v>
      </c>
      <c r="W246" s="12"/>
      <c r="X246" s="12"/>
      <c r="Y246" s="12">
        <f>P246+S246+U246+W246+0.01</f>
        <v>826.71250000000009</v>
      </c>
      <c r="Z246" s="12">
        <f>G246*0.01*13</f>
        <v>54.21</v>
      </c>
      <c r="AA246" s="12">
        <f t="shared" si="114"/>
        <v>4.17</v>
      </c>
      <c r="AB246" s="38"/>
      <c r="AC246" s="38"/>
      <c r="AD246" s="38"/>
      <c r="AE246" s="38"/>
      <c r="AF246" s="37"/>
      <c r="AG246" s="37"/>
      <c r="AH246" s="37"/>
      <c r="AI246" s="12"/>
      <c r="AJ246" s="38"/>
      <c r="AK246" s="38"/>
      <c r="AL246" s="38"/>
      <c r="AM246" s="12"/>
      <c r="AN246" s="12"/>
      <c r="AO246" s="12"/>
      <c r="AP246" s="37"/>
      <c r="AQ246" s="37"/>
    </row>
    <row r="247" spans="1:43">
      <c r="A247" s="21">
        <f t="shared" si="117"/>
        <v>193</v>
      </c>
      <c r="B247" s="119" t="s">
        <v>448</v>
      </c>
      <c r="C247" s="51" t="s">
        <v>444</v>
      </c>
      <c r="D247" s="82" t="s">
        <v>408</v>
      </c>
      <c r="E247" s="83" t="s">
        <v>79</v>
      </c>
      <c r="F247" s="84" t="s">
        <v>351</v>
      </c>
      <c r="G247" s="26">
        <v>417</v>
      </c>
      <c r="H247" s="32">
        <f t="shared" si="110"/>
        <v>5004</v>
      </c>
      <c r="I247" s="32">
        <v>60</v>
      </c>
      <c r="J247" s="36"/>
      <c r="K247" s="32">
        <f t="shared" si="111"/>
        <v>417</v>
      </c>
      <c r="L247" s="32">
        <v>300</v>
      </c>
      <c r="M247" s="37"/>
      <c r="N247" s="24">
        <v>125</v>
      </c>
      <c r="O247" s="24"/>
      <c r="P247" s="12">
        <f t="shared" si="123"/>
        <v>420.12750000000005</v>
      </c>
      <c r="Q247" s="40"/>
      <c r="R247" s="12">
        <f>P247/13</f>
        <v>32.317500000000003</v>
      </c>
      <c r="S247" s="12"/>
      <c r="T247" s="12"/>
      <c r="U247" s="12">
        <f t="shared" si="115"/>
        <v>406.57499999999999</v>
      </c>
      <c r="V247" s="12">
        <f t="shared" si="112"/>
        <v>31.274999999999999</v>
      </c>
      <c r="W247" s="12"/>
      <c r="X247" s="12"/>
      <c r="Y247" s="12">
        <f>P247+S247+U247+W247+0.01</f>
        <v>826.71250000000009</v>
      </c>
      <c r="Z247" s="12">
        <f t="shared" si="116"/>
        <v>54.21</v>
      </c>
      <c r="AA247" s="12">
        <f t="shared" si="114"/>
        <v>4.17</v>
      </c>
      <c r="AB247" s="38"/>
      <c r="AC247" s="38"/>
      <c r="AD247" s="38"/>
      <c r="AE247" s="38"/>
      <c r="AF247" s="37"/>
      <c r="AG247" s="37"/>
      <c r="AH247" s="37"/>
      <c r="AI247" s="12"/>
      <c r="AJ247" s="38"/>
      <c r="AK247" s="38"/>
      <c r="AL247" s="38"/>
      <c r="AM247" s="12"/>
      <c r="AN247" s="12"/>
      <c r="AO247" s="12"/>
      <c r="AP247" s="37"/>
      <c r="AQ247" s="37"/>
    </row>
    <row r="248" spans="1:43">
      <c r="A248" s="21"/>
      <c r="B248" s="15"/>
      <c r="C248" s="85" t="s">
        <v>449</v>
      </c>
      <c r="D248" s="99"/>
      <c r="E248" s="83"/>
      <c r="F248" s="84"/>
      <c r="G248" s="86">
        <f t="shared" ref="G248:O248" si="125">SUM(G212:G247)</f>
        <v>20145.449999999997</v>
      </c>
      <c r="H248" s="30">
        <f t="shared" si="125"/>
        <v>241745.40000000002</v>
      </c>
      <c r="I248" s="30">
        <f t="shared" si="125"/>
        <v>2160</v>
      </c>
      <c r="J248" s="30">
        <f t="shared" si="125"/>
        <v>0</v>
      </c>
      <c r="K248" s="30">
        <f t="shared" si="125"/>
        <v>20145.449999999997</v>
      </c>
      <c r="L248" s="30">
        <f t="shared" si="125"/>
        <v>10800</v>
      </c>
      <c r="M248" s="20">
        <f t="shared" si="125"/>
        <v>0</v>
      </c>
      <c r="N248" s="20">
        <f t="shared" si="125"/>
        <v>4500</v>
      </c>
      <c r="O248" s="20">
        <f t="shared" si="125"/>
        <v>0</v>
      </c>
      <c r="P248" s="20">
        <f>SUM(P212:P247)-0.03</f>
        <v>14361.177250000006</v>
      </c>
      <c r="Q248" s="20">
        <f>SUM(Q212:Q247)-0.01</f>
        <v>418.3466249999999</v>
      </c>
      <c r="R248" s="20">
        <f>SUM(R212:R247)-0.02</f>
        <v>686.33162500000003</v>
      </c>
      <c r="S248" s="20">
        <f>SUM(S212:S247)</f>
        <v>0</v>
      </c>
      <c r="T248" s="20">
        <f>SUM(T212:T247)</f>
        <v>0</v>
      </c>
      <c r="U248" s="20">
        <f>SUM(U212:U247)+0.14</f>
        <v>19641.953750000015</v>
      </c>
      <c r="V248" s="20">
        <f>SUM(V212:V247)+0.15</f>
        <v>1511.0587500000011</v>
      </c>
      <c r="W248" s="20">
        <f>SUM(W212:W247)</f>
        <v>4595.0969999999998</v>
      </c>
      <c r="X248" s="20">
        <f>SUM(X212:X247)+0.03</f>
        <v>382.95474999999999</v>
      </c>
      <c r="Y248" s="20">
        <f>SUM(Y212:Y247)+0.05</f>
        <v>38598.227999999996</v>
      </c>
      <c r="Z248" s="20">
        <f>SUM(Z212:Z247)</f>
        <v>2618.9084999999991</v>
      </c>
      <c r="AA248" s="20">
        <f>SUM(AA212:AA247)</f>
        <v>201.45449999999985</v>
      </c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</row>
    <row r="249" spans="1:43">
      <c r="A249" s="21">
        <f>A247+1</f>
        <v>194</v>
      </c>
      <c r="B249" s="95" t="s">
        <v>450</v>
      </c>
      <c r="C249" s="56" t="s">
        <v>451</v>
      </c>
      <c r="D249" s="82" t="s">
        <v>452</v>
      </c>
      <c r="E249" s="83" t="s">
        <v>79</v>
      </c>
      <c r="F249" s="84" t="s">
        <v>351</v>
      </c>
      <c r="G249" s="26">
        <f>745+30+50</f>
        <v>825</v>
      </c>
      <c r="H249" s="32">
        <f t="shared" ref="H249:H312" si="126">G249*12</f>
        <v>9900</v>
      </c>
      <c r="I249" s="32">
        <v>60</v>
      </c>
      <c r="J249" s="36"/>
      <c r="K249" s="32">
        <f t="shared" ref="K249:K280" si="127">G249</f>
        <v>825</v>
      </c>
      <c r="L249" s="32">
        <v>300</v>
      </c>
      <c r="M249" s="37"/>
      <c r="N249" s="24">
        <v>125</v>
      </c>
      <c r="O249" s="24"/>
      <c r="P249" s="12">
        <f>G249*0.0775*13</f>
        <v>831.1875</v>
      </c>
      <c r="Q249" s="9">
        <f>P249/13</f>
        <v>63.9375</v>
      </c>
      <c r="R249" s="12"/>
      <c r="S249" s="12"/>
      <c r="T249" s="12"/>
      <c r="U249" s="12">
        <f t="shared" si="115"/>
        <v>804.375</v>
      </c>
      <c r="V249" s="12">
        <f t="shared" ref="V249:V317" si="128">U249/13</f>
        <v>61.875</v>
      </c>
      <c r="W249" s="12"/>
      <c r="X249" s="12"/>
      <c r="Y249" s="12">
        <f>P249+S249+U249+W249+0.01</f>
        <v>1635.5725</v>
      </c>
      <c r="Z249" s="12">
        <f>G249*0.01*13</f>
        <v>107.25</v>
      </c>
      <c r="AA249" s="12">
        <f>Z249/13</f>
        <v>8.25</v>
      </c>
      <c r="AB249" s="12">
        <f>G249/30/7*1.5*45</f>
        <v>265.17857142857139</v>
      </c>
      <c r="AC249" s="12">
        <v>192.86</v>
      </c>
      <c r="AD249" s="12">
        <f>AB249-AC249</f>
        <v>72.318571428571374</v>
      </c>
      <c r="AE249" s="12">
        <f>AB249*0.0775</f>
        <v>20.551339285714281</v>
      </c>
      <c r="AF249" s="12"/>
      <c r="AG249" s="12">
        <f t="shared" ref="AG249:AG312" si="129">AB249*0.075</f>
        <v>19.888392857142854</v>
      </c>
      <c r="AH249" s="12"/>
      <c r="AI249" s="12">
        <f>AE249+AF249+AG249+AH249</f>
        <v>40.439732142857139</v>
      </c>
      <c r="AJ249" s="12">
        <f t="shared" ref="AJ249:AJ312" si="130">AB249*0.01</f>
        <v>2.651785714285714</v>
      </c>
      <c r="AK249" s="38"/>
      <c r="AL249" s="38"/>
      <c r="AM249" s="12"/>
      <c r="AN249" s="12"/>
      <c r="AO249" s="12"/>
      <c r="AP249" s="37"/>
      <c r="AQ249" s="37"/>
    </row>
    <row r="250" spans="1:43">
      <c r="A250" s="21">
        <f>A249+1</f>
        <v>195</v>
      </c>
      <c r="B250" s="27" t="s">
        <v>453</v>
      </c>
      <c r="C250" s="56" t="s">
        <v>454</v>
      </c>
      <c r="D250" s="82" t="s">
        <v>452</v>
      </c>
      <c r="E250" s="83" t="s">
        <v>79</v>
      </c>
      <c r="F250" s="84" t="s">
        <v>351</v>
      </c>
      <c r="G250" s="26">
        <f>745+30+50</f>
        <v>825</v>
      </c>
      <c r="H250" s="32">
        <f t="shared" si="126"/>
        <v>9900</v>
      </c>
      <c r="I250" s="32">
        <v>60</v>
      </c>
      <c r="J250" s="36"/>
      <c r="K250" s="32">
        <f t="shared" si="127"/>
        <v>825</v>
      </c>
      <c r="L250" s="32">
        <v>300</v>
      </c>
      <c r="M250" s="37"/>
      <c r="N250" s="24">
        <v>125</v>
      </c>
      <c r="O250" s="24"/>
      <c r="P250" s="12">
        <f>G250*0.0775*13</f>
        <v>831.1875</v>
      </c>
      <c r="Q250" s="9">
        <f>P250/13</f>
        <v>63.9375</v>
      </c>
      <c r="R250" s="12"/>
      <c r="S250" s="12"/>
      <c r="T250" s="12"/>
      <c r="U250" s="12">
        <f t="shared" si="115"/>
        <v>804.375</v>
      </c>
      <c r="V250" s="12">
        <f t="shared" si="128"/>
        <v>61.875</v>
      </c>
      <c r="W250" s="12"/>
      <c r="X250" s="12"/>
      <c r="Y250" s="12">
        <f>P250+S250+U250+W250+0.01</f>
        <v>1635.5725</v>
      </c>
      <c r="Z250" s="12">
        <f>G250*0.01*13</f>
        <v>107.25</v>
      </c>
      <c r="AA250" s="12">
        <f>Z250/13</f>
        <v>8.25</v>
      </c>
      <c r="AB250" s="12">
        <f>G250/30/7*1.5*45</f>
        <v>265.17857142857139</v>
      </c>
      <c r="AC250" s="12">
        <v>192.86</v>
      </c>
      <c r="AD250" s="12">
        <f>AB250-AC250</f>
        <v>72.318571428571374</v>
      </c>
      <c r="AE250" s="12">
        <f>AB250*0.0775</f>
        <v>20.551339285714281</v>
      </c>
      <c r="AF250" s="12"/>
      <c r="AG250" s="12">
        <f t="shared" si="129"/>
        <v>19.888392857142854</v>
      </c>
      <c r="AH250" s="12"/>
      <c r="AI250" s="12">
        <f>AE250+AF250+AG250+AH250</f>
        <v>40.439732142857139</v>
      </c>
      <c r="AJ250" s="12">
        <f t="shared" si="130"/>
        <v>2.651785714285714</v>
      </c>
      <c r="AK250" s="38"/>
      <c r="AL250" s="38"/>
      <c r="AM250" s="12"/>
      <c r="AN250" s="12"/>
      <c r="AO250" s="12"/>
      <c r="AP250" s="37"/>
      <c r="AQ250" s="37"/>
    </row>
    <row r="251" spans="1:43">
      <c r="A251" s="21">
        <f>A250+1</f>
        <v>196</v>
      </c>
      <c r="B251" s="27" t="s">
        <v>455</v>
      </c>
      <c r="C251" s="56" t="s">
        <v>143</v>
      </c>
      <c r="D251" s="82" t="s">
        <v>452</v>
      </c>
      <c r="E251" s="83" t="s">
        <v>79</v>
      </c>
      <c r="F251" s="84" t="s">
        <v>351</v>
      </c>
      <c r="G251" s="26">
        <f>467+30+50</f>
        <v>547</v>
      </c>
      <c r="H251" s="32">
        <f>G251*12</f>
        <v>6564</v>
      </c>
      <c r="I251" s="32">
        <v>60</v>
      </c>
      <c r="J251" s="36"/>
      <c r="K251" s="32">
        <f>G251</f>
        <v>547</v>
      </c>
      <c r="L251" s="32">
        <v>300</v>
      </c>
      <c r="M251" s="12"/>
      <c r="N251" s="24">
        <v>125</v>
      </c>
      <c r="O251" s="24"/>
      <c r="P251" s="12">
        <f>G251*0.0775*13</f>
        <v>551.10249999999996</v>
      </c>
      <c r="Q251" s="40"/>
      <c r="R251" s="12">
        <f>P251/13</f>
        <v>42.392499999999998</v>
      </c>
      <c r="S251" s="37"/>
      <c r="T251" s="37"/>
      <c r="U251" s="12">
        <f>G251*0.075*13</f>
        <v>533.32499999999993</v>
      </c>
      <c r="V251" s="12">
        <f>U251/13</f>
        <v>41.024999999999991</v>
      </c>
      <c r="W251" s="37"/>
      <c r="X251" s="37"/>
      <c r="Y251" s="12">
        <f>P251+S251+U251+W251</f>
        <v>1084.4274999999998</v>
      </c>
      <c r="Z251" s="12">
        <f>G251*0.01*13</f>
        <v>71.11</v>
      </c>
      <c r="AA251" s="12">
        <f>Z251/13</f>
        <v>5.47</v>
      </c>
      <c r="AB251" s="37"/>
      <c r="AC251" s="37"/>
      <c r="AD251" s="37"/>
      <c r="AE251" s="37"/>
      <c r="AF251" s="37"/>
      <c r="AG251" s="37"/>
      <c r="AH251" s="37"/>
      <c r="AI251" s="12"/>
      <c r="AJ251" s="37"/>
      <c r="AK251" s="37"/>
      <c r="AL251" s="37"/>
      <c r="AM251" s="12"/>
      <c r="AN251" s="12"/>
      <c r="AO251" s="12"/>
      <c r="AP251" s="37"/>
      <c r="AQ251" s="37"/>
    </row>
    <row r="252" spans="1:43">
      <c r="A252" s="21">
        <f>A251+1</f>
        <v>197</v>
      </c>
      <c r="B252" s="27" t="s">
        <v>456</v>
      </c>
      <c r="C252" s="56" t="s">
        <v>91</v>
      </c>
      <c r="D252" s="82" t="s">
        <v>452</v>
      </c>
      <c r="E252" s="83" t="s">
        <v>79</v>
      </c>
      <c r="F252" s="84" t="s">
        <v>351</v>
      </c>
      <c r="G252" s="26">
        <f>417+50</f>
        <v>467</v>
      </c>
      <c r="H252" s="32">
        <f>G252*12</f>
        <v>5604</v>
      </c>
      <c r="I252" s="32">
        <v>60</v>
      </c>
      <c r="J252" s="36"/>
      <c r="K252" s="32">
        <f>G252</f>
        <v>467</v>
      </c>
      <c r="L252" s="32">
        <v>300</v>
      </c>
      <c r="M252" s="37"/>
      <c r="N252" s="24">
        <v>125</v>
      </c>
      <c r="O252" s="24"/>
      <c r="P252" s="12">
        <f>G252*0.0775*13</f>
        <v>470.50250000000005</v>
      </c>
      <c r="Q252" s="12"/>
      <c r="R252" s="12">
        <f>P252/13</f>
        <v>36.192500000000003</v>
      </c>
      <c r="S252" s="12"/>
      <c r="T252" s="12"/>
      <c r="U252" s="12">
        <f>G252*0.075*13</f>
        <v>455.32499999999999</v>
      </c>
      <c r="V252" s="12">
        <f>U252/13</f>
        <v>35.024999999999999</v>
      </c>
      <c r="W252" s="12"/>
      <c r="X252" s="12"/>
      <c r="Y252" s="12">
        <f>P252+S252+U252+W252</f>
        <v>925.8275000000001</v>
      </c>
      <c r="Z252" s="12">
        <f>G252*0.01*13</f>
        <v>60.71</v>
      </c>
      <c r="AA252" s="12">
        <f>Z252/13</f>
        <v>4.67</v>
      </c>
      <c r="AB252" s="12">
        <f>G252/30/7*1.5*45</f>
        <v>150.10714285714286</v>
      </c>
      <c r="AC252" s="12">
        <v>192.86</v>
      </c>
      <c r="AD252" s="12">
        <f>AB252-AC252</f>
        <v>-42.752857142857152</v>
      </c>
      <c r="AE252" s="12">
        <f>AB252*0.0775</f>
        <v>11.633303571428572</v>
      </c>
      <c r="AF252" s="37"/>
      <c r="AG252" s="12">
        <f>AB252*0.075</f>
        <v>11.258035714285715</v>
      </c>
      <c r="AH252" s="12"/>
      <c r="AI252" s="12">
        <f>AE252+AF252+AG252+AH252</f>
        <v>22.891339285714288</v>
      </c>
      <c r="AJ252" s="12">
        <f>AB252*0.01</f>
        <v>1.5010714285714286</v>
      </c>
      <c r="AK252" s="38"/>
      <c r="AL252" s="38"/>
      <c r="AM252" s="12"/>
      <c r="AN252" s="12"/>
      <c r="AO252" s="12"/>
      <c r="AP252" s="38"/>
      <c r="AQ252" s="37"/>
    </row>
    <row r="253" spans="1:43">
      <c r="A253" s="28"/>
      <c r="B253" s="15"/>
      <c r="C253" s="85" t="s">
        <v>457</v>
      </c>
      <c r="D253" s="82"/>
      <c r="E253" s="83"/>
      <c r="F253" s="84"/>
      <c r="G253" s="26"/>
      <c r="H253" s="32"/>
      <c r="I253" s="32"/>
      <c r="J253" s="36"/>
      <c r="K253" s="32"/>
      <c r="L253" s="32"/>
      <c r="M253" s="37"/>
      <c r="N253" s="24"/>
      <c r="O253" s="9"/>
      <c r="P253" s="12"/>
      <c r="Q253" s="40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38"/>
      <c r="AL253" s="38"/>
      <c r="AM253" s="38"/>
      <c r="AN253" s="38"/>
      <c r="AO253" s="38"/>
      <c r="AP253" s="37"/>
      <c r="AQ253" s="37"/>
    </row>
    <row r="254" spans="1:43">
      <c r="A254" s="21">
        <f>A252+1</f>
        <v>198</v>
      </c>
      <c r="B254" s="111" t="s">
        <v>458</v>
      </c>
      <c r="C254" s="56" t="s">
        <v>459</v>
      </c>
      <c r="D254" s="82" t="s">
        <v>452</v>
      </c>
      <c r="E254" s="83" t="s">
        <v>79</v>
      </c>
      <c r="F254" s="84" t="s">
        <v>351</v>
      </c>
      <c r="G254" s="26">
        <v>500</v>
      </c>
      <c r="H254" s="32">
        <f>G254*12</f>
        <v>6000</v>
      </c>
      <c r="I254" s="32">
        <v>60</v>
      </c>
      <c r="J254" s="36"/>
      <c r="K254" s="32">
        <f>G254</f>
        <v>500</v>
      </c>
      <c r="L254" s="32">
        <v>300</v>
      </c>
      <c r="M254" s="37"/>
      <c r="N254" s="24">
        <v>125</v>
      </c>
      <c r="O254" s="24"/>
      <c r="P254" s="12">
        <f>G254*0.0775*13</f>
        <v>503.75</v>
      </c>
      <c r="Q254" s="9"/>
      <c r="R254" s="12">
        <f>P254/13</f>
        <v>38.75</v>
      </c>
      <c r="S254" s="12"/>
      <c r="T254" s="12"/>
      <c r="U254" s="12">
        <f>G254*0.075*13</f>
        <v>487.5</v>
      </c>
      <c r="V254" s="12">
        <f>U254/13</f>
        <v>37.5</v>
      </c>
      <c r="W254" s="12"/>
      <c r="X254" s="12"/>
      <c r="Y254" s="12">
        <f>P254+S254+U254+W254+0.01</f>
        <v>991.26</v>
      </c>
      <c r="Z254" s="12">
        <f>G254*0.01*13</f>
        <v>65</v>
      </c>
      <c r="AA254" s="12">
        <f>Z254/13</f>
        <v>5</v>
      </c>
      <c r="AB254" s="12">
        <f>G254/30/7*1.5*45</f>
        <v>160.71428571428569</v>
      </c>
      <c r="AC254" s="12">
        <v>164.29</v>
      </c>
      <c r="AD254" s="12">
        <f>AB254-AC254</f>
        <v>-3.5757142857142981</v>
      </c>
      <c r="AE254" s="12">
        <f>AB254*0.0775</f>
        <v>12.455357142857141</v>
      </c>
      <c r="AF254" s="12"/>
      <c r="AG254" s="12">
        <f>AB254*0.075</f>
        <v>12.053571428571427</v>
      </c>
      <c r="AH254" s="12"/>
      <c r="AI254" s="12">
        <f>AE254+AF254+AG254+AH254</f>
        <v>24.508928571428569</v>
      </c>
      <c r="AJ254" s="12">
        <f>AB254*0.01</f>
        <v>1.607142857142857</v>
      </c>
      <c r="AK254" s="37"/>
      <c r="AL254" s="37"/>
      <c r="AM254" s="12"/>
      <c r="AN254" s="12"/>
      <c r="AO254" s="12"/>
      <c r="AP254" s="37"/>
      <c r="AQ254" s="37"/>
    </row>
    <row r="255" spans="1:43">
      <c r="A255" s="21">
        <f>A254+1</f>
        <v>199</v>
      </c>
      <c r="B255" s="27" t="s">
        <v>460</v>
      </c>
      <c r="C255" s="56" t="s">
        <v>461</v>
      </c>
      <c r="D255" s="82" t="s">
        <v>452</v>
      </c>
      <c r="E255" s="83" t="s">
        <v>79</v>
      </c>
      <c r="F255" s="84" t="s">
        <v>351</v>
      </c>
      <c r="G255" s="26">
        <f>712+30+50</f>
        <v>792</v>
      </c>
      <c r="H255" s="32">
        <f>G255*12</f>
        <v>9504</v>
      </c>
      <c r="I255" s="32">
        <v>60</v>
      </c>
      <c r="J255" s="36"/>
      <c r="K255" s="32">
        <f>G255</f>
        <v>792</v>
      </c>
      <c r="L255" s="32">
        <v>300</v>
      </c>
      <c r="M255" s="37"/>
      <c r="N255" s="24">
        <v>125</v>
      </c>
      <c r="O255" s="24"/>
      <c r="P255" s="12">
        <f t="shared" ref="P255:P269" si="131">G255*0.0775*13</f>
        <v>797.94</v>
      </c>
      <c r="Q255" s="9">
        <f>P255/13</f>
        <v>61.38</v>
      </c>
      <c r="R255" s="12"/>
      <c r="S255" s="12"/>
      <c r="T255" s="12"/>
      <c r="U255" s="12">
        <f>G255*0.075*13</f>
        <v>772.19999999999993</v>
      </c>
      <c r="V255" s="12">
        <f t="shared" si="128"/>
        <v>59.399999999999991</v>
      </c>
      <c r="W255" s="12"/>
      <c r="X255" s="12"/>
      <c r="Y255" s="12">
        <f>P255+S255+U255+W255</f>
        <v>1570.1399999999999</v>
      </c>
      <c r="Z255" s="12">
        <f t="shared" ref="Z255:Z269" si="132">G255*0.01*13</f>
        <v>102.96</v>
      </c>
      <c r="AA255" s="12">
        <f t="shared" ref="AA255:AA269" si="133">Z255/13</f>
        <v>7.92</v>
      </c>
      <c r="AB255" s="12">
        <f t="shared" ref="AB255:AB269" si="134">G255/30/7*1.5*45</f>
        <v>254.57142857142856</v>
      </c>
      <c r="AC255" s="12"/>
      <c r="AD255" s="12"/>
      <c r="AE255" s="12">
        <f t="shared" ref="AE255:AE269" si="135">AB255*0.0775</f>
        <v>19.729285714285712</v>
      </c>
      <c r="AF255" s="12"/>
      <c r="AG255" s="12">
        <f>AB255*0.075</f>
        <v>19.092857142857142</v>
      </c>
      <c r="AH255" s="12"/>
      <c r="AI255" s="12">
        <f>AE255+AF255+AG255+AH255</f>
        <v>38.82214285714285</v>
      </c>
      <c r="AJ255" s="12">
        <f>AB255*0.01</f>
        <v>2.5457142857142858</v>
      </c>
      <c r="AK255" s="38"/>
      <c r="AL255" s="38"/>
      <c r="AM255" s="12"/>
      <c r="AN255" s="12"/>
      <c r="AO255" s="12"/>
      <c r="AP255" s="37"/>
      <c r="AQ255" s="37"/>
    </row>
    <row r="256" spans="1:43">
      <c r="A256" s="21">
        <f t="shared" ref="A256:A269" si="136">A255+1</f>
        <v>200</v>
      </c>
      <c r="B256" s="27" t="s">
        <v>462</v>
      </c>
      <c r="C256" s="56" t="s">
        <v>461</v>
      </c>
      <c r="D256" s="82" t="s">
        <v>452</v>
      </c>
      <c r="E256" s="83" t="s">
        <v>79</v>
      </c>
      <c r="F256" s="84" t="s">
        <v>351</v>
      </c>
      <c r="G256" s="26">
        <f>694.29+30+50</f>
        <v>774.29</v>
      </c>
      <c r="H256" s="32">
        <f t="shared" si="126"/>
        <v>9291.48</v>
      </c>
      <c r="I256" s="32">
        <v>60</v>
      </c>
      <c r="J256" s="36"/>
      <c r="K256" s="32">
        <f t="shared" si="127"/>
        <v>774.29</v>
      </c>
      <c r="L256" s="32">
        <v>300</v>
      </c>
      <c r="M256" s="37"/>
      <c r="N256" s="24">
        <v>125</v>
      </c>
      <c r="O256" s="24"/>
      <c r="P256" s="12">
        <f t="shared" si="131"/>
        <v>780.09717499999999</v>
      </c>
      <c r="Q256" s="9">
        <f>P256/13</f>
        <v>60.007474999999999</v>
      </c>
      <c r="R256" s="12"/>
      <c r="S256" s="12"/>
      <c r="T256" s="12"/>
      <c r="U256" s="12">
        <f>G256*0.075*13</f>
        <v>754.93274999999994</v>
      </c>
      <c r="V256" s="12">
        <f t="shared" si="128"/>
        <v>58.071749999999994</v>
      </c>
      <c r="W256" s="12"/>
      <c r="X256" s="12"/>
      <c r="Y256" s="12">
        <f>P256+S256+U256+W256</f>
        <v>1535.0299249999998</v>
      </c>
      <c r="Z256" s="12">
        <f t="shared" si="132"/>
        <v>100.65769999999999</v>
      </c>
      <c r="AA256" s="12">
        <f t="shared" si="133"/>
        <v>7.7428999999999997</v>
      </c>
      <c r="AB256" s="12">
        <f t="shared" si="134"/>
        <v>248.87892857142853</v>
      </c>
      <c r="AC256" s="12"/>
      <c r="AD256" s="12"/>
      <c r="AE256" s="12">
        <f t="shared" si="135"/>
        <v>19.28811696428571</v>
      </c>
      <c r="AF256" s="12"/>
      <c r="AG256" s="12">
        <f t="shared" si="129"/>
        <v>18.665919642857141</v>
      </c>
      <c r="AH256" s="12"/>
      <c r="AI256" s="12">
        <f>AE256+AF256+AG256+AH256+0.01</f>
        <v>37.964036607142852</v>
      </c>
      <c r="AJ256" s="12">
        <f t="shared" si="130"/>
        <v>2.4887892857142853</v>
      </c>
      <c r="AK256" s="38"/>
      <c r="AL256" s="38"/>
      <c r="AM256" s="12"/>
      <c r="AN256" s="12"/>
      <c r="AO256" s="12"/>
      <c r="AP256" s="37"/>
      <c r="AQ256" s="37"/>
    </row>
    <row r="257" spans="1:43">
      <c r="A257" s="21">
        <f t="shared" si="136"/>
        <v>201</v>
      </c>
      <c r="B257" s="27" t="s">
        <v>463</v>
      </c>
      <c r="C257" s="56" t="s">
        <v>464</v>
      </c>
      <c r="D257" s="82" t="s">
        <v>452</v>
      </c>
      <c r="E257" s="83" t="s">
        <v>79</v>
      </c>
      <c r="F257" s="84" t="s">
        <v>351</v>
      </c>
      <c r="G257" s="26">
        <f>547+30+50</f>
        <v>627</v>
      </c>
      <c r="H257" s="32">
        <f t="shared" si="126"/>
        <v>7524</v>
      </c>
      <c r="I257" s="32">
        <v>60</v>
      </c>
      <c r="J257" s="36"/>
      <c r="K257" s="32">
        <f t="shared" si="127"/>
        <v>627</v>
      </c>
      <c r="L257" s="32">
        <v>300</v>
      </c>
      <c r="M257" s="37"/>
      <c r="N257" s="24">
        <v>125</v>
      </c>
      <c r="O257" s="24"/>
      <c r="P257" s="12">
        <f t="shared" si="131"/>
        <v>631.70249999999999</v>
      </c>
      <c r="Q257" s="40"/>
      <c r="R257" s="12">
        <f>P257/13</f>
        <v>48.592500000000001</v>
      </c>
      <c r="S257" s="12"/>
      <c r="T257" s="12"/>
      <c r="U257" s="12">
        <f t="shared" ref="U257:U269" si="137">G257*0.075*13</f>
        <v>611.32499999999993</v>
      </c>
      <c r="V257" s="12">
        <f t="shared" si="128"/>
        <v>47.024999999999991</v>
      </c>
      <c r="W257" s="12"/>
      <c r="X257" s="12"/>
      <c r="Y257" s="12">
        <f>P257+S257+U257+W257</f>
        <v>1243.0274999999999</v>
      </c>
      <c r="Z257" s="12">
        <f t="shared" si="132"/>
        <v>81.510000000000005</v>
      </c>
      <c r="AA257" s="12">
        <f t="shared" si="133"/>
        <v>6.2700000000000005</v>
      </c>
      <c r="AB257" s="12">
        <f t="shared" si="134"/>
        <v>201.53571428571425</v>
      </c>
      <c r="AC257" s="12"/>
      <c r="AD257" s="12"/>
      <c r="AE257" s="12">
        <f t="shared" si="135"/>
        <v>15.619017857142854</v>
      </c>
      <c r="AF257" s="12"/>
      <c r="AG257" s="12">
        <f t="shared" si="129"/>
        <v>15.115178571428569</v>
      </c>
      <c r="AH257" s="12"/>
      <c r="AI257" s="12">
        <f>AE257+AF257+AG257+AH257+0.01</f>
        <v>30.744196428571424</v>
      </c>
      <c r="AJ257" s="12">
        <f t="shared" si="130"/>
        <v>2.0153571428571424</v>
      </c>
      <c r="AK257" s="38"/>
      <c r="AL257" s="38"/>
      <c r="AM257" s="12"/>
      <c r="AN257" s="12"/>
      <c r="AO257" s="12"/>
      <c r="AP257" s="37"/>
      <c r="AQ257" s="37"/>
    </row>
    <row r="258" spans="1:43">
      <c r="A258" s="21">
        <f t="shared" si="136"/>
        <v>202</v>
      </c>
      <c r="B258" s="27" t="s">
        <v>465</v>
      </c>
      <c r="C258" s="56" t="s">
        <v>464</v>
      </c>
      <c r="D258" s="82" t="s">
        <v>452</v>
      </c>
      <c r="E258" s="83" t="s">
        <v>79</v>
      </c>
      <c r="F258" s="84" t="s">
        <v>351</v>
      </c>
      <c r="G258" s="26">
        <f>547+30+50</f>
        <v>627</v>
      </c>
      <c r="H258" s="32">
        <f t="shared" si="126"/>
        <v>7524</v>
      </c>
      <c r="I258" s="32">
        <v>60</v>
      </c>
      <c r="J258" s="36"/>
      <c r="K258" s="32">
        <f t="shared" si="127"/>
        <v>627</v>
      </c>
      <c r="L258" s="32">
        <v>300</v>
      </c>
      <c r="M258" s="37"/>
      <c r="N258" s="24">
        <v>125</v>
      </c>
      <c r="O258" s="24"/>
      <c r="P258" s="12">
        <f t="shared" si="131"/>
        <v>631.70249999999999</v>
      </c>
      <c r="Q258" s="9">
        <f>P258/13</f>
        <v>48.592500000000001</v>
      </c>
      <c r="R258" s="12"/>
      <c r="S258" s="12"/>
      <c r="T258" s="12"/>
      <c r="U258" s="12">
        <f t="shared" si="137"/>
        <v>611.32499999999993</v>
      </c>
      <c r="V258" s="12">
        <f t="shared" si="128"/>
        <v>47.024999999999991</v>
      </c>
      <c r="W258" s="12"/>
      <c r="X258" s="12"/>
      <c r="Y258" s="12">
        <f>P258+S258+U258+W258</f>
        <v>1243.0274999999999</v>
      </c>
      <c r="Z258" s="12">
        <f t="shared" si="132"/>
        <v>81.510000000000005</v>
      </c>
      <c r="AA258" s="12">
        <f t="shared" si="133"/>
        <v>6.2700000000000005</v>
      </c>
      <c r="AB258" s="12">
        <f t="shared" si="134"/>
        <v>201.53571428571425</v>
      </c>
      <c r="AC258" s="12"/>
      <c r="AD258" s="12"/>
      <c r="AE258" s="12">
        <f t="shared" si="135"/>
        <v>15.619017857142854</v>
      </c>
      <c r="AF258" s="12"/>
      <c r="AG258" s="12">
        <f t="shared" si="129"/>
        <v>15.115178571428569</v>
      </c>
      <c r="AH258" s="12"/>
      <c r="AI258" s="12">
        <f>AE258+AF258+AG258+AH258+0.01</f>
        <v>30.744196428571424</v>
      </c>
      <c r="AJ258" s="12">
        <f t="shared" si="130"/>
        <v>2.0153571428571424</v>
      </c>
      <c r="AK258" s="38"/>
      <c r="AL258" s="38"/>
      <c r="AM258" s="12"/>
      <c r="AN258" s="12"/>
      <c r="AO258" s="12"/>
      <c r="AP258" s="37"/>
      <c r="AQ258" s="37"/>
    </row>
    <row r="259" spans="1:43">
      <c r="A259" s="21">
        <f t="shared" si="136"/>
        <v>203</v>
      </c>
      <c r="B259" s="27" t="s">
        <v>466</v>
      </c>
      <c r="C259" s="56" t="s">
        <v>467</v>
      </c>
      <c r="D259" s="82" t="s">
        <v>452</v>
      </c>
      <c r="E259" s="83" t="s">
        <v>79</v>
      </c>
      <c r="F259" s="84" t="s">
        <v>351</v>
      </c>
      <c r="G259" s="26">
        <f>467+30+50</f>
        <v>547</v>
      </c>
      <c r="H259" s="32">
        <f t="shared" si="126"/>
        <v>6564</v>
      </c>
      <c r="I259" s="32">
        <v>60</v>
      </c>
      <c r="J259" s="36"/>
      <c r="K259" s="32">
        <f t="shared" si="127"/>
        <v>547</v>
      </c>
      <c r="L259" s="32">
        <v>300</v>
      </c>
      <c r="M259" s="37"/>
      <c r="N259" s="24">
        <v>125</v>
      </c>
      <c r="O259" s="24"/>
      <c r="P259" s="12">
        <f t="shared" si="131"/>
        <v>551.10249999999996</v>
      </c>
      <c r="Q259" s="12"/>
      <c r="R259" s="12">
        <f>P259/13</f>
        <v>42.392499999999998</v>
      </c>
      <c r="S259" s="12"/>
      <c r="T259" s="12"/>
      <c r="U259" s="12">
        <f t="shared" si="137"/>
        <v>533.32499999999993</v>
      </c>
      <c r="V259" s="12">
        <f t="shared" si="128"/>
        <v>41.024999999999991</v>
      </c>
      <c r="W259" s="12"/>
      <c r="X259" s="12"/>
      <c r="Y259" s="12">
        <f>P259+S259+U259+W259</f>
        <v>1084.4274999999998</v>
      </c>
      <c r="Z259" s="12">
        <f t="shared" si="132"/>
        <v>71.11</v>
      </c>
      <c r="AA259" s="12">
        <f t="shared" si="133"/>
        <v>5.47</v>
      </c>
      <c r="AB259" s="12">
        <f t="shared" si="134"/>
        <v>175.82142857142858</v>
      </c>
      <c r="AC259" s="12"/>
      <c r="AD259" s="12"/>
      <c r="AE259" s="12">
        <f t="shared" si="135"/>
        <v>13.626160714285716</v>
      </c>
      <c r="AF259" s="12"/>
      <c r="AG259" s="12">
        <f t="shared" si="129"/>
        <v>13.186607142857143</v>
      </c>
      <c r="AH259" s="12"/>
      <c r="AI259" s="12">
        <f>AE259+AF259+AG259+AH259+0.01</f>
        <v>26.82276785714286</v>
      </c>
      <c r="AJ259" s="12">
        <f t="shared" si="130"/>
        <v>1.758214285714286</v>
      </c>
      <c r="AK259" s="38"/>
      <c r="AL259" s="38"/>
      <c r="AM259" s="12"/>
      <c r="AN259" s="12"/>
      <c r="AO259" s="12"/>
      <c r="AP259" s="37"/>
      <c r="AQ259" s="37"/>
    </row>
    <row r="260" spans="1:43">
      <c r="A260" s="21">
        <f t="shared" si="136"/>
        <v>204</v>
      </c>
      <c r="B260" s="27" t="s">
        <v>468</v>
      </c>
      <c r="C260" s="56" t="s">
        <v>467</v>
      </c>
      <c r="D260" s="82" t="s">
        <v>452</v>
      </c>
      <c r="E260" s="83" t="s">
        <v>79</v>
      </c>
      <c r="F260" s="84" t="s">
        <v>351</v>
      </c>
      <c r="G260" s="26">
        <f>417+30+50</f>
        <v>497</v>
      </c>
      <c r="H260" s="32">
        <f>G260*12</f>
        <v>5964</v>
      </c>
      <c r="I260" s="32">
        <v>60</v>
      </c>
      <c r="J260" s="36"/>
      <c r="K260" s="32">
        <f>G260</f>
        <v>497</v>
      </c>
      <c r="L260" s="32">
        <v>300</v>
      </c>
      <c r="M260" s="37"/>
      <c r="N260" s="24">
        <v>125</v>
      </c>
      <c r="O260" s="24"/>
      <c r="P260" s="12">
        <f t="shared" si="131"/>
        <v>500.72749999999996</v>
      </c>
      <c r="Q260" s="40"/>
      <c r="R260" s="12">
        <f>P260/13</f>
        <v>38.517499999999998</v>
      </c>
      <c r="S260" s="12"/>
      <c r="T260" s="12"/>
      <c r="U260" s="12">
        <f t="shared" si="137"/>
        <v>484.57499999999999</v>
      </c>
      <c r="V260" s="12">
        <f t="shared" si="128"/>
        <v>37.274999999999999</v>
      </c>
      <c r="W260" s="12"/>
      <c r="X260" s="12"/>
      <c r="Y260" s="12">
        <f>P260+S260+U260+W260+0.01</f>
        <v>985.3125</v>
      </c>
      <c r="Z260" s="12">
        <f t="shared" si="132"/>
        <v>64.61</v>
      </c>
      <c r="AA260" s="12">
        <f t="shared" si="133"/>
        <v>4.97</v>
      </c>
      <c r="AB260" s="12">
        <f>G260/30/7*1.5*45</f>
        <v>159.75</v>
      </c>
      <c r="AC260" s="12"/>
      <c r="AD260" s="12"/>
      <c r="AE260" s="12">
        <f t="shared" si="135"/>
        <v>12.380625</v>
      </c>
      <c r="AF260" s="12"/>
      <c r="AG260" s="12">
        <f>AB260*0.075</f>
        <v>11.981249999999999</v>
      </c>
      <c r="AH260" s="12"/>
      <c r="AI260" s="12">
        <f t="shared" ref="AI260:AI266" si="138">AE260+AF260+AG260+AH260</f>
        <v>24.361874999999998</v>
      </c>
      <c r="AJ260" s="12">
        <f>AB260*0.01</f>
        <v>1.5975000000000001</v>
      </c>
      <c r="AK260" s="38"/>
      <c r="AL260" s="38"/>
      <c r="AM260" s="12"/>
      <c r="AN260" s="12"/>
      <c r="AO260" s="12"/>
      <c r="AP260" s="38"/>
      <c r="AQ260" s="37"/>
    </row>
    <row r="261" spans="1:43">
      <c r="A261" s="21">
        <f t="shared" si="136"/>
        <v>205</v>
      </c>
      <c r="B261" s="108" t="s">
        <v>469</v>
      </c>
      <c r="C261" s="56" t="s">
        <v>470</v>
      </c>
      <c r="D261" s="82" t="s">
        <v>452</v>
      </c>
      <c r="E261" s="83" t="s">
        <v>79</v>
      </c>
      <c r="F261" s="84" t="s">
        <v>351</v>
      </c>
      <c r="G261" s="26">
        <f>621.72+30+50</f>
        <v>701.72</v>
      </c>
      <c r="H261" s="32">
        <f t="shared" si="126"/>
        <v>8420.64</v>
      </c>
      <c r="I261" s="32">
        <v>60</v>
      </c>
      <c r="J261" s="36"/>
      <c r="K261" s="32">
        <f t="shared" si="127"/>
        <v>701.72</v>
      </c>
      <c r="L261" s="32">
        <v>300</v>
      </c>
      <c r="M261" s="37"/>
      <c r="N261" s="24">
        <v>125</v>
      </c>
      <c r="O261" s="24"/>
      <c r="P261" s="12">
        <f t="shared" si="131"/>
        <v>706.98289999999997</v>
      </c>
      <c r="Q261" s="9">
        <f>P261/13</f>
        <v>54.383299999999998</v>
      </c>
      <c r="R261" s="12"/>
      <c r="S261" s="12"/>
      <c r="T261" s="12"/>
      <c r="U261" s="12">
        <f t="shared" si="137"/>
        <v>684.17700000000002</v>
      </c>
      <c r="V261" s="12">
        <f t="shared" si="128"/>
        <v>52.629000000000005</v>
      </c>
      <c r="W261" s="12"/>
      <c r="X261" s="12"/>
      <c r="Y261" s="12">
        <f>P261+S261+U261+W261</f>
        <v>1391.1599000000001</v>
      </c>
      <c r="Z261" s="12">
        <f t="shared" si="132"/>
        <v>91.223600000000005</v>
      </c>
      <c r="AA261" s="12">
        <f t="shared" si="133"/>
        <v>7.0172000000000008</v>
      </c>
      <c r="AB261" s="12">
        <f t="shared" si="134"/>
        <v>225.55285714285716</v>
      </c>
      <c r="AC261" s="12"/>
      <c r="AD261" s="12"/>
      <c r="AE261" s="12">
        <f t="shared" si="135"/>
        <v>17.48034642857143</v>
      </c>
      <c r="AF261" s="12"/>
      <c r="AG261" s="12">
        <f t="shared" si="129"/>
        <v>16.916464285714287</v>
      </c>
      <c r="AH261" s="12"/>
      <c r="AI261" s="12">
        <f t="shared" si="138"/>
        <v>34.396810714285721</v>
      </c>
      <c r="AJ261" s="12">
        <f t="shared" si="130"/>
        <v>2.2555285714285715</v>
      </c>
      <c r="AK261" s="38"/>
      <c r="AL261" s="38"/>
      <c r="AM261" s="12"/>
      <c r="AN261" s="12"/>
      <c r="AO261" s="12"/>
      <c r="AP261" s="37"/>
      <c r="AQ261" s="37"/>
    </row>
    <row r="262" spans="1:43">
      <c r="A262" s="21">
        <f t="shared" si="136"/>
        <v>206</v>
      </c>
      <c r="B262" s="27" t="s">
        <v>471</v>
      </c>
      <c r="C262" s="56" t="s">
        <v>470</v>
      </c>
      <c r="D262" s="82" t="s">
        <v>452</v>
      </c>
      <c r="E262" s="83" t="s">
        <v>79</v>
      </c>
      <c r="F262" s="84" t="s">
        <v>351</v>
      </c>
      <c r="G262" s="26">
        <f>621.72+30+50</f>
        <v>701.72</v>
      </c>
      <c r="H262" s="32">
        <f t="shared" si="126"/>
        <v>8420.64</v>
      </c>
      <c r="I262" s="32">
        <v>60</v>
      </c>
      <c r="J262" s="36"/>
      <c r="K262" s="32">
        <f t="shared" si="127"/>
        <v>701.72</v>
      </c>
      <c r="L262" s="32">
        <v>300</v>
      </c>
      <c r="M262" s="37"/>
      <c r="N262" s="24">
        <v>125</v>
      </c>
      <c r="O262" s="24"/>
      <c r="P262" s="12">
        <f t="shared" si="131"/>
        <v>706.98289999999997</v>
      </c>
      <c r="Q262" s="40"/>
      <c r="R262" s="12">
        <f>P262/13</f>
        <v>54.383299999999998</v>
      </c>
      <c r="S262" s="12"/>
      <c r="T262" s="12"/>
      <c r="U262" s="12">
        <f t="shared" si="137"/>
        <v>684.17700000000002</v>
      </c>
      <c r="V262" s="12">
        <f t="shared" si="128"/>
        <v>52.629000000000005</v>
      </c>
      <c r="W262" s="12"/>
      <c r="X262" s="12"/>
      <c r="Y262" s="12">
        <f>P262+S262+U262+W262</f>
        <v>1391.1599000000001</v>
      </c>
      <c r="Z262" s="12">
        <f t="shared" si="132"/>
        <v>91.223600000000005</v>
      </c>
      <c r="AA262" s="12">
        <f t="shared" si="133"/>
        <v>7.0172000000000008</v>
      </c>
      <c r="AB262" s="12">
        <f t="shared" si="134"/>
        <v>225.55285714285716</v>
      </c>
      <c r="AC262" s="12">
        <v>157.63</v>
      </c>
      <c r="AD262" s="12">
        <f>AB262-AC262</f>
        <v>67.922857142857168</v>
      </c>
      <c r="AE262" s="12">
        <f t="shared" si="135"/>
        <v>17.48034642857143</v>
      </c>
      <c r="AF262" s="12"/>
      <c r="AG262" s="12">
        <f t="shared" si="129"/>
        <v>16.916464285714287</v>
      </c>
      <c r="AH262" s="12"/>
      <c r="AI262" s="12">
        <f t="shared" si="138"/>
        <v>34.396810714285721</v>
      </c>
      <c r="AJ262" s="12">
        <f t="shared" si="130"/>
        <v>2.2555285714285715</v>
      </c>
      <c r="AK262" s="37"/>
      <c r="AL262" s="37"/>
      <c r="AM262" s="12"/>
      <c r="AN262" s="12"/>
      <c r="AO262" s="12"/>
      <c r="AP262" s="37"/>
      <c r="AQ262" s="37"/>
    </row>
    <row r="263" spans="1:43">
      <c r="A263" s="21">
        <f t="shared" si="136"/>
        <v>207</v>
      </c>
      <c r="B263" s="27" t="s">
        <v>472</v>
      </c>
      <c r="C263" s="56" t="s">
        <v>473</v>
      </c>
      <c r="D263" s="82" t="s">
        <v>452</v>
      </c>
      <c r="E263" s="83" t="s">
        <v>79</v>
      </c>
      <c r="F263" s="84" t="s">
        <v>351</v>
      </c>
      <c r="G263" s="26">
        <f>614.86+30+50</f>
        <v>694.86</v>
      </c>
      <c r="H263" s="32">
        <f t="shared" si="126"/>
        <v>8338.32</v>
      </c>
      <c r="I263" s="32">
        <v>60</v>
      </c>
      <c r="J263" s="36"/>
      <c r="K263" s="32">
        <f t="shared" si="127"/>
        <v>694.86</v>
      </c>
      <c r="L263" s="32">
        <v>300</v>
      </c>
      <c r="M263" s="37"/>
      <c r="N263" s="24">
        <v>125</v>
      </c>
      <c r="O263" s="24"/>
      <c r="P263" s="12">
        <f t="shared" si="131"/>
        <v>700.07145000000003</v>
      </c>
      <c r="Q263" s="40"/>
      <c r="R263" s="12">
        <f>P263/13</f>
        <v>53.851649999999999</v>
      </c>
      <c r="S263" s="12"/>
      <c r="T263" s="12"/>
      <c r="U263" s="12">
        <f t="shared" si="137"/>
        <v>677.48850000000004</v>
      </c>
      <c r="V263" s="12">
        <f t="shared" si="128"/>
        <v>52.114500000000007</v>
      </c>
      <c r="W263" s="12"/>
      <c r="X263" s="12"/>
      <c r="Y263" s="12">
        <f>P263+S263+U263+W263</f>
        <v>1377.5599500000001</v>
      </c>
      <c r="Z263" s="12">
        <f t="shared" si="132"/>
        <v>90.331800000000001</v>
      </c>
      <c r="AA263" s="12">
        <f t="shared" si="133"/>
        <v>6.9485999999999999</v>
      </c>
      <c r="AB263" s="12">
        <f t="shared" si="134"/>
        <v>223.34785714285712</v>
      </c>
      <c r="AC263" s="12"/>
      <c r="AD263" s="12"/>
      <c r="AE263" s="12">
        <f t="shared" si="135"/>
        <v>17.309458928571427</v>
      </c>
      <c r="AF263" s="12"/>
      <c r="AG263" s="12">
        <f t="shared" si="129"/>
        <v>16.751089285714283</v>
      </c>
      <c r="AH263" s="12"/>
      <c r="AI263" s="12">
        <f t="shared" si="138"/>
        <v>34.06054821428571</v>
      </c>
      <c r="AJ263" s="12">
        <f t="shared" si="130"/>
        <v>2.2334785714285714</v>
      </c>
      <c r="AK263" s="37"/>
      <c r="AL263" s="37"/>
      <c r="AM263" s="12"/>
      <c r="AN263" s="12"/>
      <c r="AO263" s="12"/>
      <c r="AP263" s="37"/>
      <c r="AQ263" s="37"/>
    </row>
    <row r="264" spans="1:43">
      <c r="A264" s="21">
        <f t="shared" si="136"/>
        <v>208</v>
      </c>
      <c r="B264" s="27" t="s">
        <v>474</v>
      </c>
      <c r="C264" s="56" t="s">
        <v>475</v>
      </c>
      <c r="D264" s="82" t="s">
        <v>452</v>
      </c>
      <c r="E264" s="83" t="s">
        <v>79</v>
      </c>
      <c r="F264" s="84" t="s">
        <v>351</v>
      </c>
      <c r="G264" s="26">
        <f>517+30+50</f>
        <v>597</v>
      </c>
      <c r="H264" s="32">
        <f t="shared" ref="H264:H269" si="139">G264*12</f>
        <v>7164</v>
      </c>
      <c r="I264" s="32">
        <v>60</v>
      </c>
      <c r="J264" s="36"/>
      <c r="K264" s="32">
        <f t="shared" ref="K264:K269" si="140">G264</f>
        <v>597</v>
      </c>
      <c r="L264" s="32">
        <v>300</v>
      </c>
      <c r="M264" s="37"/>
      <c r="N264" s="24">
        <v>125</v>
      </c>
      <c r="O264" s="24"/>
      <c r="P264" s="12">
        <f>G264*0.0775*13</f>
        <v>601.47749999999996</v>
      </c>
      <c r="Q264" s="40"/>
      <c r="R264" s="12">
        <f>P264/13</f>
        <v>46.267499999999998</v>
      </c>
      <c r="S264" s="12"/>
      <c r="T264" s="12"/>
      <c r="U264" s="12">
        <f>G264*0.075*13</f>
        <v>582.07499999999993</v>
      </c>
      <c r="V264" s="12">
        <f>U264/13</f>
        <v>44.774999999999991</v>
      </c>
      <c r="W264" s="12"/>
      <c r="X264" s="12"/>
      <c r="Y264" s="12">
        <f>P264+S264+U264+W264+0.01</f>
        <v>1183.5624999999998</v>
      </c>
      <c r="Z264" s="12">
        <f>G264*0.01*13</f>
        <v>77.61</v>
      </c>
      <c r="AA264" s="12">
        <f>Z264/13</f>
        <v>5.97</v>
      </c>
      <c r="AB264" s="12">
        <f>G264/30/7*1.5*45</f>
        <v>191.89285714285714</v>
      </c>
      <c r="AC264" s="12">
        <v>207.14</v>
      </c>
      <c r="AD264" s="12"/>
      <c r="AE264" s="12">
        <f>AB264*0.0775</f>
        <v>14.871696428571429</v>
      </c>
      <c r="AF264" s="12"/>
      <c r="AG264" s="12">
        <f t="shared" ref="AG264:AG269" si="141">AB264*0.075</f>
        <v>14.391964285714284</v>
      </c>
      <c r="AH264" s="12"/>
      <c r="AI264" s="12">
        <f t="shared" si="138"/>
        <v>29.263660714285713</v>
      </c>
      <c r="AJ264" s="12">
        <f t="shared" ref="AJ264:AJ269" si="142">AB264*0.01</f>
        <v>1.9189285714285713</v>
      </c>
      <c r="AK264" s="38"/>
      <c r="AL264" s="38"/>
      <c r="AM264" s="12"/>
      <c r="AN264" s="12"/>
      <c r="AO264" s="12"/>
      <c r="AP264" s="38"/>
      <c r="AQ264" s="37"/>
    </row>
    <row r="265" spans="1:43">
      <c r="A265" s="21">
        <f t="shared" si="136"/>
        <v>209</v>
      </c>
      <c r="B265" s="27" t="s">
        <v>476</v>
      </c>
      <c r="C265" s="56" t="s">
        <v>477</v>
      </c>
      <c r="D265" s="82" t="s">
        <v>452</v>
      </c>
      <c r="E265" s="83" t="s">
        <v>79</v>
      </c>
      <c r="F265" s="84" t="s">
        <v>351</v>
      </c>
      <c r="G265" s="26">
        <f>669.15+30+50</f>
        <v>749.15</v>
      </c>
      <c r="H265" s="32">
        <f t="shared" si="139"/>
        <v>8989.7999999999993</v>
      </c>
      <c r="I265" s="32">
        <v>60</v>
      </c>
      <c r="J265" s="36"/>
      <c r="K265" s="32">
        <f t="shared" si="140"/>
        <v>749.15</v>
      </c>
      <c r="L265" s="32">
        <v>300</v>
      </c>
      <c r="M265" s="37"/>
      <c r="N265" s="24">
        <v>125</v>
      </c>
      <c r="O265" s="24"/>
      <c r="P265" s="12">
        <f t="shared" si="131"/>
        <v>754.76862499999993</v>
      </c>
      <c r="Q265" s="9">
        <f>P265/13</f>
        <v>58.059124999999995</v>
      </c>
      <c r="R265" s="12"/>
      <c r="S265" s="37"/>
      <c r="T265" s="37"/>
      <c r="U265" s="12">
        <f t="shared" si="137"/>
        <v>730.42124999999987</v>
      </c>
      <c r="V265" s="12">
        <f t="shared" si="128"/>
        <v>56.186249999999987</v>
      </c>
      <c r="W265" s="37"/>
      <c r="X265" s="37"/>
      <c r="Y265" s="12">
        <f>P265+S265+U265+W265</f>
        <v>1485.1898749999998</v>
      </c>
      <c r="Z265" s="12">
        <f t="shared" si="132"/>
        <v>97.389499999999998</v>
      </c>
      <c r="AA265" s="12">
        <f t="shared" si="133"/>
        <v>7.4915000000000003</v>
      </c>
      <c r="AB265" s="12">
        <f t="shared" si="134"/>
        <v>240.79821428571427</v>
      </c>
      <c r="AC265" s="12"/>
      <c r="AD265" s="12"/>
      <c r="AE265" s="12">
        <f t="shared" si="135"/>
        <v>18.661861607142857</v>
      </c>
      <c r="AF265" s="12"/>
      <c r="AG265" s="12">
        <f t="shared" si="141"/>
        <v>18.059866071428569</v>
      </c>
      <c r="AH265" s="12"/>
      <c r="AI265" s="12">
        <f t="shared" si="138"/>
        <v>36.721727678571426</v>
      </c>
      <c r="AJ265" s="12">
        <f t="shared" si="142"/>
        <v>2.4079821428571426</v>
      </c>
      <c r="AK265" s="38"/>
      <c r="AL265" s="38"/>
      <c r="AM265" s="12"/>
      <c r="AN265" s="12"/>
      <c r="AO265" s="12"/>
      <c r="AP265" s="38"/>
      <c r="AQ265" s="37"/>
    </row>
    <row r="266" spans="1:43">
      <c r="A266" s="21">
        <f t="shared" si="136"/>
        <v>210</v>
      </c>
      <c r="B266" s="108" t="s">
        <v>478</v>
      </c>
      <c r="C266" s="56" t="s">
        <v>479</v>
      </c>
      <c r="D266" s="82" t="s">
        <v>452</v>
      </c>
      <c r="E266" s="83" t="s">
        <v>79</v>
      </c>
      <c r="F266" s="84" t="s">
        <v>351</v>
      </c>
      <c r="G266" s="26">
        <f>669.15+30+50</f>
        <v>749.15</v>
      </c>
      <c r="H266" s="32">
        <f t="shared" si="139"/>
        <v>8989.7999999999993</v>
      </c>
      <c r="I266" s="32">
        <v>60</v>
      </c>
      <c r="J266" s="36"/>
      <c r="K266" s="32">
        <f t="shared" si="140"/>
        <v>749.15</v>
      </c>
      <c r="L266" s="32">
        <v>300</v>
      </c>
      <c r="M266" s="37"/>
      <c r="N266" s="24">
        <v>125</v>
      </c>
      <c r="O266" s="24"/>
      <c r="P266" s="12">
        <f t="shared" si="131"/>
        <v>754.76862499999993</v>
      </c>
      <c r="Q266" s="9">
        <f>P266/13</f>
        <v>58.059124999999995</v>
      </c>
      <c r="R266" s="12"/>
      <c r="S266" s="37"/>
      <c r="T266" s="37"/>
      <c r="U266" s="12">
        <f t="shared" si="137"/>
        <v>730.42124999999987</v>
      </c>
      <c r="V266" s="12">
        <f t="shared" si="128"/>
        <v>56.186249999999987</v>
      </c>
      <c r="W266" s="37"/>
      <c r="X266" s="37"/>
      <c r="Y266" s="12">
        <f>P266+S266+U266+W266</f>
        <v>1485.1898749999998</v>
      </c>
      <c r="Z266" s="12">
        <f t="shared" si="132"/>
        <v>97.389499999999998</v>
      </c>
      <c r="AA266" s="12">
        <f t="shared" si="133"/>
        <v>7.4915000000000003</v>
      </c>
      <c r="AB266" s="12">
        <f t="shared" si="134"/>
        <v>240.79821428571427</v>
      </c>
      <c r="AC266" s="12"/>
      <c r="AD266" s="12"/>
      <c r="AE266" s="12">
        <f t="shared" si="135"/>
        <v>18.661861607142857</v>
      </c>
      <c r="AF266" s="12"/>
      <c r="AG266" s="12">
        <f t="shared" si="141"/>
        <v>18.059866071428569</v>
      </c>
      <c r="AH266" s="12"/>
      <c r="AI266" s="12">
        <f t="shared" si="138"/>
        <v>36.721727678571426</v>
      </c>
      <c r="AJ266" s="12">
        <f t="shared" si="142"/>
        <v>2.4079821428571426</v>
      </c>
      <c r="AK266" s="38"/>
      <c r="AL266" s="38"/>
      <c r="AM266" s="12"/>
      <c r="AN266" s="12"/>
      <c r="AO266" s="12"/>
      <c r="AP266" s="38"/>
      <c r="AQ266" s="37"/>
    </row>
    <row r="267" spans="1:43">
      <c r="A267" s="21">
        <f t="shared" si="136"/>
        <v>211</v>
      </c>
      <c r="B267" s="27" t="s">
        <v>480</v>
      </c>
      <c r="C267" s="56" t="s">
        <v>481</v>
      </c>
      <c r="D267" s="82" t="s">
        <v>452</v>
      </c>
      <c r="E267" s="83" t="s">
        <v>79</v>
      </c>
      <c r="F267" s="84" t="s">
        <v>351</v>
      </c>
      <c r="G267" s="26">
        <f>547+30+50</f>
        <v>627</v>
      </c>
      <c r="H267" s="32">
        <f t="shared" si="139"/>
        <v>7524</v>
      </c>
      <c r="I267" s="32">
        <v>60</v>
      </c>
      <c r="J267" s="36"/>
      <c r="K267" s="32">
        <f t="shared" si="140"/>
        <v>627</v>
      </c>
      <c r="L267" s="32">
        <v>300</v>
      </c>
      <c r="M267" s="37"/>
      <c r="N267" s="24">
        <v>125</v>
      </c>
      <c r="O267" s="24"/>
      <c r="P267" s="12">
        <f t="shared" si="131"/>
        <v>631.70249999999999</v>
      </c>
      <c r="Q267" s="9">
        <f>P267/13</f>
        <v>48.592500000000001</v>
      </c>
      <c r="R267" s="12"/>
      <c r="S267" s="37"/>
      <c r="T267" s="37"/>
      <c r="U267" s="12">
        <f t="shared" si="137"/>
        <v>611.32499999999993</v>
      </c>
      <c r="V267" s="12">
        <f t="shared" si="128"/>
        <v>47.024999999999991</v>
      </c>
      <c r="W267" s="37"/>
      <c r="X267" s="37"/>
      <c r="Y267" s="12">
        <f>P267+S267+U267+W267</f>
        <v>1243.0274999999999</v>
      </c>
      <c r="Z267" s="12">
        <f t="shared" si="132"/>
        <v>81.510000000000005</v>
      </c>
      <c r="AA267" s="12">
        <f t="shared" si="133"/>
        <v>6.2700000000000005</v>
      </c>
      <c r="AB267" s="12">
        <f t="shared" si="134"/>
        <v>201.53571428571425</v>
      </c>
      <c r="AC267" s="12"/>
      <c r="AD267" s="12"/>
      <c r="AE267" s="12">
        <f t="shared" si="135"/>
        <v>15.619017857142854</v>
      </c>
      <c r="AF267" s="12"/>
      <c r="AG267" s="12">
        <f t="shared" si="141"/>
        <v>15.115178571428569</v>
      </c>
      <c r="AH267" s="12"/>
      <c r="AI267" s="12">
        <f>AE267+AF267+AG267+AH267+0.01</f>
        <v>30.744196428571424</v>
      </c>
      <c r="AJ267" s="12">
        <f t="shared" si="142"/>
        <v>2.0153571428571424</v>
      </c>
      <c r="AK267" s="38"/>
      <c r="AL267" s="38"/>
      <c r="AM267" s="12"/>
      <c r="AN267" s="12"/>
      <c r="AO267" s="12"/>
      <c r="AP267" s="38"/>
      <c r="AQ267" s="37"/>
    </row>
    <row r="268" spans="1:43">
      <c r="A268" s="21">
        <f t="shared" si="136"/>
        <v>212</v>
      </c>
      <c r="B268" s="27" t="s">
        <v>482</v>
      </c>
      <c r="C268" s="56" t="s">
        <v>483</v>
      </c>
      <c r="D268" s="82" t="s">
        <v>452</v>
      </c>
      <c r="E268" s="83" t="s">
        <v>79</v>
      </c>
      <c r="F268" s="84" t="s">
        <v>351</v>
      </c>
      <c r="G268" s="26">
        <f>669.15+30+50</f>
        <v>749.15</v>
      </c>
      <c r="H268" s="32">
        <f t="shared" si="139"/>
        <v>8989.7999999999993</v>
      </c>
      <c r="I268" s="32">
        <v>60</v>
      </c>
      <c r="J268" s="36"/>
      <c r="K268" s="32">
        <f t="shared" si="140"/>
        <v>749.15</v>
      </c>
      <c r="L268" s="32">
        <v>300</v>
      </c>
      <c r="M268" s="37"/>
      <c r="N268" s="24">
        <v>125</v>
      </c>
      <c r="O268" s="24"/>
      <c r="P268" s="12">
        <f t="shared" si="131"/>
        <v>754.76862499999993</v>
      </c>
      <c r="Q268" s="40"/>
      <c r="R268" s="12">
        <f>P268/13</f>
        <v>58.059124999999995</v>
      </c>
      <c r="S268" s="37"/>
      <c r="T268" s="37"/>
      <c r="U268" s="12">
        <f t="shared" si="137"/>
        <v>730.42124999999987</v>
      </c>
      <c r="V268" s="12">
        <f t="shared" si="128"/>
        <v>56.186249999999987</v>
      </c>
      <c r="W268" s="37"/>
      <c r="X268" s="37"/>
      <c r="Y268" s="12">
        <f>P268+S268+U268+W268</f>
        <v>1485.1898749999998</v>
      </c>
      <c r="Z268" s="12">
        <f t="shared" si="132"/>
        <v>97.389499999999998</v>
      </c>
      <c r="AA268" s="12">
        <f t="shared" si="133"/>
        <v>7.4915000000000003</v>
      </c>
      <c r="AB268" s="12">
        <f t="shared" si="134"/>
        <v>240.79821428571427</v>
      </c>
      <c r="AC268" s="12"/>
      <c r="AD268" s="12"/>
      <c r="AE268" s="12">
        <f t="shared" si="135"/>
        <v>18.661861607142857</v>
      </c>
      <c r="AF268" s="12"/>
      <c r="AG268" s="12">
        <f t="shared" si="141"/>
        <v>18.059866071428569</v>
      </c>
      <c r="AH268" s="12"/>
      <c r="AI268" s="12">
        <f>AE268+AF268+AG268+AH268</f>
        <v>36.721727678571426</v>
      </c>
      <c r="AJ268" s="12">
        <f t="shared" si="142"/>
        <v>2.4079821428571426</v>
      </c>
      <c r="AK268" s="38"/>
      <c r="AL268" s="38"/>
      <c r="AM268" s="12"/>
      <c r="AN268" s="12"/>
      <c r="AO268" s="12"/>
      <c r="AP268" s="38"/>
      <c r="AQ268" s="37"/>
    </row>
    <row r="269" spans="1:43">
      <c r="A269" s="21">
        <f t="shared" si="136"/>
        <v>213</v>
      </c>
      <c r="B269" s="27" t="s">
        <v>484</v>
      </c>
      <c r="C269" s="56" t="s">
        <v>485</v>
      </c>
      <c r="D269" s="82" t="s">
        <v>452</v>
      </c>
      <c r="E269" s="83" t="s">
        <v>79</v>
      </c>
      <c r="F269" s="84" t="s">
        <v>351</v>
      </c>
      <c r="G269" s="26">
        <f>547+30+50</f>
        <v>627</v>
      </c>
      <c r="H269" s="32">
        <f t="shared" si="139"/>
        <v>7524</v>
      </c>
      <c r="I269" s="32">
        <v>60</v>
      </c>
      <c r="J269" s="36"/>
      <c r="K269" s="32">
        <f t="shared" si="140"/>
        <v>627</v>
      </c>
      <c r="L269" s="32">
        <v>300</v>
      </c>
      <c r="M269" s="37"/>
      <c r="N269" s="24">
        <v>125</v>
      </c>
      <c r="O269" s="24"/>
      <c r="P269" s="12">
        <f t="shared" si="131"/>
        <v>631.70249999999999</v>
      </c>
      <c r="Q269" s="40"/>
      <c r="R269" s="12">
        <f>P269/13</f>
        <v>48.592500000000001</v>
      </c>
      <c r="S269" s="37"/>
      <c r="T269" s="37"/>
      <c r="U269" s="12">
        <f t="shared" si="137"/>
        <v>611.32499999999993</v>
      </c>
      <c r="V269" s="12">
        <f t="shared" si="128"/>
        <v>47.024999999999991</v>
      </c>
      <c r="W269" s="37"/>
      <c r="X269" s="37"/>
      <c r="Y269" s="12">
        <f>P269+S269+U269+W269</f>
        <v>1243.0274999999999</v>
      </c>
      <c r="Z269" s="12">
        <f t="shared" si="132"/>
        <v>81.510000000000005</v>
      </c>
      <c r="AA269" s="12">
        <f t="shared" si="133"/>
        <v>6.2700000000000005</v>
      </c>
      <c r="AB269" s="12">
        <f t="shared" si="134"/>
        <v>201.53571428571425</v>
      </c>
      <c r="AC269" s="12"/>
      <c r="AD269" s="12"/>
      <c r="AE269" s="12">
        <f t="shared" si="135"/>
        <v>15.619017857142854</v>
      </c>
      <c r="AF269" s="12"/>
      <c r="AG269" s="12">
        <f t="shared" si="141"/>
        <v>15.115178571428569</v>
      </c>
      <c r="AH269" s="12"/>
      <c r="AI269" s="12">
        <f>AE269+AF269+AG269+AH269+0.01</f>
        <v>30.744196428571424</v>
      </c>
      <c r="AJ269" s="12">
        <f t="shared" si="142"/>
        <v>2.0153571428571424</v>
      </c>
      <c r="AK269" s="38"/>
      <c r="AL269" s="38"/>
      <c r="AM269" s="12"/>
      <c r="AN269" s="12"/>
      <c r="AO269" s="12"/>
      <c r="AP269" s="38"/>
      <c r="AQ269" s="37"/>
    </row>
    <row r="270" spans="1:43">
      <c r="A270" s="49"/>
      <c r="B270" s="59"/>
      <c r="C270" s="85" t="s">
        <v>486</v>
      </c>
      <c r="D270" s="82"/>
      <c r="E270" s="83"/>
      <c r="F270" s="84"/>
      <c r="G270" s="26"/>
      <c r="H270" s="32"/>
      <c r="I270" s="32"/>
      <c r="J270" s="36"/>
      <c r="K270" s="32"/>
      <c r="L270" s="32"/>
      <c r="M270" s="37"/>
      <c r="N270" s="24"/>
      <c r="O270" s="9"/>
      <c r="P270" s="12"/>
      <c r="Q270" s="40"/>
      <c r="R270" s="20"/>
      <c r="S270" s="37"/>
      <c r="T270" s="37"/>
      <c r="U270" s="12"/>
      <c r="V270" s="20"/>
      <c r="W270" s="37"/>
      <c r="X270" s="37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38"/>
      <c r="AL270" s="38"/>
      <c r="AM270" s="38"/>
      <c r="AN270" s="38"/>
      <c r="AO270" s="38"/>
      <c r="AP270" s="38"/>
      <c r="AQ270" s="37"/>
    </row>
    <row r="271" spans="1:43">
      <c r="A271" s="21">
        <f>A269+1</f>
        <v>214</v>
      </c>
      <c r="B271" s="27" t="s">
        <v>487</v>
      </c>
      <c r="C271" s="56" t="s">
        <v>488</v>
      </c>
      <c r="D271" s="82" t="s">
        <v>452</v>
      </c>
      <c r="E271" s="83" t="s">
        <v>79</v>
      </c>
      <c r="F271" s="84" t="s">
        <v>351</v>
      </c>
      <c r="G271" s="26">
        <f>740+30+50</f>
        <v>820</v>
      </c>
      <c r="H271" s="32">
        <f>G271*12</f>
        <v>9840</v>
      </c>
      <c r="I271" s="32">
        <v>60</v>
      </c>
      <c r="J271" s="36"/>
      <c r="K271" s="32">
        <f>G271</f>
        <v>820</v>
      </c>
      <c r="L271" s="32">
        <v>300</v>
      </c>
      <c r="M271" s="37"/>
      <c r="N271" s="24">
        <v>125</v>
      </c>
      <c r="O271" s="24"/>
      <c r="P271" s="12">
        <f>G271*0.0775*13</f>
        <v>826.15</v>
      </c>
      <c r="Q271" s="9"/>
      <c r="R271" s="12">
        <f>P271/13</f>
        <v>63.55</v>
      </c>
      <c r="S271" s="12"/>
      <c r="T271" s="12"/>
      <c r="U271" s="12">
        <f>G271*0.075*13</f>
        <v>799.5</v>
      </c>
      <c r="V271" s="12">
        <f>U271/13</f>
        <v>61.5</v>
      </c>
      <c r="W271" s="12"/>
      <c r="X271" s="12"/>
      <c r="Y271" s="12">
        <f t="shared" ref="Y271:Y277" si="143">P271+S271+U271+W271</f>
        <v>1625.65</v>
      </c>
      <c r="Z271" s="12">
        <f>G271*0.01*13</f>
        <v>106.6</v>
      </c>
      <c r="AA271" s="12">
        <f>Z271/13</f>
        <v>8.1999999999999993</v>
      </c>
      <c r="AB271" s="12">
        <f>G271/30/7*1.5*45</f>
        <v>263.57142857142856</v>
      </c>
      <c r="AC271" s="12">
        <v>192.86</v>
      </c>
      <c r="AD271" s="12">
        <f>AB271-AC271</f>
        <v>70.711428571428542</v>
      </c>
      <c r="AE271" s="12">
        <f>AB271*0.0775</f>
        <v>20.426785714285714</v>
      </c>
      <c r="AF271" s="37"/>
      <c r="AG271" s="12">
        <f>AB271*0.075</f>
        <v>19.767857142857142</v>
      </c>
      <c r="AH271" s="12"/>
      <c r="AI271" s="12">
        <f>AE271+AF271+AG271+AH271+0.01</f>
        <v>40.204642857142851</v>
      </c>
      <c r="AJ271" s="12">
        <f>AB271*0.01</f>
        <v>2.6357142857142857</v>
      </c>
      <c r="AK271" s="38"/>
      <c r="AL271" s="38"/>
      <c r="AM271" s="12"/>
      <c r="AN271" s="12"/>
      <c r="AO271" s="12"/>
      <c r="AP271" s="38"/>
      <c r="AQ271" s="37"/>
    </row>
    <row r="272" spans="1:43">
      <c r="A272" s="21">
        <f>A271+1</f>
        <v>215</v>
      </c>
      <c r="B272" s="108" t="s">
        <v>489</v>
      </c>
      <c r="C272" s="56" t="s">
        <v>490</v>
      </c>
      <c r="D272" s="82" t="s">
        <v>452</v>
      </c>
      <c r="E272" s="83" t="s">
        <v>79</v>
      </c>
      <c r="F272" s="84" t="s">
        <v>351</v>
      </c>
      <c r="G272" s="26">
        <f>614.86+30+50</f>
        <v>694.86</v>
      </c>
      <c r="H272" s="32">
        <f t="shared" si="126"/>
        <v>8338.32</v>
      </c>
      <c r="I272" s="32">
        <v>60</v>
      </c>
      <c r="J272" s="36"/>
      <c r="K272" s="32">
        <f t="shared" si="127"/>
        <v>694.86</v>
      </c>
      <c r="L272" s="32">
        <v>300</v>
      </c>
      <c r="M272" s="37"/>
      <c r="N272" s="24">
        <v>125</v>
      </c>
      <c r="O272" s="24"/>
      <c r="P272" s="12">
        <f t="shared" ref="P272:P325" si="144">G272*0.0775*13</f>
        <v>700.07145000000003</v>
      </c>
      <c r="Q272" s="40"/>
      <c r="R272" s="12">
        <f>P272/13</f>
        <v>53.851649999999999</v>
      </c>
      <c r="S272" s="12"/>
      <c r="T272" s="12"/>
      <c r="U272" s="12">
        <f t="shared" ref="U272:U292" si="145">G272*0.075*13</f>
        <v>677.48850000000004</v>
      </c>
      <c r="V272" s="12">
        <f t="shared" si="128"/>
        <v>52.114500000000007</v>
      </c>
      <c r="W272" s="12"/>
      <c r="X272" s="12"/>
      <c r="Y272" s="12">
        <f t="shared" si="143"/>
        <v>1377.5599500000001</v>
      </c>
      <c r="Z272" s="12">
        <f t="shared" ref="Z272:Z286" si="146">G272*0.01*13</f>
        <v>90.331800000000001</v>
      </c>
      <c r="AA272" s="12">
        <f t="shared" ref="AA272:AA325" si="147">Z272/13</f>
        <v>6.9485999999999999</v>
      </c>
      <c r="AB272" s="12">
        <f t="shared" ref="AB272:AB323" si="148">G272/30/7*1.5*45</f>
        <v>223.34785714285712</v>
      </c>
      <c r="AC272" s="12"/>
      <c r="AD272" s="12"/>
      <c r="AE272" s="12">
        <f>AB272*0.0775</f>
        <v>17.309458928571427</v>
      </c>
      <c r="AF272" s="12"/>
      <c r="AG272" s="12">
        <f t="shared" si="129"/>
        <v>16.751089285714283</v>
      </c>
      <c r="AH272" s="12"/>
      <c r="AI272" s="12">
        <f>AE272+AF272+AG272+AH272</f>
        <v>34.06054821428571</v>
      </c>
      <c r="AJ272" s="12">
        <f t="shared" si="130"/>
        <v>2.2334785714285714</v>
      </c>
      <c r="AK272" s="37"/>
      <c r="AL272" s="37"/>
      <c r="AM272" s="12"/>
      <c r="AN272" s="12"/>
      <c r="AO272" s="12"/>
      <c r="AP272" s="37"/>
      <c r="AQ272" s="37"/>
    </row>
    <row r="273" spans="1:43">
      <c r="A273" s="21">
        <f>A272+1</f>
        <v>216</v>
      </c>
      <c r="B273" s="27" t="s">
        <v>491</v>
      </c>
      <c r="C273" s="56" t="s">
        <v>490</v>
      </c>
      <c r="D273" s="82" t="s">
        <v>452</v>
      </c>
      <c r="E273" s="83" t="s">
        <v>79</v>
      </c>
      <c r="F273" s="84" t="s">
        <v>351</v>
      </c>
      <c r="G273" s="26">
        <f>614.86+30+50</f>
        <v>694.86</v>
      </c>
      <c r="H273" s="32">
        <f t="shared" si="126"/>
        <v>8338.32</v>
      </c>
      <c r="I273" s="32">
        <v>60</v>
      </c>
      <c r="J273" s="36"/>
      <c r="K273" s="32">
        <f t="shared" si="127"/>
        <v>694.86</v>
      </c>
      <c r="L273" s="32">
        <v>300</v>
      </c>
      <c r="M273" s="37"/>
      <c r="N273" s="24">
        <v>125</v>
      </c>
      <c r="O273" s="24"/>
      <c r="P273" s="12">
        <f t="shared" si="144"/>
        <v>700.07145000000003</v>
      </c>
      <c r="Q273" s="9">
        <f>P273/13</f>
        <v>53.851649999999999</v>
      </c>
      <c r="R273" s="12"/>
      <c r="S273" s="12"/>
      <c r="T273" s="12"/>
      <c r="U273" s="12">
        <f t="shared" si="145"/>
        <v>677.48850000000004</v>
      </c>
      <c r="V273" s="12">
        <f t="shared" si="128"/>
        <v>52.114500000000007</v>
      </c>
      <c r="W273" s="12"/>
      <c r="X273" s="12"/>
      <c r="Y273" s="12">
        <f t="shared" si="143"/>
        <v>1377.5599500000001</v>
      </c>
      <c r="Z273" s="12">
        <f t="shared" si="146"/>
        <v>90.331800000000001</v>
      </c>
      <c r="AA273" s="12">
        <f t="shared" si="147"/>
        <v>6.9485999999999999</v>
      </c>
      <c r="AB273" s="12">
        <f t="shared" si="148"/>
        <v>223.34785714285712</v>
      </c>
      <c r="AC273" s="12"/>
      <c r="AD273" s="12"/>
      <c r="AE273" s="12">
        <f>AB273*0.0775</f>
        <v>17.309458928571427</v>
      </c>
      <c r="AF273" s="12"/>
      <c r="AG273" s="12">
        <f t="shared" si="129"/>
        <v>16.751089285714283</v>
      </c>
      <c r="AH273" s="12"/>
      <c r="AI273" s="12">
        <f>AE273+AF273+AG273+AH273</f>
        <v>34.06054821428571</v>
      </c>
      <c r="AJ273" s="12">
        <f t="shared" si="130"/>
        <v>2.2334785714285714</v>
      </c>
      <c r="AK273" s="37"/>
      <c r="AL273" s="37"/>
      <c r="AM273" s="12"/>
      <c r="AN273" s="12"/>
      <c r="AO273" s="12"/>
      <c r="AP273" s="37"/>
      <c r="AQ273" s="37"/>
    </row>
    <row r="274" spans="1:43">
      <c r="A274" s="21">
        <f t="shared" ref="A274:A325" si="149">A273+1</f>
        <v>217</v>
      </c>
      <c r="B274" s="27" t="s">
        <v>492</v>
      </c>
      <c r="C274" s="56" t="s">
        <v>490</v>
      </c>
      <c r="D274" s="82" t="s">
        <v>452</v>
      </c>
      <c r="E274" s="83" t="s">
        <v>79</v>
      </c>
      <c r="F274" s="84" t="s">
        <v>351</v>
      </c>
      <c r="G274" s="26">
        <f>614.86+30+50</f>
        <v>694.86</v>
      </c>
      <c r="H274" s="32">
        <f t="shared" si="126"/>
        <v>8338.32</v>
      </c>
      <c r="I274" s="32">
        <v>60</v>
      </c>
      <c r="J274" s="36"/>
      <c r="K274" s="32">
        <f>G274</f>
        <v>694.86</v>
      </c>
      <c r="L274" s="32">
        <v>300</v>
      </c>
      <c r="M274" s="37"/>
      <c r="N274" s="24">
        <v>125</v>
      </c>
      <c r="O274" s="24"/>
      <c r="P274" s="12">
        <f t="shared" si="144"/>
        <v>700.07145000000003</v>
      </c>
      <c r="Q274" s="9">
        <f>P274/13</f>
        <v>53.851649999999999</v>
      </c>
      <c r="R274" s="12"/>
      <c r="S274" s="12"/>
      <c r="T274" s="12"/>
      <c r="U274" s="12">
        <f t="shared" si="145"/>
        <v>677.48850000000004</v>
      </c>
      <c r="V274" s="12">
        <f t="shared" si="128"/>
        <v>52.114500000000007</v>
      </c>
      <c r="W274" s="12"/>
      <c r="X274" s="12"/>
      <c r="Y274" s="12">
        <f t="shared" si="143"/>
        <v>1377.5599500000001</v>
      </c>
      <c r="Z274" s="12">
        <f t="shared" si="146"/>
        <v>90.331800000000001</v>
      </c>
      <c r="AA274" s="12">
        <f t="shared" si="147"/>
        <v>6.9485999999999999</v>
      </c>
      <c r="AB274" s="12">
        <f t="shared" si="148"/>
        <v>223.34785714285712</v>
      </c>
      <c r="AC274" s="12"/>
      <c r="AD274" s="12"/>
      <c r="AE274" s="12">
        <f t="shared" ref="AE274:AE322" si="150">AB274*0.0775</f>
        <v>17.309458928571427</v>
      </c>
      <c r="AF274" s="12"/>
      <c r="AG274" s="12">
        <f>AB274*0.075</f>
        <v>16.751089285714283</v>
      </c>
      <c r="AH274" s="12"/>
      <c r="AI274" s="12">
        <f>AE274+AF274+AG274+AH274</f>
        <v>34.06054821428571</v>
      </c>
      <c r="AJ274" s="12">
        <f>AB274*0.01</f>
        <v>2.2334785714285714</v>
      </c>
      <c r="AK274" s="37"/>
      <c r="AL274" s="37"/>
      <c r="AM274" s="12"/>
      <c r="AN274" s="12"/>
      <c r="AO274" s="12"/>
      <c r="AP274" s="37"/>
      <c r="AQ274" s="37"/>
    </row>
    <row r="275" spans="1:43">
      <c r="A275" s="21">
        <f t="shared" si="149"/>
        <v>218</v>
      </c>
      <c r="B275" s="27" t="s">
        <v>493</v>
      </c>
      <c r="C275" s="56" t="s">
        <v>494</v>
      </c>
      <c r="D275" s="82" t="s">
        <v>452</v>
      </c>
      <c r="E275" s="83" t="s">
        <v>79</v>
      </c>
      <c r="F275" s="84" t="s">
        <v>351</v>
      </c>
      <c r="G275" s="26">
        <f>547+30+50</f>
        <v>627</v>
      </c>
      <c r="H275" s="32">
        <f t="shared" si="126"/>
        <v>7524</v>
      </c>
      <c r="I275" s="32">
        <v>60</v>
      </c>
      <c r="J275" s="36"/>
      <c r="K275" s="32">
        <f t="shared" si="127"/>
        <v>627</v>
      </c>
      <c r="L275" s="32">
        <v>300</v>
      </c>
      <c r="M275" s="37"/>
      <c r="N275" s="24">
        <v>125</v>
      </c>
      <c r="O275" s="24"/>
      <c r="P275" s="12">
        <f t="shared" si="144"/>
        <v>631.70249999999999</v>
      </c>
      <c r="Q275" s="40"/>
      <c r="R275" s="12">
        <f>P275/13</f>
        <v>48.592500000000001</v>
      </c>
      <c r="S275" s="12"/>
      <c r="T275" s="12"/>
      <c r="U275" s="12">
        <f t="shared" si="145"/>
        <v>611.32499999999993</v>
      </c>
      <c r="V275" s="12">
        <f t="shared" si="128"/>
        <v>47.024999999999991</v>
      </c>
      <c r="W275" s="12"/>
      <c r="X275" s="12"/>
      <c r="Y275" s="12">
        <f t="shared" si="143"/>
        <v>1243.0274999999999</v>
      </c>
      <c r="Z275" s="12">
        <f t="shared" si="146"/>
        <v>81.510000000000005</v>
      </c>
      <c r="AA275" s="12">
        <f t="shared" si="147"/>
        <v>6.2700000000000005</v>
      </c>
      <c r="AB275" s="12">
        <f t="shared" si="148"/>
        <v>201.53571428571425</v>
      </c>
      <c r="AC275" s="12"/>
      <c r="AD275" s="12"/>
      <c r="AE275" s="12">
        <f t="shared" si="150"/>
        <v>15.619017857142854</v>
      </c>
      <c r="AF275" s="12"/>
      <c r="AG275" s="12">
        <f t="shared" si="129"/>
        <v>15.115178571428569</v>
      </c>
      <c r="AH275" s="12"/>
      <c r="AI275" s="12">
        <f t="shared" ref="AI275:AI284" si="151">AE275+AF275+AG275+AH275+0.01</f>
        <v>30.744196428571424</v>
      </c>
      <c r="AJ275" s="12">
        <f t="shared" si="130"/>
        <v>2.0153571428571424</v>
      </c>
      <c r="AK275" s="37"/>
      <c r="AL275" s="37"/>
      <c r="AM275" s="12"/>
      <c r="AN275" s="12"/>
      <c r="AO275" s="12"/>
      <c r="AP275" s="37"/>
      <c r="AQ275" s="37"/>
    </row>
    <row r="276" spans="1:43">
      <c r="A276" s="21">
        <f t="shared" si="149"/>
        <v>219</v>
      </c>
      <c r="B276" s="27" t="s">
        <v>495</v>
      </c>
      <c r="C276" s="56" t="s">
        <v>494</v>
      </c>
      <c r="D276" s="82" t="s">
        <v>452</v>
      </c>
      <c r="E276" s="83" t="s">
        <v>79</v>
      </c>
      <c r="F276" s="84" t="s">
        <v>351</v>
      </c>
      <c r="G276" s="26">
        <f>547+30+50</f>
        <v>627</v>
      </c>
      <c r="H276" s="32">
        <f t="shared" si="126"/>
        <v>7524</v>
      </c>
      <c r="I276" s="32">
        <v>60</v>
      </c>
      <c r="J276" s="36"/>
      <c r="K276" s="32">
        <f t="shared" si="127"/>
        <v>627</v>
      </c>
      <c r="L276" s="32">
        <v>300</v>
      </c>
      <c r="M276" s="37"/>
      <c r="N276" s="24">
        <v>125</v>
      </c>
      <c r="O276" s="24"/>
      <c r="P276" s="12">
        <f t="shared" si="144"/>
        <v>631.70249999999999</v>
      </c>
      <c r="Q276" s="9">
        <f>P276/13</f>
        <v>48.592500000000001</v>
      </c>
      <c r="R276" s="12"/>
      <c r="S276" s="12"/>
      <c r="T276" s="12"/>
      <c r="U276" s="12">
        <f t="shared" si="145"/>
        <v>611.32499999999993</v>
      </c>
      <c r="V276" s="12">
        <f t="shared" si="128"/>
        <v>47.024999999999991</v>
      </c>
      <c r="W276" s="12"/>
      <c r="X276" s="12"/>
      <c r="Y276" s="12">
        <f t="shared" si="143"/>
        <v>1243.0274999999999</v>
      </c>
      <c r="Z276" s="12">
        <f t="shared" si="146"/>
        <v>81.510000000000005</v>
      </c>
      <c r="AA276" s="12">
        <f t="shared" si="147"/>
        <v>6.2700000000000005</v>
      </c>
      <c r="AB276" s="12">
        <f t="shared" si="148"/>
        <v>201.53571428571425</v>
      </c>
      <c r="AC276" s="12"/>
      <c r="AD276" s="12"/>
      <c r="AE276" s="12">
        <f t="shared" si="150"/>
        <v>15.619017857142854</v>
      </c>
      <c r="AF276" s="12"/>
      <c r="AG276" s="12">
        <f t="shared" si="129"/>
        <v>15.115178571428569</v>
      </c>
      <c r="AH276" s="12"/>
      <c r="AI276" s="12">
        <f t="shared" si="151"/>
        <v>30.744196428571424</v>
      </c>
      <c r="AJ276" s="12">
        <f t="shared" si="130"/>
        <v>2.0153571428571424</v>
      </c>
      <c r="AK276" s="37"/>
      <c r="AL276" s="37"/>
      <c r="AM276" s="12"/>
      <c r="AN276" s="12"/>
      <c r="AO276" s="12"/>
      <c r="AP276" s="37"/>
      <c r="AQ276" s="37"/>
    </row>
    <row r="277" spans="1:43">
      <c r="A277" s="21">
        <f t="shared" si="149"/>
        <v>220</v>
      </c>
      <c r="B277" s="27" t="s">
        <v>496</v>
      </c>
      <c r="C277" s="56" t="s">
        <v>494</v>
      </c>
      <c r="D277" s="82" t="s">
        <v>452</v>
      </c>
      <c r="E277" s="83" t="s">
        <v>79</v>
      </c>
      <c r="F277" s="84" t="s">
        <v>351</v>
      </c>
      <c r="G277" s="26">
        <f>547+30+50</f>
        <v>627</v>
      </c>
      <c r="H277" s="32">
        <f t="shared" si="126"/>
        <v>7524</v>
      </c>
      <c r="I277" s="32">
        <v>60</v>
      </c>
      <c r="J277" s="36"/>
      <c r="K277" s="32">
        <f t="shared" si="127"/>
        <v>627</v>
      </c>
      <c r="L277" s="32">
        <v>300</v>
      </c>
      <c r="M277" s="37"/>
      <c r="N277" s="24">
        <v>125</v>
      </c>
      <c r="O277" s="24"/>
      <c r="P277" s="12">
        <f t="shared" si="144"/>
        <v>631.70249999999999</v>
      </c>
      <c r="Q277" s="9">
        <f>P277/13</f>
        <v>48.592500000000001</v>
      </c>
      <c r="R277" s="12"/>
      <c r="S277" s="12"/>
      <c r="T277" s="12"/>
      <c r="U277" s="12">
        <f t="shared" si="145"/>
        <v>611.32499999999993</v>
      </c>
      <c r="V277" s="12">
        <f t="shared" si="128"/>
        <v>47.024999999999991</v>
      </c>
      <c r="W277" s="12"/>
      <c r="X277" s="12"/>
      <c r="Y277" s="12">
        <f t="shared" si="143"/>
        <v>1243.0274999999999</v>
      </c>
      <c r="Z277" s="12">
        <f t="shared" si="146"/>
        <v>81.510000000000005</v>
      </c>
      <c r="AA277" s="12">
        <f t="shared" si="147"/>
        <v>6.2700000000000005</v>
      </c>
      <c r="AB277" s="12">
        <f t="shared" si="148"/>
        <v>201.53571428571425</v>
      </c>
      <c r="AC277" s="12"/>
      <c r="AD277" s="12"/>
      <c r="AE277" s="12">
        <f t="shared" si="150"/>
        <v>15.619017857142854</v>
      </c>
      <c r="AF277" s="12"/>
      <c r="AG277" s="12">
        <f t="shared" si="129"/>
        <v>15.115178571428569</v>
      </c>
      <c r="AH277" s="12"/>
      <c r="AI277" s="12">
        <f t="shared" si="151"/>
        <v>30.744196428571424</v>
      </c>
      <c r="AJ277" s="12">
        <f t="shared" si="130"/>
        <v>2.0153571428571424</v>
      </c>
      <c r="AK277" s="37"/>
      <c r="AL277" s="37"/>
      <c r="AM277" s="12"/>
      <c r="AN277" s="12"/>
      <c r="AO277" s="12"/>
      <c r="AP277" s="37"/>
      <c r="AQ277" s="37"/>
    </row>
    <row r="278" spans="1:43">
      <c r="A278" s="21">
        <f>A277+1</f>
        <v>221</v>
      </c>
      <c r="B278" s="108" t="s">
        <v>497</v>
      </c>
      <c r="C278" s="56" t="s">
        <v>494</v>
      </c>
      <c r="D278" s="82" t="s">
        <v>452</v>
      </c>
      <c r="E278" s="83" t="s">
        <v>79</v>
      </c>
      <c r="F278" s="84" t="s">
        <v>351</v>
      </c>
      <c r="G278" s="26">
        <f>547+30+50</f>
        <v>627</v>
      </c>
      <c r="H278" s="32">
        <f t="shared" si="126"/>
        <v>7524</v>
      </c>
      <c r="I278" s="32">
        <v>60</v>
      </c>
      <c r="J278" s="36"/>
      <c r="K278" s="32">
        <f t="shared" si="127"/>
        <v>627</v>
      </c>
      <c r="L278" s="32">
        <v>300</v>
      </c>
      <c r="M278" s="37"/>
      <c r="N278" s="24">
        <v>125</v>
      </c>
      <c r="O278" s="24"/>
      <c r="P278" s="12"/>
      <c r="Q278" s="9"/>
      <c r="R278" s="12"/>
      <c r="S278" s="12">
        <f>G278*0.075*13</f>
        <v>611.32499999999993</v>
      </c>
      <c r="T278" s="12">
        <f>S278/12</f>
        <v>50.943749999999994</v>
      </c>
      <c r="U278" s="12">
        <f t="shared" si="145"/>
        <v>611.32499999999993</v>
      </c>
      <c r="V278" s="12">
        <f t="shared" si="128"/>
        <v>47.024999999999991</v>
      </c>
      <c r="W278" s="12"/>
      <c r="X278" s="12"/>
      <c r="Y278" s="12">
        <f>P278+S278+U278+W278+0.01</f>
        <v>1222.6599999999999</v>
      </c>
      <c r="Z278" s="12">
        <f t="shared" si="146"/>
        <v>81.510000000000005</v>
      </c>
      <c r="AA278" s="12">
        <f t="shared" si="147"/>
        <v>6.2700000000000005</v>
      </c>
      <c r="AB278" s="12">
        <f t="shared" si="148"/>
        <v>201.53571428571425</v>
      </c>
      <c r="AC278" s="12">
        <v>136.28</v>
      </c>
      <c r="AD278" s="12">
        <f>AB278-AC278</f>
        <v>65.255714285714248</v>
      </c>
      <c r="AE278" s="12"/>
      <c r="AF278" s="12">
        <f>AB278*0.075</f>
        <v>15.115178571428569</v>
      </c>
      <c r="AG278" s="12">
        <f t="shared" si="129"/>
        <v>15.115178571428569</v>
      </c>
      <c r="AH278" s="12"/>
      <c r="AI278" s="12">
        <f t="shared" si="151"/>
        <v>30.240357142857139</v>
      </c>
      <c r="AJ278" s="12">
        <f t="shared" si="130"/>
        <v>2.0153571428571424</v>
      </c>
      <c r="AK278" s="37"/>
      <c r="AL278" s="37"/>
      <c r="AM278" s="12"/>
      <c r="AN278" s="12"/>
      <c r="AO278" s="12"/>
      <c r="AP278" s="37"/>
      <c r="AQ278" s="37"/>
    </row>
    <row r="279" spans="1:43">
      <c r="A279" s="21">
        <f t="shared" si="149"/>
        <v>222</v>
      </c>
      <c r="B279" s="27" t="s">
        <v>498</v>
      </c>
      <c r="C279" s="56" t="s">
        <v>499</v>
      </c>
      <c r="D279" s="82" t="s">
        <v>452</v>
      </c>
      <c r="E279" s="83" t="s">
        <v>79</v>
      </c>
      <c r="F279" s="84" t="s">
        <v>351</v>
      </c>
      <c r="G279" s="26">
        <f t="shared" ref="G279:G284" si="152">467+30+50</f>
        <v>547</v>
      </c>
      <c r="H279" s="32">
        <f t="shared" si="126"/>
        <v>6564</v>
      </c>
      <c r="I279" s="32">
        <v>60</v>
      </c>
      <c r="J279" s="36"/>
      <c r="K279" s="32">
        <f t="shared" si="127"/>
        <v>547</v>
      </c>
      <c r="L279" s="32">
        <v>300</v>
      </c>
      <c r="M279" s="37"/>
      <c r="N279" s="24">
        <v>125</v>
      </c>
      <c r="O279" s="24"/>
      <c r="P279" s="12">
        <f t="shared" si="144"/>
        <v>551.10249999999996</v>
      </c>
      <c r="Q279" s="9">
        <f>P279/13</f>
        <v>42.392499999999998</v>
      </c>
      <c r="R279" s="12"/>
      <c r="S279" s="12"/>
      <c r="T279" s="12"/>
      <c r="U279" s="12">
        <f t="shared" si="145"/>
        <v>533.32499999999993</v>
      </c>
      <c r="V279" s="12">
        <f t="shared" si="128"/>
        <v>41.024999999999991</v>
      </c>
      <c r="W279" s="12"/>
      <c r="X279" s="12"/>
      <c r="Y279" s="12">
        <f t="shared" ref="Y279:Y284" si="153">P279+S279+U279+W279</f>
        <v>1084.4274999999998</v>
      </c>
      <c r="Z279" s="12">
        <f t="shared" si="146"/>
        <v>71.11</v>
      </c>
      <c r="AA279" s="12">
        <f t="shared" si="147"/>
        <v>5.47</v>
      </c>
      <c r="AB279" s="12">
        <f t="shared" si="148"/>
        <v>175.82142857142858</v>
      </c>
      <c r="AC279" s="12"/>
      <c r="AD279" s="12"/>
      <c r="AE279" s="12">
        <f t="shared" si="150"/>
        <v>13.626160714285716</v>
      </c>
      <c r="AF279" s="12"/>
      <c r="AG279" s="12">
        <f t="shared" si="129"/>
        <v>13.186607142857143</v>
      </c>
      <c r="AH279" s="12"/>
      <c r="AI279" s="12">
        <f t="shared" si="151"/>
        <v>26.82276785714286</v>
      </c>
      <c r="AJ279" s="12">
        <f t="shared" si="130"/>
        <v>1.758214285714286</v>
      </c>
      <c r="AK279" s="37"/>
      <c r="AL279" s="37"/>
      <c r="AM279" s="12"/>
      <c r="AN279" s="12"/>
      <c r="AO279" s="12"/>
      <c r="AP279" s="37"/>
      <c r="AQ279" s="37"/>
    </row>
    <row r="280" spans="1:43">
      <c r="A280" s="21">
        <f t="shared" si="149"/>
        <v>223</v>
      </c>
      <c r="B280" s="27" t="s">
        <v>500</v>
      </c>
      <c r="C280" s="56" t="s">
        <v>501</v>
      </c>
      <c r="D280" s="82" t="s">
        <v>452</v>
      </c>
      <c r="E280" s="83" t="s">
        <v>79</v>
      </c>
      <c r="F280" s="84" t="s">
        <v>351</v>
      </c>
      <c r="G280" s="26">
        <f t="shared" si="152"/>
        <v>547</v>
      </c>
      <c r="H280" s="32">
        <f t="shared" si="126"/>
        <v>6564</v>
      </c>
      <c r="I280" s="32">
        <v>60</v>
      </c>
      <c r="J280" s="36"/>
      <c r="K280" s="32">
        <f t="shared" si="127"/>
        <v>547</v>
      </c>
      <c r="L280" s="32">
        <v>300</v>
      </c>
      <c r="M280" s="37"/>
      <c r="N280" s="24">
        <v>125</v>
      </c>
      <c r="O280" s="24"/>
      <c r="P280" s="12">
        <f t="shared" si="144"/>
        <v>551.10249999999996</v>
      </c>
      <c r="Q280" s="40"/>
      <c r="R280" s="12">
        <f>P280/13</f>
        <v>42.392499999999998</v>
      </c>
      <c r="S280" s="12"/>
      <c r="T280" s="12"/>
      <c r="U280" s="12">
        <f t="shared" si="145"/>
        <v>533.32499999999993</v>
      </c>
      <c r="V280" s="12">
        <f t="shared" si="128"/>
        <v>41.024999999999991</v>
      </c>
      <c r="W280" s="12"/>
      <c r="X280" s="12"/>
      <c r="Y280" s="12">
        <f t="shared" si="153"/>
        <v>1084.4274999999998</v>
      </c>
      <c r="Z280" s="12">
        <f t="shared" si="146"/>
        <v>71.11</v>
      </c>
      <c r="AA280" s="12">
        <f t="shared" si="147"/>
        <v>5.47</v>
      </c>
      <c r="AB280" s="12">
        <f t="shared" si="148"/>
        <v>175.82142857142858</v>
      </c>
      <c r="AC280" s="12">
        <v>113.43</v>
      </c>
      <c r="AD280" s="12">
        <f>AB280-AC280</f>
        <v>62.391428571428577</v>
      </c>
      <c r="AE280" s="12">
        <f t="shared" si="150"/>
        <v>13.626160714285716</v>
      </c>
      <c r="AF280" s="12"/>
      <c r="AG280" s="12">
        <f t="shared" si="129"/>
        <v>13.186607142857143</v>
      </c>
      <c r="AH280" s="12"/>
      <c r="AI280" s="12">
        <f t="shared" si="151"/>
        <v>26.82276785714286</v>
      </c>
      <c r="AJ280" s="12">
        <f t="shared" si="130"/>
        <v>1.758214285714286</v>
      </c>
      <c r="AK280" s="37"/>
      <c r="AL280" s="37"/>
      <c r="AM280" s="12"/>
      <c r="AN280" s="12"/>
      <c r="AO280" s="12"/>
      <c r="AP280" s="37"/>
      <c r="AQ280" s="37"/>
    </row>
    <row r="281" spans="1:43">
      <c r="A281" s="21">
        <f t="shared" si="149"/>
        <v>224</v>
      </c>
      <c r="B281" s="27" t="s">
        <v>502</v>
      </c>
      <c r="C281" s="56" t="s">
        <v>501</v>
      </c>
      <c r="D281" s="82" t="s">
        <v>452</v>
      </c>
      <c r="E281" s="83" t="s">
        <v>79</v>
      </c>
      <c r="F281" s="84" t="s">
        <v>351</v>
      </c>
      <c r="G281" s="26">
        <f t="shared" si="152"/>
        <v>547</v>
      </c>
      <c r="H281" s="32">
        <f t="shared" si="126"/>
        <v>6564</v>
      </c>
      <c r="I281" s="32">
        <v>60</v>
      </c>
      <c r="J281" s="36"/>
      <c r="K281" s="32">
        <f>G281</f>
        <v>547</v>
      </c>
      <c r="L281" s="32">
        <v>300</v>
      </c>
      <c r="M281" s="37"/>
      <c r="N281" s="24">
        <v>125</v>
      </c>
      <c r="O281" s="24"/>
      <c r="P281" s="12">
        <f t="shared" si="144"/>
        <v>551.10249999999996</v>
      </c>
      <c r="Q281" s="40"/>
      <c r="R281" s="12">
        <f>P281/13</f>
        <v>42.392499999999998</v>
      </c>
      <c r="S281" s="12"/>
      <c r="T281" s="12"/>
      <c r="U281" s="12">
        <f t="shared" si="145"/>
        <v>533.32499999999993</v>
      </c>
      <c r="V281" s="12">
        <f t="shared" si="128"/>
        <v>41.024999999999991</v>
      </c>
      <c r="W281" s="12"/>
      <c r="X281" s="12"/>
      <c r="Y281" s="12">
        <f t="shared" si="153"/>
        <v>1084.4274999999998</v>
      </c>
      <c r="Z281" s="12">
        <f t="shared" si="146"/>
        <v>71.11</v>
      </c>
      <c r="AA281" s="12">
        <f t="shared" si="147"/>
        <v>5.47</v>
      </c>
      <c r="AB281" s="12">
        <f t="shared" si="148"/>
        <v>175.82142857142858</v>
      </c>
      <c r="AC281" s="12">
        <v>113.43</v>
      </c>
      <c r="AD281" s="12">
        <f>AB281-AC281</f>
        <v>62.391428571428577</v>
      </c>
      <c r="AE281" s="12">
        <f t="shared" si="150"/>
        <v>13.626160714285716</v>
      </c>
      <c r="AF281" s="12"/>
      <c r="AG281" s="12">
        <f t="shared" si="129"/>
        <v>13.186607142857143</v>
      </c>
      <c r="AH281" s="12"/>
      <c r="AI281" s="12">
        <f t="shared" si="151"/>
        <v>26.82276785714286</v>
      </c>
      <c r="AJ281" s="12">
        <f t="shared" si="130"/>
        <v>1.758214285714286</v>
      </c>
      <c r="AK281" s="37"/>
      <c r="AL281" s="37"/>
      <c r="AM281" s="12"/>
      <c r="AN281" s="12"/>
      <c r="AO281" s="12"/>
      <c r="AP281" s="37"/>
      <c r="AQ281" s="37"/>
    </row>
    <row r="282" spans="1:43">
      <c r="A282" s="21">
        <f t="shared" si="149"/>
        <v>225</v>
      </c>
      <c r="B282" s="27" t="s">
        <v>503</v>
      </c>
      <c r="C282" s="56" t="s">
        <v>501</v>
      </c>
      <c r="D282" s="82" t="s">
        <v>452</v>
      </c>
      <c r="E282" s="83" t="s">
        <v>79</v>
      </c>
      <c r="F282" s="84" t="s">
        <v>351</v>
      </c>
      <c r="G282" s="26">
        <f t="shared" si="152"/>
        <v>547</v>
      </c>
      <c r="H282" s="32">
        <f t="shared" si="126"/>
        <v>6564</v>
      </c>
      <c r="I282" s="32">
        <v>60</v>
      </c>
      <c r="J282" s="36"/>
      <c r="K282" s="32">
        <f>G282</f>
        <v>547</v>
      </c>
      <c r="L282" s="32">
        <v>300</v>
      </c>
      <c r="M282" s="37"/>
      <c r="N282" s="24">
        <v>125</v>
      </c>
      <c r="O282" s="24"/>
      <c r="P282" s="12">
        <f t="shared" si="144"/>
        <v>551.10249999999996</v>
      </c>
      <c r="Q282" s="40"/>
      <c r="R282" s="12">
        <f>P282/13</f>
        <v>42.392499999999998</v>
      </c>
      <c r="S282" s="12"/>
      <c r="T282" s="12"/>
      <c r="U282" s="12">
        <f t="shared" si="145"/>
        <v>533.32499999999993</v>
      </c>
      <c r="V282" s="12">
        <f t="shared" si="128"/>
        <v>41.024999999999991</v>
      </c>
      <c r="W282" s="12"/>
      <c r="X282" s="12"/>
      <c r="Y282" s="12">
        <f t="shared" si="153"/>
        <v>1084.4274999999998</v>
      </c>
      <c r="Z282" s="12">
        <f t="shared" si="146"/>
        <v>71.11</v>
      </c>
      <c r="AA282" s="12">
        <f t="shared" si="147"/>
        <v>5.47</v>
      </c>
      <c r="AB282" s="12">
        <f t="shared" si="148"/>
        <v>175.82142857142858</v>
      </c>
      <c r="AC282" s="12">
        <v>113.43</v>
      </c>
      <c r="AD282" s="12">
        <f>AB282-AC282</f>
        <v>62.391428571428577</v>
      </c>
      <c r="AE282" s="12">
        <f t="shared" si="150"/>
        <v>13.626160714285716</v>
      </c>
      <c r="AF282" s="12"/>
      <c r="AG282" s="12">
        <f t="shared" si="129"/>
        <v>13.186607142857143</v>
      </c>
      <c r="AH282" s="12"/>
      <c r="AI282" s="12">
        <f t="shared" si="151"/>
        <v>26.82276785714286</v>
      </c>
      <c r="AJ282" s="12">
        <f t="shared" si="130"/>
        <v>1.758214285714286</v>
      </c>
      <c r="AK282" s="37"/>
      <c r="AL282" s="37"/>
      <c r="AM282" s="12"/>
      <c r="AN282" s="12"/>
      <c r="AO282" s="12"/>
      <c r="AP282" s="37"/>
      <c r="AQ282" s="37"/>
    </row>
    <row r="283" spans="1:43">
      <c r="A283" s="21">
        <f t="shared" si="149"/>
        <v>226</v>
      </c>
      <c r="B283" s="27" t="s">
        <v>504</v>
      </c>
      <c r="C283" s="56" t="s">
        <v>501</v>
      </c>
      <c r="D283" s="82" t="s">
        <v>452</v>
      </c>
      <c r="E283" s="83" t="s">
        <v>79</v>
      </c>
      <c r="F283" s="84" t="s">
        <v>351</v>
      </c>
      <c r="G283" s="26">
        <f t="shared" si="152"/>
        <v>547</v>
      </c>
      <c r="H283" s="32">
        <f>G283*12</f>
        <v>6564</v>
      </c>
      <c r="I283" s="32">
        <v>60</v>
      </c>
      <c r="J283" s="36"/>
      <c r="K283" s="32">
        <f>G283</f>
        <v>547</v>
      </c>
      <c r="L283" s="32">
        <v>300</v>
      </c>
      <c r="M283" s="37"/>
      <c r="N283" s="24">
        <v>125</v>
      </c>
      <c r="O283" s="24"/>
      <c r="P283" s="12">
        <f>G283*0.0775*13</f>
        <v>551.10249999999996</v>
      </c>
      <c r="Q283" s="40"/>
      <c r="R283" s="12">
        <f>P283/13</f>
        <v>42.392499999999998</v>
      </c>
      <c r="S283" s="12"/>
      <c r="T283" s="12"/>
      <c r="U283" s="12">
        <f>G283*0.075*13</f>
        <v>533.32499999999993</v>
      </c>
      <c r="V283" s="12">
        <f>U283/13</f>
        <v>41.024999999999991</v>
      </c>
      <c r="W283" s="12"/>
      <c r="X283" s="12"/>
      <c r="Y283" s="12">
        <f t="shared" si="153"/>
        <v>1084.4274999999998</v>
      </c>
      <c r="Z283" s="12">
        <f>G283*0.01*13</f>
        <v>71.11</v>
      </c>
      <c r="AA283" s="12">
        <f>Z283/13</f>
        <v>5.47</v>
      </c>
      <c r="AB283" s="12">
        <f>G283/30/7*1.5*45</f>
        <v>175.82142857142858</v>
      </c>
      <c r="AC283" s="12"/>
      <c r="AD283" s="12"/>
      <c r="AE283" s="12">
        <f>AB283*0.0775</f>
        <v>13.626160714285716</v>
      </c>
      <c r="AF283" s="12"/>
      <c r="AG283" s="12">
        <f>AB283*0.075</f>
        <v>13.186607142857143</v>
      </c>
      <c r="AH283" s="12"/>
      <c r="AI283" s="12">
        <f t="shared" si="151"/>
        <v>26.82276785714286</v>
      </c>
      <c r="AJ283" s="12">
        <f>AB283*0.01</f>
        <v>1.758214285714286</v>
      </c>
      <c r="AK283" s="37"/>
      <c r="AL283" s="37"/>
      <c r="AM283" s="12"/>
      <c r="AN283" s="12"/>
      <c r="AO283" s="12"/>
      <c r="AP283" s="37"/>
      <c r="AQ283" s="37"/>
    </row>
    <row r="284" spans="1:43">
      <c r="A284" s="21">
        <f>A283+1</f>
        <v>227</v>
      </c>
      <c r="B284" s="27" t="s">
        <v>505</v>
      </c>
      <c r="C284" s="56" t="s">
        <v>501</v>
      </c>
      <c r="D284" s="82" t="s">
        <v>452</v>
      </c>
      <c r="E284" s="83" t="s">
        <v>79</v>
      </c>
      <c r="F284" s="84" t="s">
        <v>351</v>
      </c>
      <c r="G284" s="26">
        <f t="shared" si="152"/>
        <v>547</v>
      </c>
      <c r="H284" s="32">
        <f>G284*12</f>
        <v>6564</v>
      </c>
      <c r="I284" s="32">
        <v>60</v>
      </c>
      <c r="J284" s="36"/>
      <c r="K284" s="32">
        <f>G284</f>
        <v>547</v>
      </c>
      <c r="L284" s="32">
        <v>300</v>
      </c>
      <c r="M284" s="37"/>
      <c r="N284" s="24">
        <v>125</v>
      </c>
      <c r="O284" s="24"/>
      <c r="P284" s="12">
        <f>G284*0.0775*13</f>
        <v>551.10249999999996</v>
      </c>
      <c r="Q284" s="9">
        <f>P284/13</f>
        <v>42.392499999999998</v>
      </c>
      <c r="R284" s="12"/>
      <c r="S284" s="12"/>
      <c r="T284" s="12"/>
      <c r="U284" s="12">
        <f>G284*0.075*13</f>
        <v>533.32499999999993</v>
      </c>
      <c r="V284" s="12">
        <f>U284/13</f>
        <v>41.024999999999991</v>
      </c>
      <c r="W284" s="12"/>
      <c r="X284" s="12"/>
      <c r="Y284" s="12">
        <f t="shared" si="153"/>
        <v>1084.4274999999998</v>
      </c>
      <c r="Z284" s="12">
        <f>G284*0.01*13</f>
        <v>71.11</v>
      </c>
      <c r="AA284" s="12">
        <f>Z284/13</f>
        <v>5.47</v>
      </c>
      <c r="AB284" s="12">
        <f>G284/30/7*1.5*45</f>
        <v>175.82142857142858</v>
      </c>
      <c r="AC284" s="12"/>
      <c r="AD284" s="12"/>
      <c r="AE284" s="12">
        <f>AB284*0.0775</f>
        <v>13.626160714285716</v>
      </c>
      <c r="AF284" s="12"/>
      <c r="AG284" s="12">
        <f>AB284*0.075</f>
        <v>13.186607142857143</v>
      </c>
      <c r="AH284" s="12"/>
      <c r="AI284" s="12">
        <f t="shared" si="151"/>
        <v>26.82276785714286</v>
      </c>
      <c r="AJ284" s="12">
        <f>AB284*0.01</f>
        <v>1.758214285714286</v>
      </c>
      <c r="AK284" s="38"/>
      <c r="AL284" s="38"/>
      <c r="AM284" s="12"/>
      <c r="AN284" s="12"/>
      <c r="AO284" s="12"/>
      <c r="AP284" s="37"/>
      <c r="AQ284" s="37"/>
    </row>
    <row r="285" spans="1:43">
      <c r="A285" s="21">
        <f>A284+1</f>
        <v>228</v>
      </c>
      <c r="B285" s="27" t="s">
        <v>506</v>
      </c>
      <c r="C285" s="56" t="s">
        <v>507</v>
      </c>
      <c r="D285" s="82" t="s">
        <v>452</v>
      </c>
      <c r="E285" s="83" t="s">
        <v>79</v>
      </c>
      <c r="F285" s="84" t="s">
        <v>351</v>
      </c>
      <c r="G285" s="26">
        <f>417+30+50</f>
        <v>497</v>
      </c>
      <c r="H285" s="32">
        <f t="shared" si="126"/>
        <v>5964</v>
      </c>
      <c r="I285" s="32">
        <v>60</v>
      </c>
      <c r="J285" s="36"/>
      <c r="K285" s="32">
        <f t="shared" ref="K285:K322" si="154">G285</f>
        <v>497</v>
      </c>
      <c r="L285" s="32">
        <v>300</v>
      </c>
      <c r="M285" s="37"/>
      <c r="N285" s="24">
        <v>125</v>
      </c>
      <c r="O285" s="24"/>
      <c r="P285" s="12">
        <f t="shared" si="144"/>
        <v>500.72749999999996</v>
      </c>
      <c r="Q285" s="9">
        <f>P285/13</f>
        <v>38.517499999999998</v>
      </c>
      <c r="R285" s="12"/>
      <c r="S285" s="12"/>
      <c r="T285" s="12"/>
      <c r="U285" s="12">
        <f t="shared" si="145"/>
        <v>484.57499999999999</v>
      </c>
      <c r="V285" s="12">
        <f t="shared" si="128"/>
        <v>37.274999999999999</v>
      </c>
      <c r="W285" s="12"/>
      <c r="X285" s="12"/>
      <c r="Y285" s="12">
        <f>P285+S285+U285+W285+0.01</f>
        <v>985.3125</v>
      </c>
      <c r="Z285" s="12">
        <f t="shared" si="146"/>
        <v>64.61</v>
      </c>
      <c r="AA285" s="12">
        <f t="shared" si="147"/>
        <v>4.97</v>
      </c>
      <c r="AB285" s="12">
        <f t="shared" si="148"/>
        <v>159.75</v>
      </c>
      <c r="AC285" s="12">
        <v>99.14</v>
      </c>
      <c r="AD285" s="12">
        <f>AB285-AC285</f>
        <v>60.61</v>
      </c>
      <c r="AE285" s="12">
        <f t="shared" si="150"/>
        <v>12.380625</v>
      </c>
      <c r="AF285" s="12"/>
      <c r="AG285" s="12">
        <f t="shared" si="129"/>
        <v>11.981249999999999</v>
      </c>
      <c r="AH285" s="12"/>
      <c r="AI285" s="12">
        <f>AE285+AF285+AG285+AH285</f>
        <v>24.361874999999998</v>
      </c>
      <c r="AJ285" s="12">
        <f t="shared" si="130"/>
        <v>1.5975000000000001</v>
      </c>
      <c r="AK285" s="37"/>
      <c r="AL285" s="37"/>
      <c r="AM285" s="12"/>
      <c r="AN285" s="12"/>
      <c r="AO285" s="12"/>
      <c r="AP285" s="37"/>
      <c r="AQ285" s="37"/>
    </row>
    <row r="286" spans="1:43">
      <c r="A286" s="21">
        <f>A285+1</f>
        <v>229</v>
      </c>
      <c r="B286" s="27" t="s">
        <v>508</v>
      </c>
      <c r="C286" s="56" t="s">
        <v>507</v>
      </c>
      <c r="D286" s="82" t="s">
        <v>452</v>
      </c>
      <c r="E286" s="83" t="s">
        <v>79</v>
      </c>
      <c r="F286" s="84" t="s">
        <v>351</v>
      </c>
      <c r="G286" s="26">
        <f>417+30+50</f>
        <v>497</v>
      </c>
      <c r="H286" s="32">
        <f t="shared" si="126"/>
        <v>5964</v>
      </c>
      <c r="I286" s="32">
        <v>60</v>
      </c>
      <c r="J286" s="36"/>
      <c r="K286" s="32">
        <f t="shared" si="154"/>
        <v>497</v>
      </c>
      <c r="L286" s="32">
        <v>300</v>
      </c>
      <c r="M286" s="37"/>
      <c r="N286" s="24">
        <v>125</v>
      </c>
      <c r="O286" s="24"/>
      <c r="P286" s="12">
        <f t="shared" si="144"/>
        <v>500.72749999999996</v>
      </c>
      <c r="Q286" s="9">
        <f>P286/13</f>
        <v>38.517499999999998</v>
      </c>
      <c r="R286" s="12"/>
      <c r="S286" s="12"/>
      <c r="T286" s="12"/>
      <c r="U286" s="12">
        <f t="shared" si="145"/>
        <v>484.57499999999999</v>
      </c>
      <c r="V286" s="12">
        <f t="shared" si="128"/>
        <v>37.274999999999999</v>
      </c>
      <c r="W286" s="12"/>
      <c r="X286" s="12"/>
      <c r="Y286" s="12">
        <f>P286+S286+U286+W286+0.01</f>
        <v>985.3125</v>
      </c>
      <c r="Z286" s="12">
        <f t="shared" si="146"/>
        <v>64.61</v>
      </c>
      <c r="AA286" s="12">
        <f t="shared" si="147"/>
        <v>4.97</v>
      </c>
      <c r="AB286" s="12">
        <f t="shared" si="148"/>
        <v>159.75</v>
      </c>
      <c r="AC286" s="12">
        <v>99.14</v>
      </c>
      <c r="AD286" s="12">
        <f>AB286-AC286</f>
        <v>60.61</v>
      </c>
      <c r="AE286" s="12">
        <f t="shared" si="150"/>
        <v>12.380625</v>
      </c>
      <c r="AF286" s="12"/>
      <c r="AG286" s="12">
        <f t="shared" si="129"/>
        <v>11.981249999999999</v>
      </c>
      <c r="AH286" s="12"/>
      <c r="AI286" s="12">
        <f t="shared" ref="AI286:AI292" si="155">AE286+AF286+AG286+AH286</f>
        <v>24.361874999999998</v>
      </c>
      <c r="AJ286" s="12">
        <f t="shared" si="130"/>
        <v>1.5975000000000001</v>
      </c>
      <c r="AK286" s="37"/>
      <c r="AL286" s="37"/>
      <c r="AM286" s="12"/>
      <c r="AN286" s="12"/>
      <c r="AO286" s="12"/>
      <c r="AP286" s="37"/>
      <c r="AQ286" s="37"/>
    </row>
    <row r="287" spans="1:43">
      <c r="A287" s="21">
        <f t="shared" si="149"/>
        <v>230</v>
      </c>
      <c r="B287" s="27" t="s">
        <v>509</v>
      </c>
      <c r="C287" s="56" t="s">
        <v>507</v>
      </c>
      <c r="D287" s="82" t="s">
        <v>452</v>
      </c>
      <c r="E287" s="83" t="s">
        <v>79</v>
      </c>
      <c r="F287" s="84" t="s">
        <v>351</v>
      </c>
      <c r="G287" s="26">
        <f>417+30+50</f>
        <v>497</v>
      </c>
      <c r="H287" s="32">
        <f t="shared" si="126"/>
        <v>5964</v>
      </c>
      <c r="I287" s="32">
        <v>60</v>
      </c>
      <c r="J287" s="36"/>
      <c r="K287" s="32">
        <f t="shared" si="154"/>
        <v>497</v>
      </c>
      <c r="L287" s="32">
        <v>300</v>
      </c>
      <c r="M287" s="37"/>
      <c r="N287" s="24">
        <v>125</v>
      </c>
      <c r="O287" s="24"/>
      <c r="P287" s="12">
        <f>G287*0.0775*13</f>
        <v>500.72749999999996</v>
      </c>
      <c r="Q287" s="12"/>
      <c r="R287" s="12">
        <f>P287/13</f>
        <v>38.517499999999998</v>
      </c>
      <c r="S287" s="12"/>
      <c r="T287" s="12"/>
      <c r="U287" s="12">
        <f t="shared" si="145"/>
        <v>484.57499999999999</v>
      </c>
      <c r="V287" s="12">
        <f>U287/13</f>
        <v>37.274999999999999</v>
      </c>
      <c r="W287" s="12"/>
      <c r="X287" s="12"/>
      <c r="Y287" s="12">
        <f>P287+S287+U287+W287+0.01</f>
        <v>985.3125</v>
      </c>
      <c r="Z287" s="12">
        <f t="shared" ref="Z287:Z295" si="156">G287*0.01*13</f>
        <v>64.61</v>
      </c>
      <c r="AA287" s="12">
        <f>Z287/13</f>
        <v>4.97</v>
      </c>
      <c r="AB287" s="12">
        <f t="shared" si="148"/>
        <v>159.75</v>
      </c>
      <c r="AC287" s="12">
        <v>99.14</v>
      </c>
      <c r="AD287" s="12">
        <f>AB287-AC287</f>
        <v>60.61</v>
      </c>
      <c r="AE287" s="12">
        <f>AB287*0.0775</f>
        <v>12.380625</v>
      </c>
      <c r="AF287" s="12"/>
      <c r="AG287" s="12">
        <f t="shared" si="129"/>
        <v>11.981249999999999</v>
      </c>
      <c r="AH287" s="12"/>
      <c r="AI287" s="12">
        <f t="shared" si="155"/>
        <v>24.361874999999998</v>
      </c>
      <c r="AJ287" s="12">
        <f t="shared" si="130"/>
        <v>1.5975000000000001</v>
      </c>
      <c r="AK287" s="38"/>
      <c r="AL287" s="38"/>
      <c r="AM287" s="12"/>
      <c r="AN287" s="12"/>
      <c r="AO287" s="12"/>
      <c r="AP287" s="37"/>
      <c r="AQ287" s="37"/>
    </row>
    <row r="288" spans="1:43">
      <c r="A288" s="21">
        <f>A287+1</f>
        <v>231</v>
      </c>
      <c r="B288" s="27" t="s">
        <v>510</v>
      </c>
      <c r="C288" s="56" t="s">
        <v>507</v>
      </c>
      <c r="D288" s="82" t="s">
        <v>452</v>
      </c>
      <c r="E288" s="83" t="s">
        <v>79</v>
      </c>
      <c r="F288" s="84" t="s">
        <v>351</v>
      </c>
      <c r="G288" s="26">
        <f>417+50</f>
        <v>467</v>
      </c>
      <c r="H288" s="32">
        <f t="shared" si="126"/>
        <v>5604</v>
      </c>
      <c r="I288" s="32">
        <v>60</v>
      </c>
      <c r="J288" s="36"/>
      <c r="K288" s="32">
        <f t="shared" si="154"/>
        <v>467</v>
      </c>
      <c r="L288" s="32">
        <v>300</v>
      </c>
      <c r="M288" s="37"/>
      <c r="N288" s="24">
        <v>125</v>
      </c>
      <c r="O288" s="24"/>
      <c r="P288" s="12">
        <f>G288*0.0775*13</f>
        <v>470.50250000000005</v>
      </c>
      <c r="Q288" s="40"/>
      <c r="R288" s="12">
        <f>P288/13</f>
        <v>36.192500000000003</v>
      </c>
      <c r="S288" s="12"/>
      <c r="T288" s="12"/>
      <c r="U288" s="12">
        <f t="shared" si="145"/>
        <v>455.32499999999999</v>
      </c>
      <c r="V288" s="12">
        <f>U288/13</f>
        <v>35.024999999999999</v>
      </c>
      <c r="W288" s="12"/>
      <c r="X288" s="12"/>
      <c r="Y288" s="12">
        <f>P288+S288+U288+W288</f>
        <v>925.8275000000001</v>
      </c>
      <c r="Z288" s="12">
        <f t="shared" si="156"/>
        <v>60.71</v>
      </c>
      <c r="AA288" s="12">
        <f>Z288/13</f>
        <v>4.67</v>
      </c>
      <c r="AB288" s="12">
        <f t="shared" si="148"/>
        <v>150.10714285714286</v>
      </c>
      <c r="AC288" s="12"/>
      <c r="AD288" s="12"/>
      <c r="AE288" s="12">
        <f>AB288*0.0775</f>
        <v>11.633303571428572</v>
      </c>
      <c r="AF288" s="12"/>
      <c r="AG288" s="12">
        <f t="shared" si="129"/>
        <v>11.258035714285715</v>
      </c>
      <c r="AH288" s="12"/>
      <c r="AI288" s="12">
        <f t="shared" si="155"/>
        <v>22.891339285714288</v>
      </c>
      <c r="AJ288" s="12">
        <f t="shared" si="130"/>
        <v>1.5010714285714286</v>
      </c>
      <c r="AK288" s="37"/>
      <c r="AL288" s="37"/>
      <c r="AM288" s="12"/>
      <c r="AN288" s="12"/>
      <c r="AO288" s="12"/>
      <c r="AP288" s="37"/>
      <c r="AQ288" s="37"/>
    </row>
    <row r="289" spans="1:43">
      <c r="A289" s="21">
        <f t="shared" si="149"/>
        <v>232</v>
      </c>
      <c r="B289" s="27" t="s">
        <v>511</v>
      </c>
      <c r="C289" s="56" t="s">
        <v>507</v>
      </c>
      <c r="D289" s="82" t="s">
        <v>452</v>
      </c>
      <c r="E289" s="83" t="s">
        <v>79</v>
      </c>
      <c r="F289" s="84" t="s">
        <v>351</v>
      </c>
      <c r="G289" s="26">
        <f>417+50</f>
        <v>467</v>
      </c>
      <c r="H289" s="32">
        <f t="shared" si="126"/>
        <v>5604</v>
      </c>
      <c r="I289" s="32">
        <v>60</v>
      </c>
      <c r="J289" s="36"/>
      <c r="K289" s="32">
        <f t="shared" si="154"/>
        <v>467</v>
      </c>
      <c r="L289" s="32">
        <v>300</v>
      </c>
      <c r="M289" s="37"/>
      <c r="N289" s="24">
        <v>125</v>
      </c>
      <c r="O289" s="24"/>
      <c r="P289" s="12">
        <f>G289*0.0775*13</f>
        <v>470.50250000000005</v>
      </c>
      <c r="Q289" s="12"/>
      <c r="R289" s="12">
        <f>P289/13</f>
        <v>36.192500000000003</v>
      </c>
      <c r="S289" s="12"/>
      <c r="T289" s="12"/>
      <c r="U289" s="12">
        <f t="shared" si="145"/>
        <v>455.32499999999999</v>
      </c>
      <c r="V289" s="12">
        <f>U289/13</f>
        <v>35.024999999999999</v>
      </c>
      <c r="W289" s="12"/>
      <c r="X289" s="12"/>
      <c r="Y289" s="12">
        <f>P289+S289+U289+W289</f>
        <v>925.8275000000001</v>
      </c>
      <c r="Z289" s="12">
        <f t="shared" si="156"/>
        <v>60.71</v>
      </c>
      <c r="AA289" s="12">
        <f>Z289/13</f>
        <v>4.67</v>
      </c>
      <c r="AB289" s="12">
        <f t="shared" si="148"/>
        <v>150.10714285714286</v>
      </c>
      <c r="AC289" s="12">
        <v>99.14</v>
      </c>
      <c r="AD289" s="12">
        <f>AB289-AC289</f>
        <v>50.967142857142861</v>
      </c>
      <c r="AE289" s="12">
        <f>AB289*0.0775</f>
        <v>11.633303571428572</v>
      </c>
      <c r="AF289" s="12"/>
      <c r="AG289" s="12">
        <f t="shared" si="129"/>
        <v>11.258035714285715</v>
      </c>
      <c r="AH289" s="12"/>
      <c r="AI289" s="12">
        <f t="shared" si="155"/>
        <v>22.891339285714288</v>
      </c>
      <c r="AJ289" s="12">
        <f t="shared" si="130"/>
        <v>1.5010714285714286</v>
      </c>
      <c r="AK289" s="37"/>
      <c r="AL289" s="60"/>
      <c r="AM289" s="12"/>
      <c r="AN289" s="12"/>
      <c r="AO289" s="12"/>
      <c r="AP289" s="60"/>
      <c r="AQ289" s="60"/>
    </row>
    <row r="290" spans="1:43">
      <c r="A290" s="21">
        <f>A289+1</f>
        <v>233</v>
      </c>
      <c r="B290" s="27" t="s">
        <v>512</v>
      </c>
      <c r="C290" s="56" t="s">
        <v>507</v>
      </c>
      <c r="D290" s="82" t="s">
        <v>452</v>
      </c>
      <c r="E290" s="83" t="s">
        <v>79</v>
      </c>
      <c r="F290" s="84" t="s">
        <v>351</v>
      </c>
      <c r="G290" s="26">
        <f>417+50</f>
        <v>467</v>
      </c>
      <c r="H290" s="32">
        <f t="shared" si="126"/>
        <v>5604</v>
      </c>
      <c r="I290" s="32">
        <v>60</v>
      </c>
      <c r="J290" s="36"/>
      <c r="K290" s="32">
        <f t="shared" si="154"/>
        <v>467</v>
      </c>
      <c r="L290" s="32">
        <v>300</v>
      </c>
      <c r="M290" s="37"/>
      <c r="N290" s="24">
        <v>125</v>
      </c>
      <c r="O290" s="24"/>
      <c r="P290" s="12">
        <f t="shared" si="144"/>
        <v>470.50250000000005</v>
      </c>
      <c r="Q290" s="9">
        <f>P290/13</f>
        <v>36.192500000000003</v>
      </c>
      <c r="R290" s="12"/>
      <c r="S290" s="12"/>
      <c r="T290" s="12"/>
      <c r="U290" s="12">
        <f t="shared" si="145"/>
        <v>455.32499999999999</v>
      </c>
      <c r="V290" s="12">
        <f t="shared" si="128"/>
        <v>35.024999999999999</v>
      </c>
      <c r="W290" s="12"/>
      <c r="X290" s="12"/>
      <c r="Y290" s="12">
        <f>P290+S290+U290+W290</f>
        <v>925.8275000000001</v>
      </c>
      <c r="Z290" s="12">
        <f t="shared" si="156"/>
        <v>60.71</v>
      </c>
      <c r="AA290" s="12">
        <f t="shared" si="147"/>
        <v>4.67</v>
      </c>
      <c r="AB290" s="12">
        <f t="shared" si="148"/>
        <v>150.10714285714286</v>
      </c>
      <c r="AC290" s="12">
        <v>155.68</v>
      </c>
      <c r="AD290" s="12">
        <f t="shared" ref="AD290:AD298" si="157">AB290-AC290</f>
        <v>-5.5728571428571456</v>
      </c>
      <c r="AE290" s="12">
        <f t="shared" si="150"/>
        <v>11.633303571428572</v>
      </c>
      <c r="AF290" s="12"/>
      <c r="AG290" s="12">
        <f t="shared" si="129"/>
        <v>11.258035714285715</v>
      </c>
      <c r="AH290" s="12"/>
      <c r="AI290" s="12">
        <f t="shared" si="155"/>
        <v>22.891339285714288</v>
      </c>
      <c r="AJ290" s="12">
        <f t="shared" si="130"/>
        <v>1.5010714285714286</v>
      </c>
      <c r="AK290" s="37"/>
      <c r="AL290" s="37"/>
      <c r="AM290" s="12"/>
      <c r="AN290" s="12"/>
      <c r="AO290" s="12"/>
      <c r="AP290" s="37"/>
      <c r="AQ290" s="37"/>
    </row>
    <row r="291" spans="1:43">
      <c r="A291" s="21">
        <f>A290+1</f>
        <v>234</v>
      </c>
      <c r="B291" s="27" t="s">
        <v>513</v>
      </c>
      <c r="C291" s="56" t="s">
        <v>507</v>
      </c>
      <c r="D291" s="82" t="s">
        <v>452</v>
      </c>
      <c r="E291" s="83" t="s">
        <v>79</v>
      </c>
      <c r="F291" s="84" t="s">
        <v>351</v>
      </c>
      <c r="G291" s="26">
        <f>417+50</f>
        <v>467</v>
      </c>
      <c r="H291" s="32">
        <f t="shared" si="126"/>
        <v>5604</v>
      </c>
      <c r="I291" s="32">
        <v>60</v>
      </c>
      <c r="J291" s="36"/>
      <c r="K291" s="32">
        <f t="shared" si="154"/>
        <v>467</v>
      </c>
      <c r="L291" s="32">
        <v>300</v>
      </c>
      <c r="M291" s="37"/>
      <c r="N291" s="24">
        <v>125</v>
      </c>
      <c r="O291" s="24"/>
      <c r="P291" s="12">
        <f t="shared" si="144"/>
        <v>470.50250000000005</v>
      </c>
      <c r="Q291" s="9"/>
      <c r="R291" s="12">
        <f t="shared" ref="R291:R298" si="158">P291/13</f>
        <v>36.192500000000003</v>
      </c>
      <c r="S291" s="12"/>
      <c r="T291" s="12"/>
      <c r="U291" s="12">
        <f t="shared" si="145"/>
        <v>455.32499999999999</v>
      </c>
      <c r="V291" s="12">
        <f t="shared" si="128"/>
        <v>35.024999999999999</v>
      </c>
      <c r="W291" s="12"/>
      <c r="X291" s="12"/>
      <c r="Y291" s="12">
        <f>P291+S291+U291+W291</f>
        <v>925.8275000000001</v>
      </c>
      <c r="Z291" s="12">
        <f t="shared" si="156"/>
        <v>60.71</v>
      </c>
      <c r="AA291" s="12">
        <f t="shared" si="147"/>
        <v>4.67</v>
      </c>
      <c r="AB291" s="12">
        <f t="shared" si="148"/>
        <v>150.10714285714286</v>
      </c>
      <c r="AC291" s="12">
        <v>152.9</v>
      </c>
      <c r="AD291" s="12">
        <f t="shared" si="157"/>
        <v>-2.7928571428571445</v>
      </c>
      <c r="AE291" s="12">
        <f t="shared" si="150"/>
        <v>11.633303571428572</v>
      </c>
      <c r="AF291" s="12"/>
      <c r="AG291" s="12">
        <f t="shared" si="129"/>
        <v>11.258035714285715</v>
      </c>
      <c r="AH291" s="12"/>
      <c r="AI291" s="12">
        <f t="shared" si="155"/>
        <v>22.891339285714288</v>
      </c>
      <c r="AJ291" s="12">
        <f t="shared" si="130"/>
        <v>1.5010714285714286</v>
      </c>
      <c r="AK291" s="37"/>
      <c r="AL291" s="37"/>
      <c r="AM291" s="12"/>
      <c r="AN291" s="12"/>
      <c r="AO291" s="12"/>
      <c r="AP291" s="37"/>
      <c r="AQ291" s="37"/>
    </row>
    <row r="292" spans="1:43">
      <c r="A292" s="21">
        <f t="shared" si="149"/>
        <v>235</v>
      </c>
      <c r="B292" s="27" t="s">
        <v>514</v>
      </c>
      <c r="C292" s="56" t="s">
        <v>507</v>
      </c>
      <c r="D292" s="82" t="s">
        <v>452</v>
      </c>
      <c r="E292" s="83" t="s">
        <v>79</v>
      </c>
      <c r="F292" s="84" t="s">
        <v>351</v>
      </c>
      <c r="G292" s="26">
        <f>417+50</f>
        <v>467</v>
      </c>
      <c r="H292" s="32">
        <f t="shared" si="126"/>
        <v>5604</v>
      </c>
      <c r="I292" s="32">
        <v>60</v>
      </c>
      <c r="J292" s="36"/>
      <c r="K292" s="32">
        <f t="shared" si="154"/>
        <v>467</v>
      </c>
      <c r="L292" s="32">
        <v>300</v>
      </c>
      <c r="M292" s="37"/>
      <c r="N292" s="24">
        <v>125</v>
      </c>
      <c r="O292" s="24"/>
      <c r="P292" s="12">
        <f t="shared" si="144"/>
        <v>470.50250000000005</v>
      </c>
      <c r="Q292" s="9"/>
      <c r="R292" s="12">
        <f t="shared" si="158"/>
        <v>36.192500000000003</v>
      </c>
      <c r="S292" s="12"/>
      <c r="T292" s="12"/>
      <c r="U292" s="12">
        <f t="shared" si="145"/>
        <v>455.32499999999999</v>
      </c>
      <c r="V292" s="12">
        <f t="shared" si="128"/>
        <v>35.024999999999999</v>
      </c>
      <c r="W292" s="12"/>
      <c r="X292" s="12"/>
      <c r="Y292" s="12">
        <f>P292+S292+U292+W292</f>
        <v>925.8275000000001</v>
      </c>
      <c r="Z292" s="12">
        <f t="shared" si="156"/>
        <v>60.71</v>
      </c>
      <c r="AA292" s="12">
        <f t="shared" si="147"/>
        <v>4.67</v>
      </c>
      <c r="AB292" s="12">
        <f t="shared" si="148"/>
        <v>150.10714285714286</v>
      </c>
      <c r="AC292" s="12">
        <v>113.43</v>
      </c>
      <c r="AD292" s="12">
        <f t="shared" si="157"/>
        <v>36.677142857142854</v>
      </c>
      <c r="AE292" s="12">
        <f t="shared" si="150"/>
        <v>11.633303571428572</v>
      </c>
      <c r="AF292" s="12"/>
      <c r="AG292" s="12">
        <f t="shared" si="129"/>
        <v>11.258035714285715</v>
      </c>
      <c r="AH292" s="12"/>
      <c r="AI292" s="12">
        <f t="shared" si="155"/>
        <v>22.891339285714288</v>
      </c>
      <c r="AJ292" s="12">
        <f t="shared" si="130"/>
        <v>1.5010714285714286</v>
      </c>
      <c r="AK292" s="37"/>
      <c r="AL292" s="37"/>
      <c r="AM292" s="12"/>
      <c r="AN292" s="12"/>
      <c r="AO292" s="12"/>
      <c r="AP292" s="37"/>
      <c r="AQ292" s="37"/>
    </row>
    <row r="293" spans="1:43">
      <c r="A293" s="21">
        <f t="shared" si="149"/>
        <v>236</v>
      </c>
      <c r="B293" s="27" t="s">
        <v>515</v>
      </c>
      <c r="C293" s="51" t="s">
        <v>507</v>
      </c>
      <c r="D293" s="82" t="s">
        <v>452</v>
      </c>
      <c r="E293" s="83" t="s">
        <v>79</v>
      </c>
      <c r="F293" s="84" t="s">
        <v>351</v>
      </c>
      <c r="G293" s="26">
        <v>417</v>
      </c>
      <c r="H293" s="32">
        <f>G293*12</f>
        <v>5004</v>
      </c>
      <c r="I293" s="32">
        <v>60</v>
      </c>
      <c r="J293" s="36"/>
      <c r="K293" s="32">
        <f>G293</f>
        <v>417</v>
      </c>
      <c r="L293" s="32">
        <v>300</v>
      </c>
      <c r="M293" s="37"/>
      <c r="N293" s="24">
        <v>125</v>
      </c>
      <c r="O293" s="24"/>
      <c r="P293" s="12">
        <f t="shared" si="144"/>
        <v>420.12750000000005</v>
      </c>
      <c r="Q293" s="9"/>
      <c r="R293" s="12">
        <f t="shared" si="158"/>
        <v>32.317500000000003</v>
      </c>
      <c r="S293" s="12"/>
      <c r="T293" s="12"/>
      <c r="U293" s="12">
        <f>G293*0.075*13</f>
        <v>406.57499999999999</v>
      </c>
      <c r="V293" s="12">
        <f t="shared" si="128"/>
        <v>31.274999999999999</v>
      </c>
      <c r="W293" s="12"/>
      <c r="X293" s="12"/>
      <c r="Y293" s="12">
        <f>P293+S293+U293+W293+0.01</f>
        <v>826.71250000000009</v>
      </c>
      <c r="Z293" s="12">
        <f t="shared" si="156"/>
        <v>54.21</v>
      </c>
      <c r="AA293" s="12">
        <f t="shared" si="147"/>
        <v>4.17</v>
      </c>
      <c r="AB293" s="12">
        <f>G293/30/7*1.5*45</f>
        <v>134.03571428571428</v>
      </c>
      <c r="AC293" s="12">
        <v>113.43</v>
      </c>
      <c r="AD293" s="12">
        <f>AB293-AC293</f>
        <v>20.605714285714271</v>
      </c>
      <c r="AE293" s="12">
        <f t="shared" si="150"/>
        <v>10.387767857142856</v>
      </c>
      <c r="AF293" s="12"/>
      <c r="AG293" s="12">
        <f>AB293*0.075</f>
        <v>10.05267857142857</v>
      </c>
      <c r="AH293" s="12"/>
      <c r="AI293" s="12">
        <f t="shared" ref="AI293:AI300" si="159">AE293+AF293+AG293+AH293</f>
        <v>20.440446428571427</v>
      </c>
      <c r="AJ293" s="12">
        <f>AB293*0.01</f>
        <v>1.3403571428571428</v>
      </c>
      <c r="AK293" s="37"/>
      <c r="AL293" s="37"/>
      <c r="AM293" s="12"/>
      <c r="AN293" s="12"/>
      <c r="AO293" s="12"/>
      <c r="AP293" s="37"/>
      <c r="AQ293" s="37"/>
    </row>
    <row r="294" spans="1:43">
      <c r="A294" s="21">
        <f t="shared" si="149"/>
        <v>237</v>
      </c>
      <c r="B294" s="27" t="s">
        <v>516</v>
      </c>
      <c r="C294" s="51" t="s">
        <v>507</v>
      </c>
      <c r="D294" s="82" t="s">
        <v>452</v>
      </c>
      <c r="E294" s="83" t="s">
        <v>79</v>
      </c>
      <c r="F294" s="84" t="s">
        <v>351</v>
      </c>
      <c r="G294" s="26">
        <v>417</v>
      </c>
      <c r="H294" s="32">
        <f>G294*12</f>
        <v>5004</v>
      </c>
      <c r="I294" s="32">
        <v>60</v>
      </c>
      <c r="J294" s="36"/>
      <c r="K294" s="32">
        <f>G294</f>
        <v>417</v>
      </c>
      <c r="L294" s="32">
        <v>300</v>
      </c>
      <c r="M294" s="37"/>
      <c r="N294" s="24">
        <v>125</v>
      </c>
      <c r="O294" s="24"/>
      <c r="P294" s="12">
        <f t="shared" si="144"/>
        <v>420.12750000000005</v>
      </c>
      <c r="Q294" s="9"/>
      <c r="R294" s="12">
        <f t="shared" si="158"/>
        <v>32.317500000000003</v>
      </c>
      <c r="S294" s="12"/>
      <c r="T294" s="12"/>
      <c r="U294" s="12">
        <f>G294*0.075*13</f>
        <v>406.57499999999999</v>
      </c>
      <c r="V294" s="12">
        <f t="shared" si="128"/>
        <v>31.274999999999999</v>
      </c>
      <c r="W294" s="12"/>
      <c r="X294" s="12"/>
      <c r="Y294" s="12">
        <f>P294+S294+U294+W294+0.01</f>
        <v>826.71250000000009</v>
      </c>
      <c r="Z294" s="12">
        <f t="shared" si="156"/>
        <v>54.21</v>
      </c>
      <c r="AA294" s="12">
        <f t="shared" si="147"/>
        <v>4.17</v>
      </c>
      <c r="AB294" s="12">
        <f>G294/30/7*1.5*45</f>
        <v>134.03571428571428</v>
      </c>
      <c r="AC294" s="12">
        <v>113.43</v>
      </c>
      <c r="AD294" s="12">
        <f>AB294-AC294</f>
        <v>20.605714285714271</v>
      </c>
      <c r="AE294" s="12">
        <f t="shared" si="150"/>
        <v>10.387767857142856</v>
      </c>
      <c r="AF294" s="12"/>
      <c r="AG294" s="12">
        <f>AB294*0.075</f>
        <v>10.05267857142857</v>
      </c>
      <c r="AH294" s="12"/>
      <c r="AI294" s="12">
        <f t="shared" si="159"/>
        <v>20.440446428571427</v>
      </c>
      <c r="AJ294" s="12">
        <f>AB294*0.01</f>
        <v>1.3403571428571428</v>
      </c>
      <c r="AK294" s="37"/>
      <c r="AL294" s="37"/>
      <c r="AM294" s="12"/>
      <c r="AN294" s="12"/>
      <c r="AO294" s="12"/>
      <c r="AP294" s="37"/>
      <c r="AQ294" s="37"/>
    </row>
    <row r="295" spans="1:43">
      <c r="A295" s="21">
        <f t="shared" si="149"/>
        <v>238</v>
      </c>
      <c r="B295" s="42" t="s">
        <v>517</v>
      </c>
      <c r="C295" s="51" t="s">
        <v>518</v>
      </c>
      <c r="D295" s="82" t="s">
        <v>452</v>
      </c>
      <c r="E295" s="83" t="s">
        <v>79</v>
      </c>
      <c r="F295" s="84" t="s">
        <v>351</v>
      </c>
      <c r="G295" s="26">
        <v>500</v>
      </c>
      <c r="H295" s="32">
        <f>G295*12</f>
        <v>6000</v>
      </c>
      <c r="I295" s="32">
        <v>60</v>
      </c>
      <c r="J295" s="36"/>
      <c r="K295" s="32">
        <f>G295</f>
        <v>500</v>
      </c>
      <c r="L295" s="32">
        <v>300</v>
      </c>
      <c r="M295" s="37"/>
      <c r="N295" s="24">
        <v>125</v>
      </c>
      <c r="O295" s="24"/>
      <c r="P295" s="12">
        <f t="shared" si="144"/>
        <v>503.75</v>
      </c>
      <c r="Q295" s="9"/>
      <c r="R295" s="12">
        <f t="shared" si="158"/>
        <v>38.75</v>
      </c>
      <c r="S295" s="12"/>
      <c r="T295" s="12"/>
      <c r="U295" s="12">
        <f>G295*0.075*13</f>
        <v>487.5</v>
      </c>
      <c r="V295" s="12">
        <f t="shared" si="128"/>
        <v>37.5</v>
      </c>
      <c r="W295" s="12"/>
      <c r="X295" s="12"/>
      <c r="Y295" s="12">
        <f>P295+S295+U295+W295+0.01</f>
        <v>991.26</v>
      </c>
      <c r="Z295" s="12">
        <f t="shared" si="156"/>
        <v>65</v>
      </c>
      <c r="AA295" s="12">
        <f t="shared" si="147"/>
        <v>5</v>
      </c>
      <c r="AB295" s="12">
        <f>G295/30/7*1.5*45</f>
        <v>160.71428571428569</v>
      </c>
      <c r="AC295" s="12">
        <v>113.43</v>
      </c>
      <c r="AD295" s="12">
        <f>AB295-AC295</f>
        <v>47.284285714285687</v>
      </c>
      <c r="AE295" s="12">
        <f t="shared" si="150"/>
        <v>12.455357142857141</v>
      </c>
      <c r="AF295" s="12"/>
      <c r="AG295" s="12">
        <f>AB295*0.075</f>
        <v>12.053571428571427</v>
      </c>
      <c r="AH295" s="12"/>
      <c r="AI295" s="12">
        <f t="shared" si="159"/>
        <v>24.508928571428569</v>
      </c>
      <c r="AJ295" s="12">
        <f>AB295*0.01</f>
        <v>1.607142857142857</v>
      </c>
      <c r="AK295" s="37"/>
      <c r="AL295" s="37"/>
      <c r="AM295" s="12"/>
      <c r="AN295" s="12"/>
      <c r="AO295" s="12"/>
      <c r="AP295" s="37"/>
      <c r="AQ295" s="37"/>
    </row>
    <row r="296" spans="1:43">
      <c r="A296" s="21">
        <f t="shared" si="149"/>
        <v>239</v>
      </c>
      <c r="B296" s="27" t="s">
        <v>519</v>
      </c>
      <c r="C296" s="56" t="s">
        <v>520</v>
      </c>
      <c r="D296" s="82" t="s">
        <v>452</v>
      </c>
      <c r="E296" s="83" t="s">
        <v>79</v>
      </c>
      <c r="F296" s="84" t="s">
        <v>351</v>
      </c>
      <c r="G296" s="26">
        <f>614.86+30+50</f>
        <v>694.86</v>
      </c>
      <c r="H296" s="32">
        <f t="shared" si="126"/>
        <v>8338.32</v>
      </c>
      <c r="I296" s="32">
        <v>60</v>
      </c>
      <c r="J296" s="36"/>
      <c r="K296" s="32">
        <f t="shared" si="154"/>
        <v>694.86</v>
      </c>
      <c r="L296" s="32">
        <v>300</v>
      </c>
      <c r="M296" s="37"/>
      <c r="N296" s="24">
        <v>125</v>
      </c>
      <c r="O296" s="24"/>
      <c r="P296" s="12">
        <f t="shared" si="144"/>
        <v>700.07145000000003</v>
      </c>
      <c r="Q296" s="40"/>
      <c r="R296" s="12">
        <f t="shared" si="158"/>
        <v>53.851649999999999</v>
      </c>
      <c r="S296" s="12"/>
      <c r="T296" s="12"/>
      <c r="U296" s="12">
        <f t="shared" ref="U296:U324" si="160">G296*0.075*13</f>
        <v>677.48850000000004</v>
      </c>
      <c r="V296" s="12">
        <f t="shared" si="128"/>
        <v>52.114500000000007</v>
      </c>
      <c r="W296" s="12"/>
      <c r="X296" s="12"/>
      <c r="Y296" s="12">
        <f t="shared" ref="Y296:Y302" si="161">P296+S296+U296+W296</f>
        <v>1377.5599500000001</v>
      </c>
      <c r="Z296" s="12">
        <f t="shared" ref="Z296:Z324" si="162">G296*0.01*13</f>
        <v>90.331800000000001</v>
      </c>
      <c r="AA296" s="12">
        <f t="shared" si="147"/>
        <v>6.9485999999999999</v>
      </c>
      <c r="AB296" s="12">
        <f t="shared" si="148"/>
        <v>223.34785714285712</v>
      </c>
      <c r="AC296" s="12">
        <v>155.68</v>
      </c>
      <c r="AD296" s="12">
        <f t="shared" si="157"/>
        <v>67.667857142857116</v>
      </c>
      <c r="AE296" s="12">
        <f t="shared" si="150"/>
        <v>17.309458928571427</v>
      </c>
      <c r="AF296" s="12"/>
      <c r="AG296" s="12">
        <f t="shared" si="129"/>
        <v>16.751089285714283</v>
      </c>
      <c r="AH296" s="12"/>
      <c r="AI296" s="12">
        <f t="shared" si="159"/>
        <v>34.06054821428571</v>
      </c>
      <c r="AJ296" s="12">
        <f t="shared" si="130"/>
        <v>2.2334785714285714</v>
      </c>
      <c r="AK296" s="38"/>
      <c r="AL296" s="38"/>
      <c r="AM296" s="12"/>
      <c r="AN296" s="12"/>
      <c r="AO296" s="12"/>
      <c r="AP296" s="38"/>
      <c r="AQ296" s="37"/>
    </row>
    <row r="297" spans="1:43">
      <c r="A297" s="21">
        <f t="shared" si="149"/>
        <v>240</v>
      </c>
      <c r="B297" s="27" t="s">
        <v>521</v>
      </c>
      <c r="C297" s="56" t="s">
        <v>520</v>
      </c>
      <c r="D297" s="82" t="s">
        <v>452</v>
      </c>
      <c r="E297" s="83" t="s">
        <v>79</v>
      </c>
      <c r="F297" s="84" t="s">
        <v>351</v>
      </c>
      <c r="G297" s="26">
        <f>614.86+30+50</f>
        <v>694.86</v>
      </c>
      <c r="H297" s="32">
        <f t="shared" si="126"/>
        <v>8338.32</v>
      </c>
      <c r="I297" s="32">
        <v>60</v>
      </c>
      <c r="J297" s="36"/>
      <c r="K297" s="32">
        <f t="shared" si="154"/>
        <v>694.86</v>
      </c>
      <c r="L297" s="32">
        <v>300</v>
      </c>
      <c r="M297" s="37"/>
      <c r="N297" s="24">
        <v>125</v>
      </c>
      <c r="O297" s="24"/>
      <c r="P297" s="12">
        <f t="shared" si="144"/>
        <v>700.07145000000003</v>
      </c>
      <c r="Q297" s="40"/>
      <c r="R297" s="12">
        <f t="shared" si="158"/>
        <v>53.851649999999999</v>
      </c>
      <c r="S297" s="12"/>
      <c r="T297" s="12"/>
      <c r="U297" s="12">
        <f t="shared" si="160"/>
        <v>677.48850000000004</v>
      </c>
      <c r="V297" s="12">
        <f t="shared" si="128"/>
        <v>52.114500000000007</v>
      </c>
      <c r="W297" s="12"/>
      <c r="X297" s="12"/>
      <c r="Y297" s="12">
        <f t="shared" si="161"/>
        <v>1377.5599500000001</v>
      </c>
      <c r="Z297" s="12">
        <f t="shared" si="162"/>
        <v>90.331800000000001</v>
      </c>
      <c r="AA297" s="12">
        <f t="shared" si="147"/>
        <v>6.9485999999999999</v>
      </c>
      <c r="AB297" s="12">
        <f t="shared" si="148"/>
        <v>223.34785714285712</v>
      </c>
      <c r="AC297" s="12">
        <v>155.68</v>
      </c>
      <c r="AD297" s="12">
        <f t="shared" si="157"/>
        <v>67.667857142857116</v>
      </c>
      <c r="AE297" s="12">
        <f t="shared" si="150"/>
        <v>17.309458928571427</v>
      </c>
      <c r="AF297" s="12"/>
      <c r="AG297" s="12">
        <f t="shared" si="129"/>
        <v>16.751089285714283</v>
      </c>
      <c r="AH297" s="12"/>
      <c r="AI297" s="12">
        <f t="shared" si="159"/>
        <v>34.06054821428571</v>
      </c>
      <c r="AJ297" s="12">
        <f t="shared" si="130"/>
        <v>2.2334785714285714</v>
      </c>
      <c r="AK297" s="37"/>
      <c r="AL297" s="37"/>
      <c r="AM297" s="12"/>
      <c r="AN297" s="12"/>
      <c r="AO297" s="12"/>
      <c r="AP297" s="37"/>
      <c r="AQ297" s="37"/>
    </row>
    <row r="298" spans="1:43">
      <c r="A298" s="21">
        <f t="shared" si="149"/>
        <v>241</v>
      </c>
      <c r="B298" s="27" t="s">
        <v>522</v>
      </c>
      <c r="C298" s="56" t="s">
        <v>520</v>
      </c>
      <c r="D298" s="82" t="s">
        <v>452</v>
      </c>
      <c r="E298" s="83" t="s">
        <v>79</v>
      </c>
      <c r="F298" s="84" t="s">
        <v>351</v>
      </c>
      <c r="G298" s="26">
        <f>614.86+30+50</f>
        <v>694.86</v>
      </c>
      <c r="H298" s="32">
        <f t="shared" si="126"/>
        <v>8338.32</v>
      </c>
      <c r="I298" s="32">
        <v>60</v>
      </c>
      <c r="J298" s="36"/>
      <c r="K298" s="32">
        <f t="shared" si="154"/>
        <v>694.86</v>
      </c>
      <c r="L298" s="32">
        <v>300</v>
      </c>
      <c r="M298" s="37"/>
      <c r="N298" s="24">
        <v>125</v>
      </c>
      <c r="O298" s="24"/>
      <c r="P298" s="12">
        <f t="shared" si="144"/>
        <v>700.07145000000003</v>
      </c>
      <c r="Q298" s="40"/>
      <c r="R298" s="12">
        <f t="shared" si="158"/>
        <v>53.851649999999999</v>
      </c>
      <c r="S298" s="12"/>
      <c r="T298" s="12"/>
      <c r="U298" s="12">
        <f t="shared" si="160"/>
        <v>677.48850000000004</v>
      </c>
      <c r="V298" s="12">
        <f t="shared" si="128"/>
        <v>52.114500000000007</v>
      </c>
      <c r="W298" s="12"/>
      <c r="X298" s="12"/>
      <c r="Y298" s="12">
        <f t="shared" si="161"/>
        <v>1377.5599500000001</v>
      </c>
      <c r="Z298" s="12">
        <f t="shared" si="162"/>
        <v>90.331800000000001</v>
      </c>
      <c r="AA298" s="12">
        <f t="shared" si="147"/>
        <v>6.9485999999999999</v>
      </c>
      <c r="AB298" s="12">
        <f t="shared" si="148"/>
        <v>223.34785714285712</v>
      </c>
      <c r="AC298" s="12">
        <v>155.68</v>
      </c>
      <c r="AD298" s="12">
        <f t="shared" si="157"/>
        <v>67.667857142857116</v>
      </c>
      <c r="AE298" s="12">
        <f t="shared" si="150"/>
        <v>17.309458928571427</v>
      </c>
      <c r="AF298" s="12"/>
      <c r="AG298" s="12">
        <f t="shared" si="129"/>
        <v>16.751089285714283</v>
      </c>
      <c r="AH298" s="12"/>
      <c r="AI298" s="12">
        <f t="shared" si="159"/>
        <v>34.06054821428571</v>
      </c>
      <c r="AJ298" s="12">
        <f t="shared" si="130"/>
        <v>2.2334785714285714</v>
      </c>
      <c r="AK298" s="37"/>
      <c r="AL298" s="37"/>
      <c r="AM298" s="12"/>
      <c r="AN298" s="12"/>
      <c r="AO298" s="12"/>
      <c r="AP298" s="37"/>
      <c r="AQ298" s="37"/>
    </row>
    <row r="299" spans="1:43">
      <c r="A299" s="21">
        <f t="shared" si="149"/>
        <v>242</v>
      </c>
      <c r="B299" s="27" t="s">
        <v>523</v>
      </c>
      <c r="C299" s="56" t="s">
        <v>520</v>
      </c>
      <c r="D299" s="82" t="s">
        <v>452</v>
      </c>
      <c r="E299" s="83" t="s">
        <v>79</v>
      </c>
      <c r="F299" s="84" t="s">
        <v>351</v>
      </c>
      <c r="G299" s="26">
        <f>614.86+30+50</f>
        <v>694.86</v>
      </c>
      <c r="H299" s="32">
        <f t="shared" si="126"/>
        <v>8338.32</v>
      </c>
      <c r="I299" s="32">
        <v>60</v>
      </c>
      <c r="J299" s="36"/>
      <c r="K299" s="32">
        <f t="shared" si="154"/>
        <v>694.86</v>
      </c>
      <c r="L299" s="32">
        <v>300</v>
      </c>
      <c r="M299" s="37"/>
      <c r="N299" s="24">
        <v>125</v>
      </c>
      <c r="O299" s="24"/>
      <c r="P299" s="12">
        <f t="shared" si="144"/>
        <v>700.07145000000003</v>
      </c>
      <c r="Q299" s="9">
        <f>P299/13</f>
        <v>53.851649999999999</v>
      </c>
      <c r="R299" s="12"/>
      <c r="S299" s="12"/>
      <c r="T299" s="12"/>
      <c r="U299" s="12">
        <f t="shared" si="160"/>
        <v>677.48850000000004</v>
      </c>
      <c r="V299" s="12">
        <f t="shared" si="128"/>
        <v>52.114500000000007</v>
      </c>
      <c r="W299" s="12"/>
      <c r="X299" s="12"/>
      <c r="Y299" s="12">
        <f t="shared" si="161"/>
        <v>1377.5599500000001</v>
      </c>
      <c r="Z299" s="12">
        <f t="shared" si="162"/>
        <v>90.331800000000001</v>
      </c>
      <c r="AA299" s="12">
        <f t="shared" si="147"/>
        <v>6.9485999999999999</v>
      </c>
      <c r="AB299" s="12">
        <f t="shared" si="148"/>
        <v>223.34785714285712</v>
      </c>
      <c r="AC299" s="12"/>
      <c r="AD299" s="12"/>
      <c r="AE299" s="12">
        <f t="shared" si="150"/>
        <v>17.309458928571427</v>
      </c>
      <c r="AF299" s="12"/>
      <c r="AG299" s="12">
        <f t="shared" si="129"/>
        <v>16.751089285714283</v>
      </c>
      <c r="AH299" s="12"/>
      <c r="AI299" s="12">
        <f t="shared" si="159"/>
        <v>34.06054821428571</v>
      </c>
      <c r="AJ299" s="12">
        <f t="shared" si="130"/>
        <v>2.2334785714285714</v>
      </c>
      <c r="AK299" s="37"/>
      <c r="AL299" s="37"/>
      <c r="AM299" s="12"/>
      <c r="AN299" s="12"/>
      <c r="AO299" s="12"/>
      <c r="AP299" s="37"/>
      <c r="AQ299" s="37"/>
    </row>
    <row r="300" spans="1:43">
      <c r="A300" s="21">
        <f t="shared" si="149"/>
        <v>243</v>
      </c>
      <c r="B300" s="27" t="s">
        <v>524</v>
      </c>
      <c r="C300" s="56" t="s">
        <v>520</v>
      </c>
      <c r="D300" s="82" t="s">
        <v>452</v>
      </c>
      <c r="E300" s="83" t="s">
        <v>79</v>
      </c>
      <c r="F300" s="84" t="s">
        <v>351</v>
      </c>
      <c r="G300" s="26">
        <f>614.86+30+50</f>
        <v>694.86</v>
      </c>
      <c r="H300" s="32">
        <f t="shared" si="126"/>
        <v>8338.32</v>
      </c>
      <c r="I300" s="32">
        <v>60</v>
      </c>
      <c r="J300" s="36"/>
      <c r="K300" s="32">
        <f t="shared" si="154"/>
        <v>694.86</v>
      </c>
      <c r="L300" s="32">
        <v>300</v>
      </c>
      <c r="M300" s="37"/>
      <c r="N300" s="24">
        <v>125</v>
      </c>
      <c r="O300" s="24"/>
      <c r="P300" s="12">
        <f>G300*0.0775*13</f>
        <v>700.07145000000003</v>
      </c>
      <c r="Q300" s="9">
        <f>P300/13</f>
        <v>53.851649999999999</v>
      </c>
      <c r="R300" s="12"/>
      <c r="S300" s="12"/>
      <c r="T300" s="12"/>
      <c r="U300" s="12">
        <f t="shared" si="160"/>
        <v>677.48850000000004</v>
      </c>
      <c r="V300" s="12">
        <f t="shared" si="128"/>
        <v>52.114500000000007</v>
      </c>
      <c r="W300" s="12"/>
      <c r="X300" s="12"/>
      <c r="Y300" s="12">
        <f t="shared" si="161"/>
        <v>1377.5599500000001</v>
      </c>
      <c r="Z300" s="12">
        <f t="shared" si="162"/>
        <v>90.331800000000001</v>
      </c>
      <c r="AA300" s="12">
        <f t="shared" si="147"/>
        <v>6.9485999999999999</v>
      </c>
      <c r="AB300" s="12">
        <f t="shared" si="148"/>
        <v>223.34785714285712</v>
      </c>
      <c r="AC300" s="12"/>
      <c r="AD300" s="12"/>
      <c r="AE300" s="12">
        <f>AB300*0.0775</f>
        <v>17.309458928571427</v>
      </c>
      <c r="AF300" s="12"/>
      <c r="AG300" s="12">
        <f t="shared" si="129"/>
        <v>16.751089285714283</v>
      </c>
      <c r="AH300" s="12"/>
      <c r="AI300" s="12">
        <f t="shared" si="159"/>
        <v>34.06054821428571</v>
      </c>
      <c r="AJ300" s="12">
        <f t="shared" si="130"/>
        <v>2.2334785714285714</v>
      </c>
      <c r="AK300" s="37"/>
      <c r="AL300" s="37"/>
      <c r="AM300" s="12"/>
      <c r="AN300" s="12"/>
      <c r="AO300" s="12"/>
      <c r="AP300" s="37"/>
      <c r="AQ300" s="37"/>
    </row>
    <row r="301" spans="1:43">
      <c r="A301" s="21">
        <f t="shared" si="149"/>
        <v>244</v>
      </c>
      <c r="B301" s="27" t="s">
        <v>525</v>
      </c>
      <c r="C301" s="56" t="s">
        <v>520</v>
      </c>
      <c r="D301" s="82" t="s">
        <v>452</v>
      </c>
      <c r="E301" s="83" t="s">
        <v>79</v>
      </c>
      <c r="F301" s="84" t="s">
        <v>351</v>
      </c>
      <c r="G301" s="26">
        <f>601.72+30+50</f>
        <v>681.72</v>
      </c>
      <c r="H301" s="32">
        <f t="shared" si="126"/>
        <v>8180.64</v>
      </c>
      <c r="I301" s="32">
        <v>60</v>
      </c>
      <c r="J301" s="36"/>
      <c r="K301" s="32">
        <f t="shared" si="154"/>
        <v>681.72</v>
      </c>
      <c r="L301" s="32">
        <v>300</v>
      </c>
      <c r="M301" s="37"/>
      <c r="N301" s="24">
        <v>125</v>
      </c>
      <c r="O301" s="24"/>
      <c r="P301" s="12">
        <f t="shared" si="144"/>
        <v>686.8329</v>
      </c>
      <c r="Q301" s="40"/>
      <c r="R301" s="12">
        <f>P301/13</f>
        <v>52.833300000000001</v>
      </c>
      <c r="S301" s="12"/>
      <c r="T301" s="12"/>
      <c r="U301" s="12">
        <f t="shared" si="160"/>
        <v>664.67700000000002</v>
      </c>
      <c r="V301" s="12">
        <f t="shared" si="128"/>
        <v>51.129000000000005</v>
      </c>
      <c r="W301" s="12"/>
      <c r="X301" s="12"/>
      <c r="Y301" s="12">
        <f t="shared" si="161"/>
        <v>1351.5099</v>
      </c>
      <c r="Z301" s="12">
        <f t="shared" si="162"/>
        <v>88.62360000000001</v>
      </c>
      <c r="AA301" s="12">
        <f t="shared" si="147"/>
        <v>6.8172000000000006</v>
      </c>
      <c r="AB301" s="12">
        <f t="shared" si="148"/>
        <v>219.12428571428569</v>
      </c>
      <c r="AC301" s="12"/>
      <c r="AD301" s="12"/>
      <c r="AE301" s="12">
        <f t="shared" si="150"/>
        <v>16.982132142857139</v>
      </c>
      <c r="AF301" s="12"/>
      <c r="AG301" s="12">
        <f t="shared" si="129"/>
        <v>16.434321428571426</v>
      </c>
      <c r="AH301" s="12"/>
      <c r="AI301" s="12">
        <f>AE301+AF301+AG301+AH301-0.01</f>
        <v>33.406453571428564</v>
      </c>
      <c r="AJ301" s="12">
        <f t="shared" si="130"/>
        <v>2.191242857142857</v>
      </c>
      <c r="AK301" s="37"/>
      <c r="AL301" s="37"/>
      <c r="AM301" s="12"/>
      <c r="AN301" s="12"/>
      <c r="AO301" s="12"/>
      <c r="AP301" s="37"/>
      <c r="AQ301" s="37"/>
    </row>
    <row r="302" spans="1:43">
      <c r="A302" s="21">
        <f t="shared" si="149"/>
        <v>245</v>
      </c>
      <c r="B302" s="27" t="s">
        <v>526</v>
      </c>
      <c r="C302" s="56" t="s">
        <v>527</v>
      </c>
      <c r="D302" s="82" t="s">
        <v>452</v>
      </c>
      <c r="E302" s="83" t="s">
        <v>79</v>
      </c>
      <c r="F302" s="84" t="s">
        <v>351</v>
      </c>
      <c r="G302" s="26">
        <f>547+30+50</f>
        <v>627</v>
      </c>
      <c r="H302" s="32">
        <f t="shared" si="126"/>
        <v>7524</v>
      </c>
      <c r="I302" s="32">
        <v>60</v>
      </c>
      <c r="J302" s="36"/>
      <c r="K302" s="32">
        <f t="shared" si="154"/>
        <v>627</v>
      </c>
      <c r="L302" s="32">
        <v>300</v>
      </c>
      <c r="M302" s="37"/>
      <c r="N302" s="24">
        <v>125</v>
      </c>
      <c r="O302" s="24"/>
      <c r="P302" s="12">
        <f t="shared" si="144"/>
        <v>631.70249999999999</v>
      </c>
      <c r="Q302" s="40"/>
      <c r="R302" s="12">
        <f>P302/13</f>
        <v>48.592500000000001</v>
      </c>
      <c r="S302" s="12"/>
      <c r="T302" s="12"/>
      <c r="U302" s="12">
        <f t="shared" si="160"/>
        <v>611.32499999999993</v>
      </c>
      <c r="V302" s="12">
        <f t="shared" si="128"/>
        <v>47.024999999999991</v>
      </c>
      <c r="W302" s="12"/>
      <c r="X302" s="12"/>
      <c r="Y302" s="12">
        <f t="shared" si="161"/>
        <v>1243.0274999999999</v>
      </c>
      <c r="Z302" s="12">
        <f t="shared" si="162"/>
        <v>81.510000000000005</v>
      </c>
      <c r="AA302" s="12">
        <f t="shared" si="147"/>
        <v>6.2700000000000005</v>
      </c>
      <c r="AB302" s="12">
        <f t="shared" si="148"/>
        <v>201.53571428571425</v>
      </c>
      <c r="AC302" s="12"/>
      <c r="AD302" s="12"/>
      <c r="AE302" s="12">
        <f t="shared" si="150"/>
        <v>15.619017857142854</v>
      </c>
      <c r="AF302" s="12"/>
      <c r="AG302" s="12">
        <f t="shared" si="129"/>
        <v>15.115178571428569</v>
      </c>
      <c r="AH302" s="12"/>
      <c r="AI302" s="12">
        <f t="shared" ref="AI302:AI309" si="163">AE302+AF302+AG302+AH302+0.01</f>
        <v>30.744196428571424</v>
      </c>
      <c r="AJ302" s="12">
        <f t="shared" si="130"/>
        <v>2.0153571428571424</v>
      </c>
      <c r="AK302" s="37"/>
      <c r="AL302" s="37"/>
      <c r="AM302" s="12"/>
      <c r="AN302" s="12"/>
      <c r="AO302" s="12"/>
      <c r="AP302" s="37"/>
      <c r="AQ302" s="37"/>
    </row>
    <row r="303" spans="1:43">
      <c r="A303" s="21">
        <f t="shared" si="149"/>
        <v>246</v>
      </c>
      <c r="B303" s="27" t="s">
        <v>528</v>
      </c>
      <c r="C303" s="56" t="s">
        <v>527</v>
      </c>
      <c r="D303" s="82" t="s">
        <v>452</v>
      </c>
      <c r="E303" s="83" t="s">
        <v>79</v>
      </c>
      <c r="F303" s="84" t="s">
        <v>351</v>
      </c>
      <c r="G303" s="26">
        <f>547+30+50</f>
        <v>627</v>
      </c>
      <c r="H303" s="32">
        <f t="shared" si="126"/>
        <v>7524</v>
      </c>
      <c r="I303" s="32">
        <v>60</v>
      </c>
      <c r="J303" s="36"/>
      <c r="K303" s="32">
        <f t="shared" si="154"/>
        <v>627</v>
      </c>
      <c r="L303" s="32">
        <v>300</v>
      </c>
      <c r="M303" s="37"/>
      <c r="N303" s="24">
        <v>125</v>
      </c>
      <c r="O303" s="24"/>
      <c r="P303" s="12">
        <f t="shared" si="144"/>
        <v>631.70249999999999</v>
      </c>
      <c r="Q303" s="9">
        <f>P303/13</f>
        <v>48.592500000000001</v>
      </c>
      <c r="R303" s="12"/>
      <c r="S303" s="12"/>
      <c r="T303" s="12"/>
      <c r="U303" s="12">
        <f t="shared" si="160"/>
        <v>611.32499999999993</v>
      </c>
      <c r="V303" s="12">
        <f t="shared" si="128"/>
        <v>47.024999999999991</v>
      </c>
      <c r="W303" s="12"/>
      <c r="X303" s="12"/>
      <c r="Y303" s="12">
        <f t="shared" ref="Y303:Y324" si="164">P303+S303+U303+W303</f>
        <v>1243.0274999999999</v>
      </c>
      <c r="Z303" s="12">
        <f t="shared" si="162"/>
        <v>81.510000000000005</v>
      </c>
      <c r="AA303" s="12">
        <f t="shared" si="147"/>
        <v>6.2700000000000005</v>
      </c>
      <c r="AB303" s="12">
        <f t="shared" si="148"/>
        <v>201.53571428571425</v>
      </c>
      <c r="AC303" s="12"/>
      <c r="AD303" s="12"/>
      <c r="AE303" s="12">
        <f t="shared" si="150"/>
        <v>15.619017857142854</v>
      </c>
      <c r="AF303" s="12"/>
      <c r="AG303" s="12">
        <f t="shared" si="129"/>
        <v>15.115178571428569</v>
      </c>
      <c r="AH303" s="12"/>
      <c r="AI303" s="12">
        <f t="shared" si="163"/>
        <v>30.744196428571424</v>
      </c>
      <c r="AJ303" s="12">
        <f t="shared" si="130"/>
        <v>2.0153571428571424</v>
      </c>
      <c r="AK303" s="37"/>
      <c r="AL303" s="37"/>
      <c r="AM303" s="12"/>
      <c r="AN303" s="12"/>
      <c r="AO303" s="12"/>
      <c r="AP303" s="37"/>
      <c r="AQ303" s="37"/>
    </row>
    <row r="304" spans="1:43">
      <c r="A304" s="21">
        <f t="shared" si="149"/>
        <v>247</v>
      </c>
      <c r="B304" s="27" t="s">
        <v>529</v>
      </c>
      <c r="C304" s="56" t="s">
        <v>527</v>
      </c>
      <c r="D304" s="82" t="s">
        <v>452</v>
      </c>
      <c r="E304" s="83" t="s">
        <v>79</v>
      </c>
      <c r="F304" s="84" t="s">
        <v>351</v>
      </c>
      <c r="G304" s="26">
        <f t="shared" ref="G304:G309" si="165">547+30+50</f>
        <v>627</v>
      </c>
      <c r="H304" s="32">
        <f t="shared" si="126"/>
        <v>7524</v>
      </c>
      <c r="I304" s="32">
        <v>60</v>
      </c>
      <c r="J304" s="36"/>
      <c r="K304" s="32">
        <f t="shared" si="154"/>
        <v>627</v>
      </c>
      <c r="L304" s="32">
        <v>300</v>
      </c>
      <c r="M304" s="37"/>
      <c r="N304" s="24">
        <v>125</v>
      </c>
      <c r="O304" s="24"/>
      <c r="P304" s="12">
        <f t="shared" si="144"/>
        <v>631.70249999999999</v>
      </c>
      <c r="Q304" s="40"/>
      <c r="R304" s="12">
        <f>P304/13</f>
        <v>48.592500000000001</v>
      </c>
      <c r="S304" s="12"/>
      <c r="T304" s="12"/>
      <c r="U304" s="12">
        <f t="shared" si="160"/>
        <v>611.32499999999993</v>
      </c>
      <c r="V304" s="12">
        <f t="shared" si="128"/>
        <v>47.024999999999991</v>
      </c>
      <c r="W304" s="12"/>
      <c r="X304" s="12"/>
      <c r="Y304" s="12">
        <f t="shared" si="164"/>
        <v>1243.0274999999999</v>
      </c>
      <c r="Z304" s="12">
        <f t="shared" si="162"/>
        <v>81.510000000000005</v>
      </c>
      <c r="AA304" s="12">
        <f t="shared" si="147"/>
        <v>6.2700000000000005</v>
      </c>
      <c r="AB304" s="12">
        <f t="shared" si="148"/>
        <v>201.53571428571425</v>
      </c>
      <c r="AC304" s="12"/>
      <c r="AD304" s="12"/>
      <c r="AE304" s="12">
        <f t="shared" si="150"/>
        <v>15.619017857142854</v>
      </c>
      <c r="AF304" s="12"/>
      <c r="AG304" s="12">
        <f t="shared" si="129"/>
        <v>15.115178571428569</v>
      </c>
      <c r="AH304" s="12"/>
      <c r="AI304" s="12">
        <f t="shared" si="163"/>
        <v>30.744196428571424</v>
      </c>
      <c r="AJ304" s="12">
        <f t="shared" si="130"/>
        <v>2.0153571428571424</v>
      </c>
      <c r="AK304" s="37"/>
      <c r="AL304" s="37"/>
      <c r="AM304" s="12"/>
      <c r="AN304" s="12"/>
      <c r="AO304" s="12"/>
      <c r="AP304" s="37"/>
      <c r="AQ304" s="37"/>
    </row>
    <row r="305" spans="1:43">
      <c r="A305" s="21">
        <f t="shared" si="149"/>
        <v>248</v>
      </c>
      <c r="B305" s="27" t="s">
        <v>530</v>
      </c>
      <c r="C305" s="56" t="s">
        <v>527</v>
      </c>
      <c r="D305" s="82" t="s">
        <v>452</v>
      </c>
      <c r="E305" s="83" t="s">
        <v>79</v>
      </c>
      <c r="F305" s="84" t="s">
        <v>351</v>
      </c>
      <c r="G305" s="26">
        <f t="shared" si="165"/>
        <v>627</v>
      </c>
      <c r="H305" s="32">
        <f t="shared" si="126"/>
        <v>7524</v>
      </c>
      <c r="I305" s="32">
        <v>60</v>
      </c>
      <c r="J305" s="36"/>
      <c r="K305" s="32">
        <f t="shared" si="154"/>
        <v>627</v>
      </c>
      <c r="L305" s="32">
        <v>300</v>
      </c>
      <c r="M305" s="37"/>
      <c r="N305" s="24">
        <v>125</v>
      </c>
      <c r="O305" s="24"/>
      <c r="P305" s="12">
        <f t="shared" si="144"/>
        <v>631.70249999999999</v>
      </c>
      <c r="Q305" s="40"/>
      <c r="R305" s="12">
        <f>P305/13</f>
        <v>48.592500000000001</v>
      </c>
      <c r="S305" s="12"/>
      <c r="T305" s="12"/>
      <c r="U305" s="12">
        <f t="shared" si="160"/>
        <v>611.32499999999993</v>
      </c>
      <c r="V305" s="12">
        <f t="shared" si="128"/>
        <v>47.024999999999991</v>
      </c>
      <c r="W305" s="12"/>
      <c r="X305" s="12"/>
      <c r="Y305" s="12">
        <f t="shared" si="164"/>
        <v>1243.0274999999999</v>
      </c>
      <c r="Z305" s="12">
        <f t="shared" si="162"/>
        <v>81.510000000000005</v>
      </c>
      <c r="AA305" s="12">
        <f t="shared" si="147"/>
        <v>6.2700000000000005</v>
      </c>
      <c r="AB305" s="12">
        <f t="shared" si="148"/>
        <v>201.53571428571425</v>
      </c>
      <c r="AC305" s="12"/>
      <c r="AD305" s="12"/>
      <c r="AE305" s="12">
        <f t="shared" si="150"/>
        <v>15.619017857142854</v>
      </c>
      <c r="AF305" s="12"/>
      <c r="AG305" s="12">
        <f t="shared" si="129"/>
        <v>15.115178571428569</v>
      </c>
      <c r="AH305" s="12"/>
      <c r="AI305" s="12">
        <f t="shared" si="163"/>
        <v>30.744196428571424</v>
      </c>
      <c r="AJ305" s="12">
        <f t="shared" si="130"/>
        <v>2.0153571428571424</v>
      </c>
      <c r="AK305" s="37"/>
      <c r="AL305" s="37"/>
      <c r="AM305" s="12"/>
      <c r="AN305" s="12"/>
      <c r="AO305" s="12"/>
      <c r="AP305" s="37"/>
      <c r="AQ305" s="37"/>
    </row>
    <row r="306" spans="1:43">
      <c r="A306" s="21">
        <f t="shared" si="149"/>
        <v>249</v>
      </c>
      <c r="B306" s="27" t="s">
        <v>531</v>
      </c>
      <c r="C306" s="56" t="s">
        <v>527</v>
      </c>
      <c r="D306" s="82" t="s">
        <v>452</v>
      </c>
      <c r="E306" s="83" t="s">
        <v>79</v>
      </c>
      <c r="F306" s="84" t="s">
        <v>351</v>
      </c>
      <c r="G306" s="26">
        <f t="shared" si="165"/>
        <v>627</v>
      </c>
      <c r="H306" s="32">
        <f t="shared" si="126"/>
        <v>7524</v>
      </c>
      <c r="I306" s="32">
        <v>60</v>
      </c>
      <c r="J306" s="36"/>
      <c r="K306" s="32">
        <f t="shared" si="154"/>
        <v>627</v>
      </c>
      <c r="L306" s="32">
        <v>300</v>
      </c>
      <c r="M306" s="37"/>
      <c r="N306" s="24">
        <v>125</v>
      </c>
      <c r="O306" s="24"/>
      <c r="P306" s="12">
        <f t="shared" si="144"/>
        <v>631.70249999999999</v>
      </c>
      <c r="Q306" s="40"/>
      <c r="R306" s="12">
        <f>P306/13</f>
        <v>48.592500000000001</v>
      </c>
      <c r="S306" s="12"/>
      <c r="T306" s="12"/>
      <c r="U306" s="12">
        <f>G306*0.075*13</f>
        <v>611.32499999999993</v>
      </c>
      <c r="V306" s="12">
        <f t="shared" si="128"/>
        <v>47.024999999999991</v>
      </c>
      <c r="W306" s="12"/>
      <c r="X306" s="12"/>
      <c r="Y306" s="12">
        <f t="shared" si="164"/>
        <v>1243.0274999999999</v>
      </c>
      <c r="Z306" s="12">
        <f>G306*0.01*13</f>
        <v>81.510000000000005</v>
      </c>
      <c r="AA306" s="12">
        <f t="shared" si="147"/>
        <v>6.2700000000000005</v>
      </c>
      <c r="AB306" s="12">
        <f>G306/30/7*1.5*45</f>
        <v>201.53571428571425</v>
      </c>
      <c r="AC306" s="12"/>
      <c r="AD306" s="12"/>
      <c r="AE306" s="12">
        <f t="shared" si="150"/>
        <v>15.619017857142854</v>
      </c>
      <c r="AF306" s="12"/>
      <c r="AG306" s="12">
        <f t="shared" si="129"/>
        <v>15.115178571428569</v>
      </c>
      <c r="AH306" s="12"/>
      <c r="AI306" s="12">
        <f t="shared" si="163"/>
        <v>30.744196428571424</v>
      </c>
      <c r="AJ306" s="12">
        <f t="shared" si="130"/>
        <v>2.0153571428571424</v>
      </c>
      <c r="AK306" s="37"/>
      <c r="AL306" s="37"/>
      <c r="AM306" s="12"/>
      <c r="AN306" s="12"/>
      <c r="AO306" s="12"/>
      <c r="AP306" s="37"/>
      <c r="AQ306" s="37"/>
    </row>
    <row r="307" spans="1:43">
      <c r="A307" s="21">
        <f t="shared" si="149"/>
        <v>250</v>
      </c>
      <c r="B307" s="27" t="s">
        <v>532</v>
      </c>
      <c r="C307" s="56" t="s">
        <v>527</v>
      </c>
      <c r="D307" s="82" t="s">
        <v>452</v>
      </c>
      <c r="E307" s="83" t="s">
        <v>79</v>
      </c>
      <c r="F307" s="84" t="s">
        <v>351</v>
      </c>
      <c r="G307" s="26">
        <f t="shared" si="165"/>
        <v>627</v>
      </c>
      <c r="H307" s="32">
        <f t="shared" si="126"/>
        <v>7524</v>
      </c>
      <c r="I307" s="32">
        <v>60</v>
      </c>
      <c r="J307" s="36"/>
      <c r="K307" s="32">
        <f t="shared" si="154"/>
        <v>627</v>
      </c>
      <c r="L307" s="32">
        <v>300</v>
      </c>
      <c r="M307" s="37"/>
      <c r="N307" s="24">
        <v>125</v>
      </c>
      <c r="O307" s="24"/>
      <c r="P307" s="12">
        <f t="shared" si="144"/>
        <v>631.70249999999999</v>
      </c>
      <c r="Q307" s="40"/>
      <c r="R307" s="12">
        <f>P307/13</f>
        <v>48.592500000000001</v>
      </c>
      <c r="S307" s="12"/>
      <c r="T307" s="12"/>
      <c r="U307" s="12">
        <f>G307*0.075*13</f>
        <v>611.32499999999993</v>
      </c>
      <c r="V307" s="12">
        <f t="shared" si="128"/>
        <v>47.024999999999991</v>
      </c>
      <c r="W307" s="12"/>
      <c r="X307" s="12"/>
      <c r="Y307" s="12">
        <f t="shared" si="164"/>
        <v>1243.0274999999999</v>
      </c>
      <c r="Z307" s="12">
        <f>G307*0.01*13</f>
        <v>81.510000000000005</v>
      </c>
      <c r="AA307" s="12">
        <f t="shared" si="147"/>
        <v>6.2700000000000005</v>
      </c>
      <c r="AB307" s="12">
        <f>G307/30/7*1.5*45</f>
        <v>201.53571428571425</v>
      </c>
      <c r="AC307" s="12"/>
      <c r="AD307" s="12"/>
      <c r="AE307" s="12">
        <f t="shared" si="150"/>
        <v>15.619017857142854</v>
      </c>
      <c r="AF307" s="12"/>
      <c r="AG307" s="12">
        <f t="shared" si="129"/>
        <v>15.115178571428569</v>
      </c>
      <c r="AH307" s="12"/>
      <c r="AI307" s="12">
        <f t="shared" si="163"/>
        <v>30.744196428571424</v>
      </c>
      <c r="AJ307" s="12">
        <f t="shared" si="130"/>
        <v>2.0153571428571424</v>
      </c>
      <c r="AK307" s="37"/>
      <c r="AL307" s="37"/>
      <c r="AM307" s="12"/>
      <c r="AN307" s="12"/>
      <c r="AO307" s="12"/>
      <c r="AP307" s="37"/>
      <c r="AQ307" s="37"/>
    </row>
    <row r="308" spans="1:43">
      <c r="A308" s="21">
        <f t="shared" si="149"/>
        <v>251</v>
      </c>
      <c r="B308" s="27" t="s">
        <v>533</v>
      </c>
      <c r="C308" s="56" t="s">
        <v>527</v>
      </c>
      <c r="D308" s="82" t="s">
        <v>452</v>
      </c>
      <c r="E308" s="83" t="s">
        <v>79</v>
      </c>
      <c r="F308" s="84" t="s">
        <v>351</v>
      </c>
      <c r="G308" s="26">
        <f t="shared" si="165"/>
        <v>627</v>
      </c>
      <c r="H308" s="32">
        <f t="shared" si="126"/>
        <v>7524</v>
      </c>
      <c r="I308" s="32">
        <v>60</v>
      </c>
      <c r="J308" s="36"/>
      <c r="K308" s="32">
        <f t="shared" si="154"/>
        <v>627</v>
      </c>
      <c r="L308" s="32">
        <v>300</v>
      </c>
      <c r="M308" s="37"/>
      <c r="N308" s="24">
        <v>125</v>
      </c>
      <c r="O308" s="24"/>
      <c r="P308" s="12">
        <f t="shared" si="144"/>
        <v>631.70249999999999</v>
      </c>
      <c r="Q308" s="9">
        <f>P308/13</f>
        <v>48.592500000000001</v>
      </c>
      <c r="R308" s="12"/>
      <c r="S308" s="12"/>
      <c r="T308" s="12"/>
      <c r="U308" s="12">
        <f>G308*0.075*13</f>
        <v>611.32499999999993</v>
      </c>
      <c r="V308" s="12">
        <f t="shared" si="128"/>
        <v>47.024999999999991</v>
      </c>
      <c r="W308" s="12"/>
      <c r="X308" s="12"/>
      <c r="Y308" s="12">
        <f t="shared" si="164"/>
        <v>1243.0274999999999</v>
      </c>
      <c r="Z308" s="12">
        <f>G308*0.01*13</f>
        <v>81.510000000000005</v>
      </c>
      <c r="AA308" s="12">
        <f t="shared" si="147"/>
        <v>6.2700000000000005</v>
      </c>
      <c r="AB308" s="12">
        <f>G308/30/7*1.5*45</f>
        <v>201.53571428571425</v>
      </c>
      <c r="AC308" s="12"/>
      <c r="AD308" s="12"/>
      <c r="AE308" s="12">
        <f t="shared" si="150"/>
        <v>15.619017857142854</v>
      </c>
      <c r="AF308" s="12"/>
      <c r="AG308" s="12">
        <f t="shared" si="129"/>
        <v>15.115178571428569</v>
      </c>
      <c r="AH308" s="12"/>
      <c r="AI308" s="12">
        <f t="shared" si="163"/>
        <v>30.744196428571424</v>
      </c>
      <c r="AJ308" s="12">
        <f t="shared" si="130"/>
        <v>2.0153571428571424</v>
      </c>
      <c r="AK308" s="37"/>
      <c r="AL308" s="37"/>
      <c r="AM308" s="12"/>
      <c r="AN308" s="12"/>
      <c r="AO308" s="12"/>
      <c r="AP308" s="37"/>
      <c r="AQ308" s="37"/>
    </row>
    <row r="309" spans="1:43">
      <c r="A309" s="21">
        <f t="shared" si="149"/>
        <v>252</v>
      </c>
      <c r="B309" s="27" t="s">
        <v>534</v>
      </c>
      <c r="C309" s="56" t="s">
        <v>527</v>
      </c>
      <c r="D309" s="82" t="s">
        <v>452</v>
      </c>
      <c r="E309" s="83" t="s">
        <v>79</v>
      </c>
      <c r="F309" s="84" t="s">
        <v>351</v>
      </c>
      <c r="G309" s="26">
        <f t="shared" si="165"/>
        <v>627</v>
      </c>
      <c r="H309" s="32">
        <f t="shared" si="126"/>
        <v>7524</v>
      </c>
      <c r="I309" s="32">
        <v>60</v>
      </c>
      <c r="J309" s="36"/>
      <c r="K309" s="32">
        <f t="shared" si="154"/>
        <v>627</v>
      </c>
      <c r="L309" s="32">
        <v>300</v>
      </c>
      <c r="M309" s="37"/>
      <c r="N309" s="24">
        <v>125</v>
      </c>
      <c r="O309" s="24"/>
      <c r="P309" s="12">
        <f t="shared" si="144"/>
        <v>631.70249999999999</v>
      </c>
      <c r="Q309" s="40"/>
      <c r="R309" s="12">
        <f>P309/13</f>
        <v>48.592500000000001</v>
      </c>
      <c r="S309" s="12"/>
      <c r="T309" s="12"/>
      <c r="U309" s="12">
        <f>G309*0.075*13</f>
        <v>611.32499999999993</v>
      </c>
      <c r="V309" s="12">
        <f t="shared" si="128"/>
        <v>47.024999999999991</v>
      </c>
      <c r="W309" s="12"/>
      <c r="X309" s="12"/>
      <c r="Y309" s="12">
        <f t="shared" si="164"/>
        <v>1243.0274999999999</v>
      </c>
      <c r="Z309" s="12">
        <f>G309*0.01*13</f>
        <v>81.510000000000005</v>
      </c>
      <c r="AA309" s="12">
        <f t="shared" si="147"/>
        <v>6.2700000000000005</v>
      </c>
      <c r="AB309" s="12">
        <f>G309/30/7*1.5*45</f>
        <v>201.53571428571425</v>
      </c>
      <c r="AC309" s="12"/>
      <c r="AD309" s="12"/>
      <c r="AE309" s="12">
        <f t="shared" si="150"/>
        <v>15.619017857142854</v>
      </c>
      <c r="AF309" s="12"/>
      <c r="AG309" s="12">
        <f t="shared" si="129"/>
        <v>15.115178571428569</v>
      </c>
      <c r="AH309" s="12"/>
      <c r="AI309" s="12">
        <f t="shared" si="163"/>
        <v>30.744196428571424</v>
      </c>
      <c r="AJ309" s="12">
        <f t="shared" si="130"/>
        <v>2.0153571428571424</v>
      </c>
      <c r="AK309" s="37"/>
      <c r="AL309" s="37"/>
      <c r="AM309" s="12"/>
      <c r="AN309" s="12"/>
      <c r="AO309" s="12"/>
      <c r="AP309" s="37"/>
      <c r="AQ309" s="37"/>
    </row>
    <row r="310" spans="1:43">
      <c r="A310" s="21">
        <f t="shared" si="149"/>
        <v>253</v>
      </c>
      <c r="B310" s="27" t="s">
        <v>535</v>
      </c>
      <c r="C310" s="56" t="s">
        <v>527</v>
      </c>
      <c r="D310" s="82" t="s">
        <v>452</v>
      </c>
      <c r="E310" s="83" t="s">
        <v>79</v>
      </c>
      <c r="F310" s="84" t="s">
        <v>351</v>
      </c>
      <c r="G310" s="26">
        <f>547+30+50</f>
        <v>627</v>
      </c>
      <c r="H310" s="32">
        <f>G310*12</f>
        <v>7524</v>
      </c>
      <c r="I310" s="32">
        <v>60</v>
      </c>
      <c r="J310" s="36"/>
      <c r="K310" s="32">
        <f>G310</f>
        <v>627</v>
      </c>
      <c r="L310" s="32">
        <v>300</v>
      </c>
      <c r="M310" s="37"/>
      <c r="N310" s="24">
        <v>125</v>
      </c>
      <c r="O310" s="24"/>
      <c r="P310" s="12">
        <f>G310*0.0775*13</f>
        <v>631.70249999999999</v>
      </c>
      <c r="Q310" s="9">
        <f>P310/13</f>
        <v>48.592500000000001</v>
      </c>
      <c r="R310" s="12"/>
      <c r="S310" s="12"/>
      <c r="T310" s="12"/>
      <c r="U310" s="12">
        <f>G310*0.075*13</f>
        <v>611.32499999999993</v>
      </c>
      <c r="V310" s="12">
        <f>U310/13</f>
        <v>47.024999999999991</v>
      </c>
      <c r="W310" s="12"/>
      <c r="X310" s="12"/>
      <c r="Y310" s="12">
        <f>P310+S310+U310+W310</f>
        <v>1243.0274999999999</v>
      </c>
      <c r="Z310" s="12">
        <f>G310*0.01*13</f>
        <v>81.510000000000005</v>
      </c>
      <c r="AA310" s="12">
        <f>Z310/13</f>
        <v>6.2700000000000005</v>
      </c>
      <c r="AB310" s="12">
        <f>G310/30/7*1.5*45</f>
        <v>201.53571428571425</v>
      </c>
      <c r="AC310" s="12"/>
      <c r="AD310" s="12"/>
      <c r="AE310" s="12">
        <f>AB310*0.0775</f>
        <v>15.619017857142854</v>
      </c>
      <c r="AF310" s="12"/>
      <c r="AG310" s="12">
        <f>AB310*0.075</f>
        <v>15.115178571428569</v>
      </c>
      <c r="AH310" s="12"/>
      <c r="AI310" s="12">
        <f t="shared" ref="AI310:AI316" si="166">AE310+AF310+AG310+AH310+0.01</f>
        <v>30.744196428571424</v>
      </c>
      <c r="AJ310" s="12">
        <f>AB310*0.01</f>
        <v>2.0153571428571424</v>
      </c>
      <c r="AK310" s="37"/>
      <c r="AL310" s="37"/>
      <c r="AM310" s="12"/>
      <c r="AN310" s="12"/>
      <c r="AO310" s="12"/>
      <c r="AP310" s="37"/>
      <c r="AQ310" s="37"/>
    </row>
    <row r="311" spans="1:43">
      <c r="A311" s="21">
        <f t="shared" si="149"/>
        <v>254</v>
      </c>
      <c r="B311" s="124"/>
      <c r="C311" s="56" t="s">
        <v>536</v>
      </c>
      <c r="D311" s="82" t="s">
        <v>452</v>
      </c>
      <c r="E311" s="83" t="s">
        <v>79</v>
      </c>
      <c r="F311" s="84" t="s">
        <v>351</v>
      </c>
      <c r="G311" s="26">
        <f t="shared" ref="G311:G316" si="167">467+30+50</f>
        <v>547</v>
      </c>
      <c r="H311" s="32">
        <f t="shared" si="126"/>
        <v>6564</v>
      </c>
      <c r="I311" s="32">
        <v>60</v>
      </c>
      <c r="J311" s="36"/>
      <c r="K311" s="32">
        <f t="shared" si="154"/>
        <v>547</v>
      </c>
      <c r="L311" s="32">
        <v>300</v>
      </c>
      <c r="M311" s="37"/>
      <c r="N311" s="24">
        <v>125</v>
      </c>
      <c r="O311" s="24"/>
      <c r="P311" s="12">
        <f t="shared" si="144"/>
        <v>551.10249999999996</v>
      </c>
      <c r="Q311" s="9">
        <f>P311/13</f>
        <v>42.392499999999998</v>
      </c>
      <c r="R311" s="12"/>
      <c r="S311" s="12"/>
      <c r="T311" s="12"/>
      <c r="U311" s="12">
        <f t="shared" si="160"/>
        <v>533.32499999999993</v>
      </c>
      <c r="V311" s="12">
        <f t="shared" si="128"/>
        <v>41.024999999999991</v>
      </c>
      <c r="W311" s="12"/>
      <c r="X311" s="12"/>
      <c r="Y311" s="12">
        <f t="shared" si="164"/>
        <v>1084.4274999999998</v>
      </c>
      <c r="Z311" s="12">
        <f t="shared" si="162"/>
        <v>71.11</v>
      </c>
      <c r="AA311" s="12">
        <f t="shared" si="147"/>
        <v>5.47</v>
      </c>
      <c r="AB311" s="12">
        <f t="shared" si="148"/>
        <v>175.82142857142858</v>
      </c>
      <c r="AC311" s="12">
        <v>113.43</v>
      </c>
      <c r="AD311" s="12">
        <f>AB311-AC311</f>
        <v>62.391428571428577</v>
      </c>
      <c r="AE311" s="12">
        <f t="shared" si="150"/>
        <v>13.626160714285716</v>
      </c>
      <c r="AF311" s="12"/>
      <c r="AG311" s="12">
        <f t="shared" si="129"/>
        <v>13.186607142857143</v>
      </c>
      <c r="AH311" s="12"/>
      <c r="AI311" s="12">
        <f t="shared" si="166"/>
        <v>26.82276785714286</v>
      </c>
      <c r="AJ311" s="12">
        <f t="shared" si="130"/>
        <v>1.758214285714286</v>
      </c>
      <c r="AK311" s="37"/>
      <c r="AL311" s="37"/>
      <c r="AM311" s="12"/>
      <c r="AN311" s="12"/>
      <c r="AO311" s="12"/>
      <c r="AP311" s="37"/>
      <c r="AQ311" s="37"/>
    </row>
    <row r="312" spans="1:43">
      <c r="A312" s="21">
        <f t="shared" si="149"/>
        <v>255</v>
      </c>
      <c r="B312" s="27" t="s">
        <v>537</v>
      </c>
      <c r="C312" s="56" t="s">
        <v>536</v>
      </c>
      <c r="D312" s="82" t="s">
        <v>452</v>
      </c>
      <c r="E312" s="83" t="s">
        <v>79</v>
      </c>
      <c r="F312" s="84" t="s">
        <v>351</v>
      </c>
      <c r="G312" s="26">
        <f t="shared" si="167"/>
        <v>547</v>
      </c>
      <c r="H312" s="32">
        <f t="shared" si="126"/>
        <v>6564</v>
      </c>
      <c r="I312" s="32">
        <v>60</v>
      </c>
      <c r="J312" s="36"/>
      <c r="K312" s="32">
        <f t="shared" si="154"/>
        <v>547</v>
      </c>
      <c r="L312" s="32">
        <v>300</v>
      </c>
      <c r="M312" s="37"/>
      <c r="N312" s="24">
        <v>125</v>
      </c>
      <c r="O312" s="24"/>
      <c r="P312" s="12">
        <f t="shared" si="144"/>
        <v>551.10249999999996</v>
      </c>
      <c r="Q312" s="9"/>
      <c r="R312" s="12">
        <f>P312/13</f>
        <v>42.392499999999998</v>
      </c>
      <c r="S312" s="12"/>
      <c r="T312" s="12"/>
      <c r="U312" s="12">
        <f t="shared" si="160"/>
        <v>533.32499999999993</v>
      </c>
      <c r="V312" s="12">
        <f t="shared" si="128"/>
        <v>41.024999999999991</v>
      </c>
      <c r="W312" s="12"/>
      <c r="X312" s="12"/>
      <c r="Y312" s="12">
        <f t="shared" si="164"/>
        <v>1084.4274999999998</v>
      </c>
      <c r="Z312" s="12">
        <f t="shared" si="162"/>
        <v>71.11</v>
      </c>
      <c r="AA312" s="12">
        <f t="shared" si="147"/>
        <v>5.47</v>
      </c>
      <c r="AB312" s="12">
        <f t="shared" si="148"/>
        <v>175.82142857142858</v>
      </c>
      <c r="AC312" s="12"/>
      <c r="AD312" s="12"/>
      <c r="AE312" s="12">
        <f t="shared" si="150"/>
        <v>13.626160714285716</v>
      </c>
      <c r="AF312" s="12"/>
      <c r="AG312" s="12">
        <f t="shared" si="129"/>
        <v>13.186607142857143</v>
      </c>
      <c r="AH312" s="12"/>
      <c r="AI312" s="12">
        <f t="shared" si="166"/>
        <v>26.82276785714286</v>
      </c>
      <c r="AJ312" s="12">
        <f t="shared" si="130"/>
        <v>1.758214285714286</v>
      </c>
      <c r="AK312" s="37"/>
      <c r="AL312" s="37"/>
      <c r="AM312" s="12"/>
      <c r="AN312" s="12"/>
      <c r="AO312" s="12"/>
      <c r="AP312" s="37"/>
      <c r="AQ312" s="37"/>
    </row>
    <row r="313" spans="1:43">
      <c r="A313" s="21">
        <f t="shared" si="149"/>
        <v>256</v>
      </c>
      <c r="B313" s="27" t="s">
        <v>538</v>
      </c>
      <c r="C313" s="56" t="s">
        <v>536</v>
      </c>
      <c r="D313" s="82" t="s">
        <v>452</v>
      </c>
      <c r="E313" s="83" t="s">
        <v>79</v>
      </c>
      <c r="F313" s="84" t="s">
        <v>351</v>
      </c>
      <c r="G313" s="26">
        <f t="shared" si="167"/>
        <v>547</v>
      </c>
      <c r="H313" s="32">
        <f t="shared" ref="H313:H325" si="168">G313*12</f>
        <v>6564</v>
      </c>
      <c r="I313" s="32">
        <v>60</v>
      </c>
      <c r="J313" s="36"/>
      <c r="K313" s="32">
        <f t="shared" si="154"/>
        <v>547</v>
      </c>
      <c r="L313" s="32">
        <v>300</v>
      </c>
      <c r="M313" s="37"/>
      <c r="N313" s="24">
        <v>125</v>
      </c>
      <c r="O313" s="24"/>
      <c r="P313" s="12">
        <f t="shared" si="144"/>
        <v>551.10249999999996</v>
      </c>
      <c r="Q313" s="40"/>
      <c r="R313" s="12">
        <f>P313/13</f>
        <v>42.392499999999998</v>
      </c>
      <c r="S313" s="12"/>
      <c r="T313" s="12"/>
      <c r="U313" s="12">
        <f t="shared" si="160"/>
        <v>533.32499999999993</v>
      </c>
      <c r="V313" s="12">
        <f t="shared" si="128"/>
        <v>41.024999999999991</v>
      </c>
      <c r="W313" s="12"/>
      <c r="X313" s="12"/>
      <c r="Y313" s="12">
        <f t="shared" si="164"/>
        <v>1084.4274999999998</v>
      </c>
      <c r="Z313" s="12">
        <f t="shared" si="162"/>
        <v>71.11</v>
      </c>
      <c r="AA313" s="12">
        <f t="shared" si="147"/>
        <v>5.47</v>
      </c>
      <c r="AB313" s="12">
        <f>G313/30/7*1.5*45</f>
        <v>175.82142857142858</v>
      </c>
      <c r="AC313" s="12"/>
      <c r="AD313" s="12"/>
      <c r="AE313" s="12">
        <f t="shared" si="150"/>
        <v>13.626160714285716</v>
      </c>
      <c r="AF313" s="12"/>
      <c r="AG313" s="12">
        <f>AB313*0.075</f>
        <v>13.186607142857143</v>
      </c>
      <c r="AH313" s="12"/>
      <c r="AI313" s="12">
        <f t="shared" si="166"/>
        <v>26.82276785714286</v>
      </c>
      <c r="AJ313" s="12">
        <f>AB313*0.01</f>
        <v>1.758214285714286</v>
      </c>
      <c r="AK313" s="38"/>
      <c r="AL313" s="38"/>
      <c r="AM313" s="12"/>
      <c r="AN313" s="12"/>
      <c r="AO313" s="12"/>
      <c r="AP313" s="38"/>
      <c r="AQ313" s="37"/>
    </row>
    <row r="314" spans="1:43">
      <c r="A314" s="21">
        <f>A313+1</f>
        <v>257</v>
      </c>
      <c r="B314" s="27" t="s">
        <v>539</v>
      </c>
      <c r="C314" s="56" t="s">
        <v>536</v>
      </c>
      <c r="D314" s="82" t="s">
        <v>452</v>
      </c>
      <c r="E314" s="83" t="s">
        <v>79</v>
      </c>
      <c r="F314" s="84" t="s">
        <v>351</v>
      </c>
      <c r="G314" s="26">
        <f t="shared" si="167"/>
        <v>547</v>
      </c>
      <c r="H314" s="32">
        <f t="shared" si="168"/>
        <v>6564</v>
      </c>
      <c r="I314" s="32">
        <v>60</v>
      </c>
      <c r="J314" s="36"/>
      <c r="K314" s="32">
        <f>G314</f>
        <v>547</v>
      </c>
      <c r="L314" s="32">
        <v>300</v>
      </c>
      <c r="M314" s="37"/>
      <c r="N314" s="24">
        <v>125</v>
      </c>
      <c r="O314" s="24"/>
      <c r="P314" s="12">
        <f>G314*0.0775*13</f>
        <v>551.10249999999996</v>
      </c>
      <c r="Q314" s="9">
        <f>P314/13</f>
        <v>42.392499999999998</v>
      </c>
      <c r="R314" s="12"/>
      <c r="S314" s="12"/>
      <c r="T314" s="12"/>
      <c r="U314" s="12">
        <f>G314*0.075*13</f>
        <v>533.32499999999993</v>
      </c>
      <c r="V314" s="12">
        <f>U314/13</f>
        <v>41.024999999999991</v>
      </c>
      <c r="W314" s="12"/>
      <c r="X314" s="12"/>
      <c r="Y314" s="12">
        <f t="shared" si="164"/>
        <v>1084.4274999999998</v>
      </c>
      <c r="Z314" s="12">
        <f>G314*0.01*13</f>
        <v>71.11</v>
      </c>
      <c r="AA314" s="12">
        <f>Z314/13</f>
        <v>5.47</v>
      </c>
      <c r="AB314" s="12">
        <f>G314/30/7*1.5*45</f>
        <v>175.82142857142858</v>
      </c>
      <c r="AC314" s="12">
        <v>113.43</v>
      </c>
      <c r="AD314" s="12">
        <f>AB314-AC314</f>
        <v>62.391428571428577</v>
      </c>
      <c r="AE314" s="12">
        <f>AB314*0.0775</f>
        <v>13.626160714285716</v>
      </c>
      <c r="AF314" s="12"/>
      <c r="AG314" s="12">
        <f>AB314*0.075</f>
        <v>13.186607142857143</v>
      </c>
      <c r="AH314" s="12"/>
      <c r="AI314" s="12">
        <f t="shared" si="166"/>
        <v>26.82276785714286</v>
      </c>
      <c r="AJ314" s="12">
        <f>AB314*0.01</f>
        <v>1.758214285714286</v>
      </c>
      <c r="AK314" s="37"/>
      <c r="AL314" s="37"/>
      <c r="AM314" s="12"/>
      <c r="AN314" s="12"/>
      <c r="AO314" s="12"/>
      <c r="AP314" s="37"/>
      <c r="AQ314" s="37"/>
    </row>
    <row r="315" spans="1:43">
      <c r="A315" s="21">
        <f>A314+1</f>
        <v>258</v>
      </c>
      <c r="B315" s="27" t="s">
        <v>540</v>
      </c>
      <c r="C315" s="56" t="s">
        <v>536</v>
      </c>
      <c r="D315" s="82" t="s">
        <v>452</v>
      </c>
      <c r="E315" s="83" t="s">
        <v>79</v>
      </c>
      <c r="F315" s="84" t="s">
        <v>351</v>
      </c>
      <c r="G315" s="26">
        <f t="shared" si="167"/>
        <v>547</v>
      </c>
      <c r="H315" s="32">
        <f t="shared" si="168"/>
        <v>6564</v>
      </c>
      <c r="I315" s="32">
        <v>60</v>
      </c>
      <c r="J315" s="36"/>
      <c r="K315" s="32">
        <f>G315</f>
        <v>547</v>
      </c>
      <c r="L315" s="32">
        <v>300</v>
      </c>
      <c r="M315" s="37"/>
      <c r="N315" s="24">
        <v>125</v>
      </c>
      <c r="O315" s="24"/>
      <c r="P315" s="12">
        <f>G315*0.0775*13</f>
        <v>551.10249999999996</v>
      </c>
      <c r="Q315" s="40"/>
      <c r="R315" s="12">
        <f>P315/13</f>
        <v>42.392499999999998</v>
      </c>
      <c r="S315" s="12"/>
      <c r="T315" s="12"/>
      <c r="U315" s="12">
        <f>G315*0.075*13</f>
        <v>533.32499999999993</v>
      </c>
      <c r="V315" s="12">
        <f>U315/13</f>
        <v>41.024999999999991</v>
      </c>
      <c r="W315" s="12"/>
      <c r="X315" s="12"/>
      <c r="Y315" s="12">
        <f t="shared" si="164"/>
        <v>1084.4274999999998</v>
      </c>
      <c r="Z315" s="12">
        <f>G315*0.01*13</f>
        <v>71.11</v>
      </c>
      <c r="AA315" s="12">
        <f>Z315/13</f>
        <v>5.47</v>
      </c>
      <c r="AB315" s="12">
        <f>G315/30/7*1.5*45</f>
        <v>175.82142857142858</v>
      </c>
      <c r="AC315" s="12">
        <v>113.43</v>
      </c>
      <c r="AD315" s="12">
        <f>AB315-AC315</f>
        <v>62.391428571428577</v>
      </c>
      <c r="AE315" s="12">
        <f>AB315*0.0775</f>
        <v>13.626160714285716</v>
      </c>
      <c r="AF315" s="12"/>
      <c r="AG315" s="12">
        <f>AB315*0.075</f>
        <v>13.186607142857143</v>
      </c>
      <c r="AH315" s="12"/>
      <c r="AI315" s="12">
        <f t="shared" si="166"/>
        <v>26.82276785714286</v>
      </c>
      <c r="AJ315" s="12">
        <f>AB315*0.01</f>
        <v>1.758214285714286</v>
      </c>
      <c r="AK315" s="37"/>
      <c r="AL315" s="37"/>
      <c r="AM315" s="12"/>
      <c r="AN315" s="12"/>
      <c r="AO315" s="12"/>
      <c r="AP315" s="37"/>
      <c r="AQ315" s="37"/>
    </row>
    <row r="316" spans="1:43">
      <c r="A316" s="21">
        <f t="shared" si="149"/>
        <v>259</v>
      </c>
      <c r="B316" s="27" t="s">
        <v>541</v>
      </c>
      <c r="C316" s="56" t="s">
        <v>536</v>
      </c>
      <c r="D316" s="82" t="s">
        <v>452</v>
      </c>
      <c r="E316" s="83" t="s">
        <v>79</v>
      </c>
      <c r="F316" s="84" t="s">
        <v>351</v>
      </c>
      <c r="G316" s="26">
        <f t="shared" si="167"/>
        <v>547</v>
      </c>
      <c r="H316" s="32">
        <f t="shared" si="168"/>
        <v>6564</v>
      </c>
      <c r="I316" s="32">
        <v>60</v>
      </c>
      <c r="J316" s="36"/>
      <c r="K316" s="32">
        <f>G316</f>
        <v>547</v>
      </c>
      <c r="L316" s="32">
        <v>300</v>
      </c>
      <c r="M316" s="37"/>
      <c r="N316" s="24">
        <v>125</v>
      </c>
      <c r="O316" s="24"/>
      <c r="P316" s="12">
        <f>G316*0.0775*13</f>
        <v>551.10249999999996</v>
      </c>
      <c r="Q316" s="40"/>
      <c r="R316" s="12">
        <f>P316/13</f>
        <v>42.392499999999998</v>
      </c>
      <c r="S316" s="12"/>
      <c r="T316" s="12"/>
      <c r="U316" s="12">
        <f>G316*0.075*13</f>
        <v>533.32499999999993</v>
      </c>
      <c r="V316" s="12">
        <f>U316/13</f>
        <v>41.024999999999991</v>
      </c>
      <c r="W316" s="12"/>
      <c r="X316" s="12"/>
      <c r="Y316" s="12">
        <f t="shared" si="164"/>
        <v>1084.4274999999998</v>
      </c>
      <c r="Z316" s="12">
        <f>G316*0.01*13</f>
        <v>71.11</v>
      </c>
      <c r="AA316" s="12">
        <f>Z316/13</f>
        <v>5.47</v>
      </c>
      <c r="AB316" s="12">
        <f>G316/30/7*1.5*45</f>
        <v>175.82142857142858</v>
      </c>
      <c r="AC316" s="12">
        <v>113.43</v>
      </c>
      <c r="AD316" s="12">
        <f>AB316-AC316</f>
        <v>62.391428571428577</v>
      </c>
      <c r="AE316" s="12">
        <f>AB316*0.0775</f>
        <v>13.626160714285716</v>
      </c>
      <c r="AF316" s="12"/>
      <c r="AG316" s="12">
        <f>AB316*0.075</f>
        <v>13.186607142857143</v>
      </c>
      <c r="AH316" s="12"/>
      <c r="AI316" s="12">
        <f t="shared" si="166"/>
        <v>26.82276785714286</v>
      </c>
      <c r="AJ316" s="12">
        <f>AB316*0.01</f>
        <v>1.758214285714286</v>
      </c>
      <c r="AK316" s="38"/>
      <c r="AL316" s="38"/>
      <c r="AM316" s="12"/>
      <c r="AN316" s="12"/>
      <c r="AO316" s="12"/>
      <c r="AP316" s="37"/>
      <c r="AQ316" s="37"/>
    </row>
    <row r="317" spans="1:43">
      <c r="A317" s="21">
        <f>A316+1</f>
        <v>260</v>
      </c>
      <c r="B317" s="108" t="s">
        <v>618</v>
      </c>
      <c r="C317" s="56" t="s">
        <v>542</v>
      </c>
      <c r="D317" s="82" t="s">
        <v>452</v>
      </c>
      <c r="E317" s="83" t="s">
        <v>79</v>
      </c>
      <c r="F317" s="84" t="s">
        <v>351</v>
      </c>
      <c r="G317" s="26">
        <f>417+50</f>
        <v>467</v>
      </c>
      <c r="H317" s="32">
        <f t="shared" si="168"/>
        <v>5604</v>
      </c>
      <c r="I317" s="32">
        <v>60</v>
      </c>
      <c r="J317" s="36"/>
      <c r="K317" s="32">
        <f t="shared" si="154"/>
        <v>467</v>
      </c>
      <c r="L317" s="32">
        <v>300</v>
      </c>
      <c r="M317" s="37"/>
      <c r="N317" s="24">
        <v>125</v>
      </c>
      <c r="O317" s="24"/>
      <c r="P317" s="12">
        <f t="shared" si="144"/>
        <v>470.50250000000005</v>
      </c>
      <c r="Q317" s="9">
        <f>P317/13</f>
        <v>36.192500000000003</v>
      </c>
      <c r="R317" s="12"/>
      <c r="S317" s="12"/>
      <c r="T317" s="12"/>
      <c r="U317" s="12">
        <f t="shared" si="160"/>
        <v>455.32499999999999</v>
      </c>
      <c r="V317" s="12">
        <f t="shared" si="128"/>
        <v>35.024999999999999</v>
      </c>
      <c r="W317" s="12"/>
      <c r="X317" s="12"/>
      <c r="Y317" s="12">
        <f t="shared" si="164"/>
        <v>925.8275000000001</v>
      </c>
      <c r="Z317" s="12">
        <f t="shared" si="162"/>
        <v>60.71</v>
      </c>
      <c r="AA317" s="12">
        <f t="shared" si="147"/>
        <v>4.67</v>
      </c>
      <c r="AB317" s="12">
        <f t="shared" si="148"/>
        <v>150.10714285714286</v>
      </c>
      <c r="AC317" s="12"/>
      <c r="AD317" s="12"/>
      <c r="AE317" s="12">
        <f t="shared" si="150"/>
        <v>11.633303571428572</v>
      </c>
      <c r="AF317" s="12"/>
      <c r="AG317" s="12">
        <f t="shared" ref="AG317:AG324" si="169">AB317*0.075</f>
        <v>11.258035714285715</v>
      </c>
      <c r="AH317" s="12"/>
      <c r="AI317" s="12">
        <f t="shared" ref="AI317:AI323" si="170">AE317+AF317+AG317+AH317</f>
        <v>22.891339285714288</v>
      </c>
      <c r="AJ317" s="12">
        <f t="shared" ref="AJ317:AJ324" si="171">AB317*0.01</f>
        <v>1.5010714285714286</v>
      </c>
      <c r="AK317" s="37"/>
      <c r="AL317" s="37"/>
      <c r="AM317" s="12"/>
      <c r="AN317" s="12"/>
      <c r="AO317" s="12"/>
      <c r="AP317" s="37"/>
      <c r="AQ317" s="37"/>
    </row>
    <row r="318" spans="1:43">
      <c r="A318" s="21">
        <f>A317+1</f>
        <v>261</v>
      </c>
      <c r="B318" s="27" t="s">
        <v>543</v>
      </c>
      <c r="C318" s="56" t="s">
        <v>542</v>
      </c>
      <c r="D318" s="82" t="s">
        <v>452</v>
      </c>
      <c r="E318" s="83" t="s">
        <v>79</v>
      </c>
      <c r="F318" s="84" t="s">
        <v>351</v>
      </c>
      <c r="G318" s="26">
        <f>417+50</f>
        <v>467</v>
      </c>
      <c r="H318" s="32">
        <f t="shared" si="168"/>
        <v>5604</v>
      </c>
      <c r="I318" s="32">
        <v>60</v>
      </c>
      <c r="J318" s="36"/>
      <c r="K318" s="32">
        <f t="shared" si="154"/>
        <v>467</v>
      </c>
      <c r="L318" s="32">
        <v>300</v>
      </c>
      <c r="M318" s="37"/>
      <c r="N318" s="24">
        <v>125</v>
      </c>
      <c r="O318" s="24"/>
      <c r="P318" s="12">
        <f t="shared" si="144"/>
        <v>470.50250000000005</v>
      </c>
      <c r="Q318" s="12"/>
      <c r="R318" s="12">
        <f>P318/13</f>
        <v>36.192500000000003</v>
      </c>
      <c r="S318" s="12"/>
      <c r="T318" s="12"/>
      <c r="U318" s="12">
        <f t="shared" si="160"/>
        <v>455.32499999999999</v>
      </c>
      <c r="V318" s="12">
        <f t="shared" ref="V318:V325" si="172">U318/13</f>
        <v>35.024999999999999</v>
      </c>
      <c r="W318" s="12"/>
      <c r="X318" s="12"/>
      <c r="Y318" s="12">
        <f t="shared" si="164"/>
        <v>925.8275000000001</v>
      </c>
      <c r="Z318" s="12">
        <f t="shared" si="162"/>
        <v>60.71</v>
      </c>
      <c r="AA318" s="12">
        <f t="shared" si="147"/>
        <v>4.67</v>
      </c>
      <c r="AB318" s="12">
        <f t="shared" si="148"/>
        <v>150.10714285714286</v>
      </c>
      <c r="AC318" s="12"/>
      <c r="AD318" s="12"/>
      <c r="AE318" s="12">
        <f t="shared" si="150"/>
        <v>11.633303571428572</v>
      </c>
      <c r="AF318" s="12"/>
      <c r="AG318" s="12">
        <f t="shared" si="169"/>
        <v>11.258035714285715</v>
      </c>
      <c r="AH318" s="12"/>
      <c r="AI318" s="12">
        <f t="shared" si="170"/>
        <v>22.891339285714288</v>
      </c>
      <c r="AJ318" s="12">
        <f t="shared" si="171"/>
        <v>1.5010714285714286</v>
      </c>
      <c r="AK318" s="37"/>
      <c r="AL318" s="37"/>
      <c r="AM318" s="12"/>
      <c r="AN318" s="12"/>
      <c r="AO318" s="12"/>
      <c r="AP318" s="37"/>
      <c r="AQ318" s="37"/>
    </row>
    <row r="319" spans="1:43">
      <c r="A319" s="21">
        <f t="shared" si="149"/>
        <v>262</v>
      </c>
      <c r="B319" s="27" t="s">
        <v>544</v>
      </c>
      <c r="C319" s="56" t="s">
        <v>542</v>
      </c>
      <c r="D319" s="82" t="s">
        <v>452</v>
      </c>
      <c r="E319" s="83" t="s">
        <v>79</v>
      </c>
      <c r="F319" s="84" t="s">
        <v>351</v>
      </c>
      <c r="G319" s="26">
        <f>417+50</f>
        <v>467</v>
      </c>
      <c r="H319" s="32">
        <f t="shared" si="168"/>
        <v>5604</v>
      </c>
      <c r="I319" s="32">
        <v>60</v>
      </c>
      <c r="J319" s="36"/>
      <c r="K319" s="32">
        <f>G319</f>
        <v>467</v>
      </c>
      <c r="L319" s="32">
        <v>300</v>
      </c>
      <c r="M319" s="37"/>
      <c r="N319" s="24">
        <v>125</v>
      </c>
      <c r="O319" s="24"/>
      <c r="P319" s="12">
        <f>G319*0.0775*13</f>
        <v>470.50250000000005</v>
      </c>
      <c r="Q319" s="40"/>
      <c r="R319" s="12">
        <f>P319/13</f>
        <v>36.192500000000003</v>
      </c>
      <c r="S319" s="12"/>
      <c r="T319" s="12"/>
      <c r="U319" s="12">
        <f>G319*0.075*13</f>
        <v>455.32499999999999</v>
      </c>
      <c r="V319" s="12">
        <f>U319/13</f>
        <v>35.024999999999999</v>
      </c>
      <c r="W319" s="12"/>
      <c r="X319" s="12"/>
      <c r="Y319" s="12">
        <f t="shared" si="164"/>
        <v>925.8275000000001</v>
      </c>
      <c r="Z319" s="12">
        <f>G319*0.01*13</f>
        <v>60.71</v>
      </c>
      <c r="AA319" s="12">
        <f>Z319/13</f>
        <v>4.67</v>
      </c>
      <c r="AB319" s="12">
        <f>G319/30/7*1.5*45</f>
        <v>150.10714285714286</v>
      </c>
      <c r="AC319" s="12"/>
      <c r="AD319" s="12"/>
      <c r="AE319" s="12">
        <f>AB319*0.0775</f>
        <v>11.633303571428572</v>
      </c>
      <c r="AF319" s="12"/>
      <c r="AG319" s="12">
        <f>AB319*0.075</f>
        <v>11.258035714285715</v>
      </c>
      <c r="AH319" s="12"/>
      <c r="AI319" s="12">
        <f>AE319+AF319+AG319+AH319</f>
        <v>22.891339285714288</v>
      </c>
      <c r="AJ319" s="12">
        <f>AB319*0.01</f>
        <v>1.5010714285714286</v>
      </c>
      <c r="AK319" s="37"/>
      <c r="AL319" s="37"/>
      <c r="AM319" s="12"/>
      <c r="AN319" s="12"/>
      <c r="AO319" s="12"/>
      <c r="AP319" s="37"/>
      <c r="AQ319" s="37"/>
    </row>
    <row r="320" spans="1:43">
      <c r="A320" s="21">
        <f t="shared" si="149"/>
        <v>263</v>
      </c>
      <c r="B320" s="27" t="s">
        <v>545</v>
      </c>
      <c r="C320" s="56" t="s">
        <v>542</v>
      </c>
      <c r="D320" s="82" t="s">
        <v>452</v>
      </c>
      <c r="E320" s="83" t="s">
        <v>79</v>
      </c>
      <c r="F320" s="84" t="s">
        <v>351</v>
      </c>
      <c r="G320" s="26">
        <f>417+50</f>
        <v>467</v>
      </c>
      <c r="H320" s="32">
        <f t="shared" si="168"/>
        <v>5604</v>
      </c>
      <c r="I320" s="32">
        <v>60</v>
      </c>
      <c r="J320" s="36"/>
      <c r="K320" s="32">
        <f>G320</f>
        <v>467</v>
      </c>
      <c r="L320" s="32">
        <v>300</v>
      </c>
      <c r="M320" s="37"/>
      <c r="N320" s="24">
        <v>125</v>
      </c>
      <c r="O320" s="24"/>
      <c r="P320" s="12">
        <f>G320*0.0775*13</f>
        <v>470.50250000000005</v>
      </c>
      <c r="Q320" s="9"/>
      <c r="R320" s="12">
        <f>P320/13</f>
        <v>36.192500000000003</v>
      </c>
      <c r="S320" s="12"/>
      <c r="T320" s="12"/>
      <c r="U320" s="12">
        <f>G320*0.075*13</f>
        <v>455.32499999999999</v>
      </c>
      <c r="V320" s="12">
        <f>U320/13</f>
        <v>35.024999999999999</v>
      </c>
      <c r="W320" s="12"/>
      <c r="X320" s="12"/>
      <c r="Y320" s="12">
        <f t="shared" si="164"/>
        <v>925.8275000000001</v>
      </c>
      <c r="Z320" s="12">
        <f>G320*0.01*13</f>
        <v>60.71</v>
      </c>
      <c r="AA320" s="12">
        <f>Z320/13</f>
        <v>4.67</v>
      </c>
      <c r="AB320" s="12">
        <f>G320/30/7*1.5*45</f>
        <v>150.10714285714286</v>
      </c>
      <c r="AC320" s="12">
        <v>174.78</v>
      </c>
      <c r="AD320" s="12"/>
      <c r="AE320" s="12">
        <f>AB320*0.0775</f>
        <v>11.633303571428572</v>
      </c>
      <c r="AF320" s="12"/>
      <c r="AG320" s="12">
        <f>AB320*0.075</f>
        <v>11.258035714285715</v>
      </c>
      <c r="AH320" s="12"/>
      <c r="AI320" s="12">
        <f t="shared" si="170"/>
        <v>22.891339285714288</v>
      </c>
      <c r="AJ320" s="12">
        <f>AB320*0.01</f>
        <v>1.5010714285714286</v>
      </c>
      <c r="AK320" s="37"/>
      <c r="AL320" s="37"/>
      <c r="AM320" s="12"/>
      <c r="AN320" s="12"/>
      <c r="AO320" s="12"/>
      <c r="AP320" s="37"/>
      <c r="AQ320" s="37"/>
    </row>
    <row r="321" spans="1:43">
      <c r="A321" s="21">
        <f t="shared" si="149"/>
        <v>264</v>
      </c>
      <c r="B321" s="119" t="s">
        <v>546</v>
      </c>
      <c r="C321" s="56" t="s">
        <v>547</v>
      </c>
      <c r="D321" s="82" t="s">
        <v>452</v>
      </c>
      <c r="E321" s="83" t="s">
        <v>79</v>
      </c>
      <c r="F321" s="84" t="s">
        <v>351</v>
      </c>
      <c r="G321" s="26">
        <f>417</f>
        <v>417</v>
      </c>
      <c r="H321" s="32">
        <f t="shared" si="168"/>
        <v>5004</v>
      </c>
      <c r="I321" s="32">
        <v>60</v>
      </c>
      <c r="J321" s="36"/>
      <c r="K321" s="32">
        <f>G321</f>
        <v>417</v>
      </c>
      <c r="L321" s="32">
        <v>300</v>
      </c>
      <c r="M321" s="37"/>
      <c r="N321" s="24">
        <v>125</v>
      </c>
      <c r="O321" s="24"/>
      <c r="P321" s="12">
        <f>G321*0.0775*13</f>
        <v>420.12750000000005</v>
      </c>
      <c r="Q321" s="9">
        <f>P321/13</f>
        <v>32.317500000000003</v>
      </c>
      <c r="R321" s="12"/>
      <c r="S321" s="12"/>
      <c r="T321" s="12"/>
      <c r="U321" s="12">
        <f>G321*0.075*13</f>
        <v>406.57499999999999</v>
      </c>
      <c r="V321" s="12">
        <f>U321/13</f>
        <v>31.274999999999999</v>
      </c>
      <c r="W321" s="12"/>
      <c r="X321" s="12"/>
      <c r="Y321" s="12">
        <f>P321+S321+U321+W321+0.01</f>
        <v>826.71250000000009</v>
      </c>
      <c r="Z321" s="12">
        <f>G321*0.01*13</f>
        <v>54.21</v>
      </c>
      <c r="AA321" s="12">
        <f>Z321/13</f>
        <v>4.17</v>
      </c>
      <c r="AB321" s="12">
        <f>G321/30/7*1.5*45</f>
        <v>134.03571428571428</v>
      </c>
      <c r="AC321" s="12">
        <v>138.29</v>
      </c>
      <c r="AD321" s="12"/>
      <c r="AE321" s="12">
        <f>AB321*0.0775</f>
        <v>10.387767857142856</v>
      </c>
      <c r="AF321" s="12"/>
      <c r="AG321" s="12">
        <f>AB321*0.075</f>
        <v>10.05267857142857</v>
      </c>
      <c r="AH321" s="12"/>
      <c r="AI321" s="12">
        <f>AE321+AF321+AG321+AH321</f>
        <v>20.440446428571427</v>
      </c>
      <c r="AJ321" s="12">
        <f>AB321*0.01</f>
        <v>1.3403571428571428</v>
      </c>
      <c r="AK321" s="37"/>
      <c r="AL321" s="37"/>
      <c r="AM321" s="12"/>
      <c r="AN321" s="12"/>
      <c r="AO321" s="12"/>
      <c r="AP321" s="37"/>
      <c r="AQ321" s="37"/>
    </row>
    <row r="322" spans="1:43">
      <c r="A322" s="21">
        <f t="shared" si="149"/>
        <v>265</v>
      </c>
      <c r="B322" s="27" t="s">
        <v>548</v>
      </c>
      <c r="C322" s="56" t="s">
        <v>549</v>
      </c>
      <c r="D322" s="82" t="s">
        <v>452</v>
      </c>
      <c r="E322" s="83" t="s">
        <v>79</v>
      </c>
      <c r="F322" s="84" t="s">
        <v>351</v>
      </c>
      <c r="G322" s="26">
        <f>547+30+50</f>
        <v>627</v>
      </c>
      <c r="H322" s="32">
        <f t="shared" si="168"/>
        <v>7524</v>
      </c>
      <c r="I322" s="32">
        <v>60</v>
      </c>
      <c r="J322" s="36"/>
      <c r="K322" s="32">
        <f t="shared" si="154"/>
        <v>627</v>
      </c>
      <c r="L322" s="32">
        <v>300</v>
      </c>
      <c r="M322" s="37"/>
      <c r="N322" s="24">
        <v>125</v>
      </c>
      <c r="O322" s="24"/>
      <c r="P322" s="12">
        <f t="shared" si="144"/>
        <v>631.70249999999999</v>
      </c>
      <c r="Q322" s="9">
        <f>P322/13</f>
        <v>48.592500000000001</v>
      </c>
      <c r="R322" s="12"/>
      <c r="S322" s="12"/>
      <c r="T322" s="12"/>
      <c r="U322" s="12">
        <f t="shared" si="160"/>
        <v>611.32499999999993</v>
      </c>
      <c r="V322" s="12">
        <f t="shared" si="172"/>
        <v>47.024999999999991</v>
      </c>
      <c r="W322" s="12"/>
      <c r="X322" s="12"/>
      <c r="Y322" s="12">
        <f t="shared" si="164"/>
        <v>1243.0274999999999</v>
      </c>
      <c r="Z322" s="12">
        <f t="shared" si="162"/>
        <v>81.510000000000005</v>
      </c>
      <c r="AA322" s="12">
        <f t="shared" si="147"/>
        <v>6.2700000000000005</v>
      </c>
      <c r="AB322" s="12">
        <f t="shared" si="148"/>
        <v>201.53571428571425</v>
      </c>
      <c r="AC322" s="12"/>
      <c r="AD322" s="12"/>
      <c r="AE322" s="12">
        <f t="shared" si="150"/>
        <v>15.619017857142854</v>
      </c>
      <c r="AF322" s="12"/>
      <c r="AG322" s="12">
        <f t="shared" si="169"/>
        <v>15.115178571428569</v>
      </c>
      <c r="AH322" s="12"/>
      <c r="AI322" s="12">
        <f>AE322+AF322+AG322+AH322+0.01</f>
        <v>30.744196428571424</v>
      </c>
      <c r="AJ322" s="12">
        <f t="shared" si="171"/>
        <v>2.0153571428571424</v>
      </c>
      <c r="AK322" s="38"/>
      <c r="AL322" s="38"/>
      <c r="AM322" s="12"/>
      <c r="AN322" s="12"/>
      <c r="AO322" s="12"/>
      <c r="AP322" s="38"/>
      <c r="AQ322" s="37"/>
    </row>
    <row r="323" spans="1:43">
      <c r="A323" s="21">
        <f t="shared" si="149"/>
        <v>266</v>
      </c>
      <c r="B323" s="27" t="s">
        <v>550</v>
      </c>
      <c r="C323" s="56" t="s">
        <v>551</v>
      </c>
      <c r="D323" s="82" t="s">
        <v>452</v>
      </c>
      <c r="E323" s="83" t="s">
        <v>79</v>
      </c>
      <c r="F323" s="84" t="s">
        <v>351</v>
      </c>
      <c r="G323" s="26">
        <f>467+30+50</f>
        <v>547</v>
      </c>
      <c r="H323" s="32">
        <f t="shared" si="168"/>
        <v>6564</v>
      </c>
      <c r="I323" s="32">
        <v>60</v>
      </c>
      <c r="J323" s="36"/>
      <c r="K323" s="32">
        <f>G323</f>
        <v>547</v>
      </c>
      <c r="L323" s="32">
        <v>300</v>
      </c>
      <c r="M323" s="37"/>
      <c r="N323" s="24">
        <v>125</v>
      </c>
      <c r="O323" s="24"/>
      <c r="P323" s="12"/>
      <c r="Q323" s="12"/>
      <c r="R323" s="12"/>
      <c r="S323" s="12"/>
      <c r="T323" s="12"/>
      <c r="U323" s="12">
        <f t="shared" si="160"/>
        <v>533.32499999999993</v>
      </c>
      <c r="V323" s="12">
        <f t="shared" si="172"/>
        <v>41.024999999999991</v>
      </c>
      <c r="W323" s="12">
        <f>G323*0.06*13</f>
        <v>426.66</v>
      </c>
      <c r="X323" s="12">
        <f>W323/12</f>
        <v>35.555</v>
      </c>
      <c r="Y323" s="12">
        <f t="shared" si="164"/>
        <v>959.9849999999999</v>
      </c>
      <c r="Z323" s="12">
        <f t="shared" si="162"/>
        <v>71.11</v>
      </c>
      <c r="AA323" s="12">
        <f t="shared" si="147"/>
        <v>5.47</v>
      </c>
      <c r="AB323" s="12">
        <f t="shared" si="148"/>
        <v>175.82142857142858</v>
      </c>
      <c r="AC323" s="12"/>
      <c r="AD323" s="12"/>
      <c r="AE323" s="12"/>
      <c r="AF323" s="12"/>
      <c r="AG323" s="12">
        <f t="shared" si="169"/>
        <v>13.186607142857143</v>
      </c>
      <c r="AH323" s="12">
        <f>AB323*0.06</f>
        <v>10.549285714285714</v>
      </c>
      <c r="AI323" s="12">
        <f t="shared" si="170"/>
        <v>23.735892857142858</v>
      </c>
      <c r="AJ323" s="12">
        <f t="shared" si="171"/>
        <v>1.758214285714286</v>
      </c>
      <c r="AK323" s="37"/>
      <c r="AL323" s="37"/>
      <c r="AM323" s="12"/>
      <c r="AN323" s="12"/>
      <c r="AO323" s="12"/>
      <c r="AP323" s="37"/>
      <c r="AQ323" s="37"/>
    </row>
    <row r="324" spans="1:43">
      <c r="A324" s="21">
        <f t="shared" si="149"/>
        <v>267</v>
      </c>
      <c r="B324" s="27" t="s">
        <v>552</v>
      </c>
      <c r="C324" s="56" t="s">
        <v>551</v>
      </c>
      <c r="D324" s="82" t="s">
        <v>452</v>
      </c>
      <c r="E324" s="83" t="s">
        <v>79</v>
      </c>
      <c r="F324" s="84" t="s">
        <v>351</v>
      </c>
      <c r="G324" s="26">
        <f>467+30+50</f>
        <v>547</v>
      </c>
      <c r="H324" s="32">
        <f t="shared" si="168"/>
        <v>6564</v>
      </c>
      <c r="I324" s="32">
        <v>60</v>
      </c>
      <c r="J324" s="36"/>
      <c r="K324" s="32">
        <f>G324</f>
        <v>547</v>
      </c>
      <c r="L324" s="32">
        <v>300</v>
      </c>
      <c r="M324" s="37"/>
      <c r="N324" s="24">
        <v>125</v>
      </c>
      <c r="O324" s="24"/>
      <c r="P324" s="12">
        <f t="shared" si="144"/>
        <v>551.10249999999996</v>
      </c>
      <c r="Q324" s="12"/>
      <c r="R324" s="12">
        <f>P324/13</f>
        <v>42.392499999999998</v>
      </c>
      <c r="S324" s="12"/>
      <c r="T324" s="12"/>
      <c r="U324" s="12">
        <f t="shared" si="160"/>
        <v>533.32499999999993</v>
      </c>
      <c r="V324" s="12">
        <f t="shared" si="172"/>
        <v>41.024999999999991</v>
      </c>
      <c r="W324" s="12"/>
      <c r="X324" s="12"/>
      <c r="Y324" s="12">
        <f t="shared" si="164"/>
        <v>1084.4274999999998</v>
      </c>
      <c r="Z324" s="12">
        <f t="shared" si="162"/>
        <v>71.11</v>
      </c>
      <c r="AA324" s="12">
        <f t="shared" si="147"/>
        <v>5.47</v>
      </c>
      <c r="AB324" s="12">
        <f>G324/30/7*1.5*45</f>
        <v>175.82142857142858</v>
      </c>
      <c r="AC324" s="12"/>
      <c r="AD324" s="12"/>
      <c r="AE324" s="12">
        <f>AB324*0.0775</f>
        <v>13.626160714285716</v>
      </c>
      <c r="AF324" s="12"/>
      <c r="AG324" s="12">
        <f t="shared" si="169"/>
        <v>13.186607142857143</v>
      </c>
      <c r="AH324" s="12"/>
      <c r="AI324" s="12">
        <f>AE324+AF324+AG324+AH324+0.01</f>
        <v>26.82276785714286</v>
      </c>
      <c r="AJ324" s="12">
        <f t="shared" si="171"/>
        <v>1.758214285714286</v>
      </c>
      <c r="AK324" s="37"/>
      <c r="AL324" s="37"/>
      <c r="AM324" s="12"/>
      <c r="AN324" s="12"/>
      <c r="AO324" s="12"/>
      <c r="AP324" s="37"/>
      <c r="AQ324" s="37"/>
    </row>
    <row r="325" spans="1:43">
      <c r="A325" s="21">
        <f t="shared" si="149"/>
        <v>268</v>
      </c>
      <c r="B325" s="27" t="s">
        <v>553</v>
      </c>
      <c r="C325" s="56" t="s">
        <v>554</v>
      </c>
      <c r="D325" s="82" t="s">
        <v>452</v>
      </c>
      <c r="E325" s="83" t="s">
        <v>79</v>
      </c>
      <c r="F325" s="84" t="s">
        <v>351</v>
      </c>
      <c r="G325" s="26">
        <f>417+30+50</f>
        <v>497</v>
      </c>
      <c r="H325" s="32">
        <f t="shared" si="168"/>
        <v>5964</v>
      </c>
      <c r="I325" s="32">
        <v>60</v>
      </c>
      <c r="J325" s="36"/>
      <c r="K325" s="32">
        <f>G325</f>
        <v>497</v>
      </c>
      <c r="L325" s="32">
        <v>300</v>
      </c>
      <c r="M325" s="37"/>
      <c r="N325" s="24">
        <v>125</v>
      </c>
      <c r="O325" s="24"/>
      <c r="P325" s="12">
        <f t="shared" si="144"/>
        <v>500.72749999999996</v>
      </c>
      <c r="Q325" s="9">
        <f>P325/13</f>
        <v>38.517499999999998</v>
      </c>
      <c r="S325" s="12"/>
      <c r="T325" s="12"/>
      <c r="U325" s="12">
        <f>G325*0.075*13</f>
        <v>484.57499999999999</v>
      </c>
      <c r="V325" s="12">
        <f t="shared" si="172"/>
        <v>37.274999999999999</v>
      </c>
      <c r="W325" s="12"/>
      <c r="X325" s="12"/>
      <c r="Y325" s="12">
        <f>P325+S325+U325+W325+0.01</f>
        <v>985.3125</v>
      </c>
      <c r="Z325" s="12">
        <f>G325*0.01*13</f>
        <v>64.61</v>
      </c>
      <c r="AA325" s="12">
        <f t="shared" si="147"/>
        <v>4.97</v>
      </c>
      <c r="AB325" s="12">
        <f>G325/30/7*1.5*45</f>
        <v>159.75</v>
      </c>
      <c r="AC325" s="12"/>
      <c r="AD325" s="12"/>
      <c r="AE325" s="12">
        <f>AB325*0.0775</f>
        <v>12.380625</v>
      </c>
      <c r="AF325" s="12"/>
      <c r="AG325" s="12">
        <f>AB325*0.075</f>
        <v>11.981249999999999</v>
      </c>
      <c r="AH325" s="12"/>
      <c r="AI325" s="12">
        <f>AE325+AF325+AG325+AH325</f>
        <v>24.361874999999998</v>
      </c>
      <c r="AJ325" s="12">
        <f>AB325*0.01</f>
        <v>1.5975000000000001</v>
      </c>
      <c r="AK325" s="37"/>
      <c r="AL325" s="37"/>
      <c r="AM325" s="12"/>
      <c r="AN325" s="12"/>
      <c r="AO325" s="12"/>
      <c r="AP325" s="37"/>
      <c r="AQ325" s="37"/>
    </row>
    <row r="326" spans="1:43">
      <c r="A326" s="21"/>
      <c r="B326" s="15"/>
      <c r="C326" s="85" t="s">
        <v>555</v>
      </c>
      <c r="D326" s="82"/>
      <c r="E326" s="83"/>
      <c r="F326" s="84"/>
      <c r="G326" s="26"/>
      <c r="H326" s="32"/>
      <c r="I326" s="32"/>
      <c r="J326" s="36"/>
      <c r="K326" s="32"/>
      <c r="L326" s="32"/>
      <c r="M326" s="37"/>
      <c r="N326" s="24"/>
      <c r="O326" s="9"/>
      <c r="P326" s="12"/>
      <c r="Q326" s="12"/>
      <c r="R326" s="20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37"/>
      <c r="AL326" s="37"/>
      <c r="AM326" s="37"/>
      <c r="AN326" s="37"/>
      <c r="AO326" s="37"/>
      <c r="AP326" s="37"/>
      <c r="AQ326" s="37"/>
    </row>
    <row r="327" spans="1:43">
      <c r="A327" s="21">
        <f>A325+1</f>
        <v>269</v>
      </c>
      <c r="B327" s="27" t="s">
        <v>556</v>
      </c>
      <c r="C327" s="56" t="s">
        <v>557</v>
      </c>
      <c r="D327" s="82" t="s">
        <v>452</v>
      </c>
      <c r="E327" s="83" t="s">
        <v>79</v>
      </c>
      <c r="F327" s="84" t="s">
        <v>351</v>
      </c>
      <c r="G327" s="26">
        <f>645+30+50</f>
        <v>725</v>
      </c>
      <c r="H327" s="32">
        <f>G327*12</f>
        <v>8700</v>
      </c>
      <c r="I327" s="32">
        <v>60</v>
      </c>
      <c r="J327" s="36"/>
      <c r="K327" s="32">
        <f>G327</f>
        <v>725</v>
      </c>
      <c r="L327" s="32">
        <v>300</v>
      </c>
      <c r="M327" s="37"/>
      <c r="N327" s="24">
        <v>125</v>
      </c>
      <c r="O327" s="24"/>
      <c r="P327" s="12">
        <f>G327*0.0775*13</f>
        <v>730.4375</v>
      </c>
      <c r="Q327" s="9">
        <f>P327/13</f>
        <v>56.1875</v>
      </c>
      <c r="R327" s="12"/>
      <c r="S327" s="12"/>
      <c r="T327" s="12"/>
      <c r="U327" s="12">
        <f>G327*0.075*13</f>
        <v>706.875</v>
      </c>
      <c r="V327" s="12">
        <f>U327/13</f>
        <v>54.375</v>
      </c>
      <c r="W327" s="12"/>
      <c r="X327" s="12"/>
      <c r="Y327" s="12">
        <f>P327+S327+U327+W327+0.01</f>
        <v>1437.3225</v>
      </c>
      <c r="Z327" s="12">
        <f t="shared" ref="Z327:Z334" si="173">G327*0.01*13</f>
        <v>94.25</v>
      </c>
      <c r="AA327" s="12">
        <f>Z327/13</f>
        <v>7.25</v>
      </c>
      <c r="AB327" s="12">
        <f>G327/30/7*1.5*45</f>
        <v>233.03571428571431</v>
      </c>
      <c r="AC327" s="12">
        <v>164.29</v>
      </c>
      <c r="AD327" s="12">
        <f>AB327-AC327</f>
        <v>68.745714285714314</v>
      </c>
      <c r="AE327" s="12">
        <f>AB327*0.0775</f>
        <v>18.060267857142858</v>
      </c>
      <c r="AF327" s="12"/>
      <c r="AG327" s="12">
        <f>AB327*0.075</f>
        <v>17.477678571428573</v>
      </c>
      <c r="AH327" s="12"/>
      <c r="AI327" s="12">
        <f>AE327+AF327+AG327+AH327</f>
        <v>35.537946428571431</v>
      </c>
      <c r="AJ327" s="12">
        <f>AB327*0.01</f>
        <v>2.3303571428571432</v>
      </c>
      <c r="AK327" s="37"/>
      <c r="AL327" s="37"/>
      <c r="AM327" s="12"/>
      <c r="AN327" s="12"/>
      <c r="AO327" s="12"/>
      <c r="AP327" s="37"/>
      <c r="AQ327" s="37"/>
    </row>
    <row r="328" spans="1:43">
      <c r="A328" s="21">
        <f>A327+1</f>
        <v>270</v>
      </c>
      <c r="B328" s="27" t="s">
        <v>558</v>
      </c>
      <c r="C328" s="56" t="s">
        <v>559</v>
      </c>
      <c r="D328" s="82" t="s">
        <v>452</v>
      </c>
      <c r="E328" s="83" t="s">
        <v>79</v>
      </c>
      <c r="F328" s="84" t="s">
        <v>351</v>
      </c>
      <c r="G328" s="26">
        <f>694.29+30+50</f>
        <v>774.29</v>
      </c>
      <c r="H328" s="32">
        <f>G328*12</f>
        <v>9291.48</v>
      </c>
      <c r="I328" s="32">
        <v>60</v>
      </c>
      <c r="J328" s="36"/>
      <c r="K328" s="32">
        <f>G328</f>
        <v>774.29</v>
      </c>
      <c r="L328" s="32">
        <v>300</v>
      </c>
      <c r="M328" s="37"/>
      <c r="N328" s="24">
        <v>125</v>
      </c>
      <c r="O328" s="24"/>
      <c r="P328" s="12"/>
      <c r="Q328" s="12"/>
      <c r="R328" s="12"/>
      <c r="S328" s="12"/>
      <c r="T328" s="12"/>
      <c r="U328" s="12">
        <f>G328*0.075*13</f>
        <v>754.93274999999994</v>
      </c>
      <c r="V328" s="12">
        <f>U328/13</f>
        <v>58.071749999999994</v>
      </c>
      <c r="W328" s="12">
        <f>G328*0.06*13</f>
        <v>603.94619999999986</v>
      </c>
      <c r="X328" s="12">
        <f>W328/12</f>
        <v>50.328849999999989</v>
      </c>
      <c r="Y328" s="12">
        <f>P328+S328+U328+W328</f>
        <v>1358.8789499999998</v>
      </c>
      <c r="Z328" s="12">
        <f t="shared" si="173"/>
        <v>100.65769999999999</v>
      </c>
      <c r="AA328" s="12">
        <f>Z328/13</f>
        <v>7.7428999999999997</v>
      </c>
      <c r="AB328" s="12">
        <f>G328/30/7*1.5*45</f>
        <v>248.87892857142853</v>
      </c>
      <c r="AC328" s="12">
        <v>178.37</v>
      </c>
      <c r="AD328" s="12">
        <f>AB328-AC328</f>
        <v>70.508928571428527</v>
      </c>
      <c r="AE328" s="12"/>
      <c r="AF328" s="12"/>
      <c r="AG328" s="12">
        <f>AB328*0.075</f>
        <v>18.665919642857141</v>
      </c>
      <c r="AH328" s="12">
        <f>AB328*0.06</f>
        <v>14.932735714285711</v>
      </c>
      <c r="AI328" s="12">
        <f>AE328+AF328+AG328+AH328</f>
        <v>33.598655357142853</v>
      </c>
      <c r="AJ328" s="12">
        <f>AB328*0.01</f>
        <v>2.4887892857142853</v>
      </c>
      <c r="AK328" s="60"/>
      <c r="AL328" s="60"/>
      <c r="AM328" s="12"/>
      <c r="AN328" s="12"/>
      <c r="AO328" s="12"/>
      <c r="AP328" s="60"/>
      <c r="AQ328" s="60"/>
    </row>
    <row r="329" spans="1:43">
      <c r="A329" s="21">
        <f t="shared" ref="A329:A334" si="174">A328+1</f>
        <v>271</v>
      </c>
      <c r="B329" s="27" t="s">
        <v>560</v>
      </c>
      <c r="C329" s="107" t="s">
        <v>561</v>
      </c>
      <c r="D329" s="82" t="s">
        <v>452</v>
      </c>
      <c r="E329" s="83" t="s">
        <v>79</v>
      </c>
      <c r="F329" s="84" t="s">
        <v>351</v>
      </c>
      <c r="G329" s="26">
        <f>694.29+30+50</f>
        <v>774.29</v>
      </c>
      <c r="H329" s="32">
        <f t="shared" ref="H329:H334" si="175">G329*12</f>
        <v>9291.48</v>
      </c>
      <c r="I329" s="32">
        <v>60</v>
      </c>
      <c r="J329" s="36"/>
      <c r="K329" s="32">
        <f t="shared" ref="K329:K334" si="176">G329</f>
        <v>774.29</v>
      </c>
      <c r="L329" s="32">
        <v>300</v>
      </c>
      <c r="M329" s="37"/>
      <c r="N329" s="24">
        <v>125</v>
      </c>
      <c r="O329" s="24"/>
      <c r="P329" s="12"/>
      <c r="Q329" s="12"/>
      <c r="R329" s="12"/>
      <c r="S329" s="12"/>
      <c r="T329" s="12"/>
      <c r="U329" s="12">
        <f t="shared" ref="U329:U334" si="177">G329*0.075*13</f>
        <v>754.93274999999994</v>
      </c>
      <c r="V329" s="12">
        <f t="shared" ref="V329:V334" si="178">U329/13</f>
        <v>58.071749999999994</v>
      </c>
      <c r="W329" s="12">
        <f>G329*0.06*13</f>
        <v>603.94619999999986</v>
      </c>
      <c r="X329" s="12">
        <f>W329/12</f>
        <v>50.328849999999989</v>
      </c>
      <c r="Y329" s="12">
        <f t="shared" ref="Y329:Y334" si="179">P329+S329+U329+W329</f>
        <v>1358.8789499999998</v>
      </c>
      <c r="Z329" s="12">
        <f t="shared" si="173"/>
        <v>100.65769999999999</v>
      </c>
      <c r="AA329" s="12">
        <f t="shared" ref="AA329:AA334" si="180">Z329/13</f>
        <v>7.7428999999999997</v>
      </c>
      <c r="AB329" s="12">
        <f t="shared" ref="AB329:AB334" si="181">G329/30/7*1.5*45</f>
        <v>248.87892857142853</v>
      </c>
      <c r="AC329" s="12"/>
      <c r="AD329" s="12"/>
      <c r="AE329" s="12"/>
      <c r="AF329" s="12"/>
      <c r="AG329" s="12">
        <f t="shared" ref="AG329:AG334" si="182">AB329*0.075</f>
        <v>18.665919642857141</v>
      </c>
      <c r="AH329" s="12">
        <f>AB329*0.06</f>
        <v>14.932735714285711</v>
      </c>
      <c r="AI329" s="12">
        <f t="shared" ref="AI329:AI334" si="183">AE329+AF329+AG329+AH329</f>
        <v>33.598655357142853</v>
      </c>
      <c r="AJ329" s="12">
        <f t="shared" ref="AJ329:AJ334" si="184">AB329*0.01</f>
        <v>2.4887892857142853</v>
      </c>
      <c r="AK329" s="37"/>
      <c r="AL329" s="37"/>
      <c r="AM329" s="12"/>
      <c r="AN329" s="12"/>
      <c r="AO329" s="12"/>
      <c r="AP329" s="37"/>
      <c r="AQ329" s="37"/>
    </row>
    <row r="330" spans="1:43">
      <c r="A330" s="21">
        <f t="shared" si="174"/>
        <v>272</v>
      </c>
      <c r="B330" s="27" t="s">
        <v>562</v>
      </c>
      <c r="C330" s="107" t="s">
        <v>563</v>
      </c>
      <c r="D330" s="82" t="s">
        <v>452</v>
      </c>
      <c r="E330" s="83" t="s">
        <v>79</v>
      </c>
      <c r="F330" s="84" t="s">
        <v>351</v>
      </c>
      <c r="G330" s="26">
        <f>614.86+30+50</f>
        <v>694.86</v>
      </c>
      <c r="H330" s="32">
        <f>G330*12</f>
        <v>8338.32</v>
      </c>
      <c r="I330" s="32">
        <v>60</v>
      </c>
      <c r="J330" s="36"/>
      <c r="K330" s="32">
        <f>G330</f>
        <v>694.86</v>
      </c>
      <c r="L330" s="32">
        <v>300</v>
      </c>
      <c r="M330" s="37"/>
      <c r="N330" s="24">
        <v>125</v>
      </c>
      <c r="O330" s="24"/>
      <c r="P330" s="12"/>
      <c r="Q330" s="12"/>
      <c r="R330" s="12"/>
      <c r="S330" s="12"/>
      <c r="T330" s="12"/>
      <c r="U330" s="12">
        <f>G330*0.075*13</f>
        <v>677.48850000000004</v>
      </c>
      <c r="V330" s="12">
        <f>U330/13</f>
        <v>52.114500000000007</v>
      </c>
      <c r="W330" s="12">
        <f>G330*0.06*13</f>
        <v>541.99080000000004</v>
      </c>
      <c r="X330" s="12">
        <f>W330/12</f>
        <v>45.165900000000001</v>
      </c>
      <c r="Y330" s="12">
        <f t="shared" si="179"/>
        <v>1219.4793</v>
      </c>
      <c r="Z330" s="12">
        <f t="shared" si="173"/>
        <v>90.331800000000001</v>
      </c>
      <c r="AA330" s="12">
        <f>Z330/13</f>
        <v>6.9485999999999999</v>
      </c>
      <c r="AB330" s="12">
        <f>G330/30/7*1.5*45</f>
        <v>223.34785714285712</v>
      </c>
      <c r="AC330" s="12">
        <v>155.68</v>
      </c>
      <c r="AD330" s="12">
        <f>AB330-AC330</f>
        <v>67.667857142857116</v>
      </c>
      <c r="AE330" s="12"/>
      <c r="AF330" s="12"/>
      <c r="AG330" s="12">
        <f>AB330*0.075</f>
        <v>16.751089285714283</v>
      </c>
      <c r="AH330" s="12">
        <f>AB330*0.06</f>
        <v>13.400871428571428</v>
      </c>
      <c r="AI330" s="12">
        <f t="shared" si="183"/>
        <v>30.15196071428571</v>
      </c>
      <c r="AJ330" s="12">
        <f>AB330*0.01</f>
        <v>2.2334785714285714</v>
      </c>
      <c r="AK330" s="37"/>
      <c r="AL330" s="37"/>
      <c r="AM330" s="12"/>
      <c r="AN330" s="12"/>
      <c r="AO330" s="12"/>
      <c r="AP330" s="37"/>
      <c r="AQ330" s="37"/>
    </row>
    <row r="331" spans="1:43">
      <c r="A331" s="21">
        <f t="shared" si="174"/>
        <v>273</v>
      </c>
      <c r="B331" s="27" t="s">
        <v>564</v>
      </c>
      <c r="C331" s="56" t="s">
        <v>565</v>
      </c>
      <c r="D331" s="82" t="s">
        <v>452</v>
      </c>
      <c r="E331" s="83" t="s">
        <v>79</v>
      </c>
      <c r="F331" s="84" t="s">
        <v>351</v>
      </c>
      <c r="G331" s="26">
        <f>467+30+50</f>
        <v>547</v>
      </c>
      <c r="H331" s="32">
        <f t="shared" si="175"/>
        <v>6564</v>
      </c>
      <c r="I331" s="32">
        <v>60</v>
      </c>
      <c r="J331" s="36"/>
      <c r="K331" s="32">
        <f t="shared" si="176"/>
        <v>547</v>
      </c>
      <c r="L331" s="32">
        <v>300</v>
      </c>
      <c r="M331" s="37"/>
      <c r="N331" s="24">
        <v>125</v>
      </c>
      <c r="O331" s="24"/>
      <c r="P331" s="12">
        <f>G331*0.0775*13</f>
        <v>551.10249999999996</v>
      </c>
      <c r="Q331" s="9">
        <f>P331/13</f>
        <v>42.392499999999998</v>
      </c>
      <c r="R331" s="12"/>
      <c r="S331" s="12"/>
      <c r="T331" s="12" t="s">
        <v>50</v>
      </c>
      <c r="U331" s="12">
        <f t="shared" si="177"/>
        <v>533.32499999999993</v>
      </c>
      <c r="V331" s="12">
        <f t="shared" si="178"/>
        <v>41.024999999999991</v>
      </c>
      <c r="W331" s="12"/>
      <c r="X331" s="12"/>
      <c r="Y331" s="12">
        <f t="shared" si="179"/>
        <v>1084.4274999999998</v>
      </c>
      <c r="Z331" s="12">
        <f t="shared" si="173"/>
        <v>71.11</v>
      </c>
      <c r="AA331" s="12">
        <f t="shared" si="180"/>
        <v>5.47</v>
      </c>
      <c r="AB331" s="12">
        <f t="shared" si="181"/>
        <v>175.82142857142858</v>
      </c>
      <c r="AC331" s="12">
        <v>113.43</v>
      </c>
      <c r="AD331" s="12">
        <f>AB331-AC331</f>
        <v>62.391428571428577</v>
      </c>
      <c r="AE331" s="12">
        <f>AB331*0.0775</f>
        <v>13.626160714285716</v>
      </c>
      <c r="AF331" s="12"/>
      <c r="AG331" s="12">
        <f t="shared" si="182"/>
        <v>13.186607142857143</v>
      </c>
      <c r="AH331" s="12"/>
      <c r="AI331" s="12">
        <f>AE331+AF331+AG331+AH331+0.01</f>
        <v>26.82276785714286</v>
      </c>
      <c r="AJ331" s="12">
        <f t="shared" si="184"/>
        <v>1.758214285714286</v>
      </c>
      <c r="AK331" s="37"/>
      <c r="AL331" s="37"/>
      <c r="AM331" s="12"/>
      <c r="AN331" s="12"/>
      <c r="AO331" s="12"/>
      <c r="AP331" s="37"/>
      <c r="AQ331" s="37"/>
    </row>
    <row r="332" spans="1:43">
      <c r="A332" s="21">
        <f t="shared" si="174"/>
        <v>274</v>
      </c>
      <c r="B332" s="27" t="s">
        <v>566</v>
      </c>
      <c r="C332" s="107" t="s">
        <v>567</v>
      </c>
      <c r="D332" s="82" t="s">
        <v>452</v>
      </c>
      <c r="E332" s="83" t="s">
        <v>79</v>
      </c>
      <c r="F332" s="84" t="s">
        <v>351</v>
      </c>
      <c r="G332" s="26">
        <f>614.86+30+50</f>
        <v>694.86</v>
      </c>
      <c r="H332" s="32">
        <f t="shared" si="175"/>
        <v>8338.32</v>
      </c>
      <c r="I332" s="32">
        <v>60</v>
      </c>
      <c r="J332" s="36"/>
      <c r="K332" s="32">
        <f t="shared" si="176"/>
        <v>694.86</v>
      </c>
      <c r="L332" s="32">
        <v>300</v>
      </c>
      <c r="M332" s="37"/>
      <c r="N332" s="24">
        <v>125</v>
      </c>
      <c r="O332" s="24"/>
      <c r="P332" s="12"/>
      <c r="Q332" s="12"/>
      <c r="R332" s="12"/>
      <c r="S332" s="12"/>
      <c r="T332" s="12"/>
      <c r="U332" s="12">
        <f t="shared" si="177"/>
        <v>677.48850000000004</v>
      </c>
      <c r="V332" s="12">
        <f t="shared" si="178"/>
        <v>52.114500000000007</v>
      </c>
      <c r="W332" s="12">
        <f>G332*0.06*13</f>
        <v>541.99080000000004</v>
      </c>
      <c r="X332" s="12">
        <f>W332/12</f>
        <v>45.165900000000001</v>
      </c>
      <c r="Y332" s="12">
        <f t="shared" si="179"/>
        <v>1219.4793</v>
      </c>
      <c r="Z332" s="12">
        <f t="shared" si="173"/>
        <v>90.331800000000001</v>
      </c>
      <c r="AA332" s="12">
        <f t="shared" si="180"/>
        <v>6.9485999999999999</v>
      </c>
      <c r="AB332" s="12">
        <f t="shared" si="181"/>
        <v>223.34785714285712</v>
      </c>
      <c r="AC332" s="12">
        <v>155.68</v>
      </c>
      <c r="AD332" s="12">
        <f>AB332-AC332</f>
        <v>67.667857142857116</v>
      </c>
      <c r="AE332" s="12"/>
      <c r="AF332" s="12"/>
      <c r="AG332" s="12">
        <f t="shared" si="182"/>
        <v>16.751089285714283</v>
      </c>
      <c r="AH332" s="12">
        <f>AB332*0.06</f>
        <v>13.400871428571428</v>
      </c>
      <c r="AI332" s="12">
        <f t="shared" si="183"/>
        <v>30.15196071428571</v>
      </c>
      <c r="AJ332" s="12">
        <f t="shared" si="184"/>
        <v>2.2334785714285714</v>
      </c>
      <c r="AK332" s="37"/>
      <c r="AL332" s="37"/>
      <c r="AM332" s="12"/>
      <c r="AN332" s="12"/>
      <c r="AO332" s="12"/>
      <c r="AP332" s="37"/>
      <c r="AQ332" s="37"/>
    </row>
    <row r="333" spans="1:43">
      <c r="A333" s="21">
        <f t="shared" si="174"/>
        <v>275</v>
      </c>
      <c r="B333" s="27" t="s">
        <v>568</v>
      </c>
      <c r="C333" s="107" t="s">
        <v>569</v>
      </c>
      <c r="D333" s="82" t="s">
        <v>452</v>
      </c>
      <c r="E333" s="83" t="s">
        <v>79</v>
      </c>
      <c r="F333" s="84" t="s">
        <v>351</v>
      </c>
      <c r="G333" s="26">
        <f>614.86+30+50</f>
        <v>694.86</v>
      </c>
      <c r="H333" s="32">
        <f t="shared" si="175"/>
        <v>8338.32</v>
      </c>
      <c r="I333" s="32">
        <v>60</v>
      </c>
      <c r="J333" s="36"/>
      <c r="K333" s="32">
        <f t="shared" si="176"/>
        <v>694.86</v>
      </c>
      <c r="L333" s="32">
        <v>300</v>
      </c>
      <c r="M333" s="37"/>
      <c r="N333" s="24">
        <v>125</v>
      </c>
      <c r="O333" s="24"/>
      <c r="P333" s="12"/>
      <c r="Q333" s="12"/>
      <c r="R333" s="12"/>
      <c r="S333" s="12"/>
      <c r="T333" s="12"/>
      <c r="U333" s="12">
        <f t="shared" si="177"/>
        <v>677.48850000000004</v>
      </c>
      <c r="V333" s="12">
        <f t="shared" si="178"/>
        <v>52.114500000000007</v>
      </c>
      <c r="W333" s="12">
        <f>G333*0.06*13</f>
        <v>541.99080000000004</v>
      </c>
      <c r="X333" s="12">
        <f>W333/12</f>
        <v>45.165900000000001</v>
      </c>
      <c r="Y333" s="12">
        <f t="shared" si="179"/>
        <v>1219.4793</v>
      </c>
      <c r="Z333" s="12">
        <f t="shared" si="173"/>
        <v>90.331800000000001</v>
      </c>
      <c r="AA333" s="12">
        <f t="shared" si="180"/>
        <v>6.9485999999999999</v>
      </c>
      <c r="AB333" s="12">
        <f t="shared" si="181"/>
        <v>223.34785714285712</v>
      </c>
      <c r="AC333" s="12">
        <v>155.68</v>
      </c>
      <c r="AD333" s="12">
        <f>AB333-AC333</f>
        <v>67.667857142857116</v>
      </c>
      <c r="AE333" s="12"/>
      <c r="AF333" s="12"/>
      <c r="AG333" s="12">
        <f t="shared" si="182"/>
        <v>16.751089285714283</v>
      </c>
      <c r="AH333" s="12">
        <f>AB333*0.06</f>
        <v>13.400871428571428</v>
      </c>
      <c r="AI333" s="12">
        <f t="shared" si="183"/>
        <v>30.15196071428571</v>
      </c>
      <c r="AJ333" s="12">
        <f t="shared" si="184"/>
        <v>2.2334785714285714</v>
      </c>
      <c r="AK333" s="37"/>
      <c r="AL333" s="37"/>
      <c r="AM333" s="12"/>
      <c r="AN333" s="12"/>
      <c r="AO333" s="12"/>
      <c r="AP333" s="37"/>
      <c r="AQ333" s="37"/>
    </row>
    <row r="334" spans="1:43">
      <c r="A334" s="21">
        <f t="shared" si="174"/>
        <v>276</v>
      </c>
      <c r="B334" s="27" t="s">
        <v>570</v>
      </c>
      <c r="C334" s="107" t="s">
        <v>571</v>
      </c>
      <c r="D334" s="82" t="s">
        <v>452</v>
      </c>
      <c r="E334" s="83" t="s">
        <v>79</v>
      </c>
      <c r="F334" s="84" t="s">
        <v>351</v>
      </c>
      <c r="G334" s="26">
        <f>417+50</f>
        <v>467</v>
      </c>
      <c r="H334" s="32">
        <f t="shared" si="175"/>
        <v>5604</v>
      </c>
      <c r="I334" s="32">
        <v>60</v>
      </c>
      <c r="J334" s="36"/>
      <c r="K334" s="32">
        <f t="shared" si="176"/>
        <v>467</v>
      </c>
      <c r="L334" s="32">
        <v>300</v>
      </c>
      <c r="M334" s="37"/>
      <c r="N334" s="24">
        <v>125</v>
      </c>
      <c r="O334" s="24"/>
      <c r="P334" s="12">
        <f>G334*0.0775*13</f>
        <v>470.50250000000005</v>
      </c>
      <c r="Q334" s="12"/>
      <c r="R334" s="12">
        <f>P334/13</f>
        <v>36.192500000000003</v>
      </c>
      <c r="S334" s="61"/>
      <c r="T334" s="12"/>
      <c r="U334" s="12">
        <f t="shared" si="177"/>
        <v>455.32499999999999</v>
      </c>
      <c r="V334" s="12">
        <f t="shared" si="178"/>
        <v>35.024999999999999</v>
      </c>
      <c r="W334" s="12"/>
      <c r="X334" s="12"/>
      <c r="Y334" s="12">
        <f t="shared" si="179"/>
        <v>925.8275000000001</v>
      </c>
      <c r="Z334" s="12">
        <f t="shared" si="173"/>
        <v>60.71</v>
      </c>
      <c r="AA334" s="12">
        <f t="shared" si="180"/>
        <v>4.67</v>
      </c>
      <c r="AB334" s="12">
        <f t="shared" si="181"/>
        <v>150.10714285714286</v>
      </c>
      <c r="AC334" s="12">
        <v>138.53</v>
      </c>
      <c r="AD334" s="12">
        <f>AB334-AC334</f>
        <v>11.57714285714286</v>
      </c>
      <c r="AE334" s="12">
        <f>AB334*0.0775</f>
        <v>11.633303571428572</v>
      </c>
      <c r="AF334" s="12"/>
      <c r="AG334" s="12">
        <f t="shared" si="182"/>
        <v>11.258035714285715</v>
      </c>
      <c r="AH334" s="12"/>
      <c r="AI334" s="12">
        <f t="shared" si="183"/>
        <v>22.891339285714288</v>
      </c>
      <c r="AJ334" s="12">
        <f t="shared" si="184"/>
        <v>1.5010714285714286</v>
      </c>
      <c r="AK334" s="37"/>
      <c r="AL334" s="37"/>
      <c r="AM334" s="12"/>
      <c r="AN334" s="12"/>
      <c r="AO334" s="12"/>
      <c r="AP334" s="37"/>
      <c r="AQ334" s="37"/>
    </row>
    <row r="335" spans="1:43">
      <c r="A335" s="21"/>
      <c r="B335" s="15"/>
      <c r="C335" s="85" t="s">
        <v>572</v>
      </c>
      <c r="D335" s="82"/>
      <c r="E335" s="83"/>
      <c r="F335" s="84"/>
      <c r="G335" s="26"/>
      <c r="H335" s="32"/>
      <c r="I335" s="32"/>
      <c r="J335" s="36"/>
      <c r="K335" s="32"/>
      <c r="L335" s="32"/>
      <c r="M335" s="37"/>
      <c r="N335" s="24"/>
      <c r="O335" s="9"/>
      <c r="P335" s="12"/>
      <c r="Q335" s="12"/>
      <c r="R335" s="20"/>
      <c r="S335" s="61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37"/>
      <c r="AL335" s="37"/>
      <c r="AM335" s="37"/>
      <c r="AN335" s="37"/>
      <c r="AO335" s="37"/>
      <c r="AP335" s="37"/>
      <c r="AQ335" s="37"/>
    </row>
    <row r="336" spans="1:43">
      <c r="A336" s="21">
        <f>A334+1</f>
        <v>277</v>
      </c>
      <c r="B336" s="27" t="s">
        <v>573</v>
      </c>
      <c r="C336" s="56" t="s">
        <v>574</v>
      </c>
      <c r="D336" s="82" t="s">
        <v>452</v>
      </c>
      <c r="E336" s="83" t="s">
        <v>79</v>
      </c>
      <c r="F336" s="84" t="s">
        <v>351</v>
      </c>
      <c r="G336" s="26">
        <f>617.72+30+50</f>
        <v>697.72</v>
      </c>
      <c r="H336" s="32">
        <f>G336*12</f>
        <v>8372.64</v>
      </c>
      <c r="I336" s="32">
        <v>60</v>
      </c>
      <c r="J336" s="36"/>
      <c r="K336" s="32">
        <f>G336</f>
        <v>697.72</v>
      </c>
      <c r="L336" s="32">
        <v>300</v>
      </c>
      <c r="M336" s="37"/>
      <c r="N336" s="24">
        <v>125</v>
      </c>
      <c r="O336" s="24"/>
      <c r="P336" s="12">
        <f>G336*0.0775*13</f>
        <v>702.9529</v>
      </c>
      <c r="Q336" s="40"/>
      <c r="R336" s="12">
        <f>P336/13</f>
        <v>54.073300000000003</v>
      </c>
      <c r="S336" s="12"/>
      <c r="T336" s="12"/>
      <c r="U336" s="12">
        <f>G336*0.075*13</f>
        <v>680.27700000000004</v>
      </c>
      <c r="V336" s="12">
        <f>U336/13</f>
        <v>52.329000000000001</v>
      </c>
      <c r="W336" s="12"/>
      <c r="X336" s="12"/>
      <c r="Y336" s="12">
        <f>P336+S336+U336+W336</f>
        <v>1383.2299</v>
      </c>
      <c r="Z336" s="12">
        <f>G336*0.01*13</f>
        <v>90.703600000000009</v>
      </c>
      <c r="AA336" s="12">
        <f>Z336/13</f>
        <v>6.9772000000000007</v>
      </c>
      <c r="AB336" s="12">
        <f>G336/30/7*1.5*45</f>
        <v>224.26714285714286</v>
      </c>
      <c r="AC336" s="12"/>
      <c r="AD336" s="12"/>
      <c r="AE336" s="12">
        <f>AB336*0.0775</f>
        <v>17.380703571428572</v>
      </c>
      <c r="AF336" s="12"/>
      <c r="AG336" s="12">
        <f>AB336*0.075</f>
        <v>16.820035714285712</v>
      </c>
      <c r="AH336" s="12"/>
      <c r="AI336" s="12">
        <f>AE336+AF336+AG336+AH336</f>
        <v>34.200739285714285</v>
      </c>
      <c r="AJ336" s="12">
        <f>AB336*0.01</f>
        <v>2.2426714285714286</v>
      </c>
      <c r="AK336" s="37"/>
      <c r="AL336" s="37"/>
      <c r="AM336" s="12"/>
      <c r="AN336" s="12"/>
      <c r="AO336" s="12"/>
      <c r="AP336" s="37"/>
      <c r="AQ336" s="37"/>
    </row>
    <row r="337" spans="1:43">
      <c r="A337" s="21">
        <f>A336+1</f>
        <v>278</v>
      </c>
      <c r="B337" s="27" t="s">
        <v>575</v>
      </c>
      <c r="C337" s="56" t="s">
        <v>576</v>
      </c>
      <c r="D337" s="82" t="s">
        <v>452</v>
      </c>
      <c r="E337" s="83" t="s">
        <v>79</v>
      </c>
      <c r="F337" s="84" t="s">
        <v>351</v>
      </c>
      <c r="G337" s="26">
        <f>467+30+50</f>
        <v>547</v>
      </c>
      <c r="H337" s="32">
        <f>G337*12</f>
        <v>6564</v>
      </c>
      <c r="I337" s="32">
        <v>60</v>
      </c>
      <c r="J337" s="36"/>
      <c r="K337" s="32">
        <f>G337</f>
        <v>547</v>
      </c>
      <c r="L337" s="32">
        <v>300</v>
      </c>
      <c r="M337" s="37"/>
      <c r="N337" s="24">
        <v>125</v>
      </c>
      <c r="O337" s="24"/>
      <c r="P337" s="12">
        <f>G337*0.0775*13</f>
        <v>551.10249999999996</v>
      </c>
      <c r="Q337" s="40"/>
      <c r="R337" s="12">
        <f>P337/13</f>
        <v>42.392499999999998</v>
      </c>
      <c r="S337" s="12"/>
      <c r="T337" s="12"/>
      <c r="U337" s="12">
        <f>G337*0.075*13</f>
        <v>533.32499999999993</v>
      </c>
      <c r="V337" s="12">
        <f>U337/13</f>
        <v>41.024999999999991</v>
      </c>
      <c r="W337" s="12"/>
      <c r="X337" s="12"/>
      <c r="Y337" s="12">
        <f>P337+S337+U337+W337</f>
        <v>1084.4274999999998</v>
      </c>
      <c r="Z337" s="12">
        <f>G337*0.01*13</f>
        <v>71.11</v>
      </c>
      <c r="AA337" s="12">
        <f>Z337/13</f>
        <v>5.47</v>
      </c>
      <c r="AB337" s="12">
        <f>G337/30/7*1.5*45</f>
        <v>175.82142857142858</v>
      </c>
      <c r="AC337" s="12"/>
      <c r="AD337" s="12"/>
      <c r="AE337" s="12">
        <f>AB337*0.0775</f>
        <v>13.626160714285716</v>
      </c>
      <c r="AF337" s="12"/>
      <c r="AG337" s="12">
        <f>AB337*0.075</f>
        <v>13.186607142857143</v>
      </c>
      <c r="AH337" s="12"/>
      <c r="AI337" s="12">
        <f>AE337+AF337+AG337+AH337+0.01</f>
        <v>26.82276785714286</v>
      </c>
      <c r="AJ337" s="12">
        <f>AB337*0.01</f>
        <v>1.758214285714286</v>
      </c>
      <c r="AK337" s="37"/>
      <c r="AL337" s="37"/>
      <c r="AM337" s="12"/>
      <c r="AN337" s="12"/>
      <c r="AO337" s="12"/>
      <c r="AP337" s="37"/>
      <c r="AQ337" s="37"/>
    </row>
    <row r="338" spans="1:43">
      <c r="A338" s="21"/>
      <c r="B338" s="15"/>
      <c r="C338" s="85" t="s">
        <v>577</v>
      </c>
      <c r="D338" s="82"/>
      <c r="E338" s="83"/>
      <c r="F338" s="84"/>
      <c r="G338" s="26"/>
      <c r="H338" s="32"/>
      <c r="I338" s="32"/>
      <c r="J338" s="36"/>
      <c r="K338" s="32"/>
      <c r="L338" s="32"/>
      <c r="M338" s="37"/>
      <c r="N338" s="24"/>
      <c r="O338" s="9"/>
      <c r="P338" s="12"/>
      <c r="Q338" s="40"/>
      <c r="R338" s="20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37"/>
      <c r="AL338" s="37"/>
      <c r="AM338" s="37"/>
      <c r="AN338" s="37"/>
      <c r="AO338" s="37"/>
      <c r="AP338" s="37"/>
      <c r="AQ338" s="37"/>
    </row>
    <row r="339" spans="1:43">
      <c r="A339" s="21">
        <f>A337+1</f>
        <v>279</v>
      </c>
      <c r="B339" s="27" t="s">
        <v>578</v>
      </c>
      <c r="C339" s="56" t="s">
        <v>579</v>
      </c>
      <c r="D339" s="82" t="s">
        <v>452</v>
      </c>
      <c r="E339" s="83" t="s">
        <v>79</v>
      </c>
      <c r="F339" s="84" t="s">
        <v>351</v>
      </c>
      <c r="G339" s="26">
        <f>617.72+30+50</f>
        <v>697.72</v>
      </c>
      <c r="H339" s="32">
        <f>G339*12</f>
        <v>8372.64</v>
      </c>
      <c r="I339" s="32">
        <v>60</v>
      </c>
      <c r="J339" s="36"/>
      <c r="K339" s="32">
        <f>G339</f>
        <v>697.72</v>
      </c>
      <c r="L339" s="32">
        <v>300</v>
      </c>
      <c r="M339" s="37"/>
      <c r="N339" s="24">
        <v>125</v>
      </c>
      <c r="O339" s="24"/>
      <c r="P339" s="12">
        <f>G339*0.0775*13</f>
        <v>702.9529</v>
      </c>
      <c r="Q339" s="40"/>
      <c r="R339" s="12">
        <f>P339/13</f>
        <v>54.073300000000003</v>
      </c>
      <c r="S339" s="12"/>
      <c r="T339" s="12"/>
      <c r="U339" s="12">
        <f>G339*0.075*13</f>
        <v>680.27700000000004</v>
      </c>
      <c r="V339" s="12">
        <f>U339/13</f>
        <v>52.329000000000001</v>
      </c>
      <c r="W339" s="12"/>
      <c r="X339" s="12"/>
      <c r="Y339" s="12">
        <f>P339+S339+U339+W339</f>
        <v>1383.2299</v>
      </c>
      <c r="Z339" s="12">
        <f>G339*0.01*13</f>
        <v>90.703600000000009</v>
      </c>
      <c r="AA339" s="12">
        <f>Z339/13</f>
        <v>6.9772000000000007</v>
      </c>
      <c r="AB339" s="12">
        <f>G339/30/7*1.5*45</f>
        <v>224.26714285714286</v>
      </c>
      <c r="AC339" s="12">
        <v>156.49</v>
      </c>
      <c r="AD339" s="12">
        <f>AB339-AC339</f>
        <v>67.777142857142849</v>
      </c>
      <c r="AE339" s="12">
        <f>AB339*0.0775</f>
        <v>17.380703571428572</v>
      </c>
      <c r="AF339" s="12"/>
      <c r="AG339" s="12">
        <f>AB339*0.075</f>
        <v>16.820035714285712</v>
      </c>
      <c r="AH339" s="12"/>
      <c r="AI339" s="12">
        <f>AE339+AF339+AG339+AH339</f>
        <v>34.200739285714285</v>
      </c>
      <c r="AJ339" s="12">
        <f>AB339*0.01</f>
        <v>2.2426714285714286</v>
      </c>
      <c r="AK339" s="37"/>
      <c r="AL339" s="37"/>
      <c r="AM339" s="12"/>
      <c r="AN339" s="12"/>
      <c r="AO339" s="12"/>
      <c r="AP339" s="37"/>
      <c r="AQ339" s="37"/>
    </row>
    <row r="340" spans="1:43">
      <c r="A340" s="21">
        <f>A339+1</f>
        <v>280</v>
      </c>
      <c r="B340" s="27" t="s">
        <v>580</v>
      </c>
      <c r="C340" s="51" t="s">
        <v>581</v>
      </c>
      <c r="D340" s="82" t="s">
        <v>452</v>
      </c>
      <c r="E340" s="83" t="s">
        <v>79</v>
      </c>
      <c r="F340" s="84" t="s">
        <v>351</v>
      </c>
      <c r="G340" s="26">
        <f>437+30+50</f>
        <v>517</v>
      </c>
      <c r="H340" s="32">
        <f>G340*12</f>
        <v>6204</v>
      </c>
      <c r="I340" s="32">
        <v>60</v>
      </c>
      <c r="J340" s="36"/>
      <c r="K340" s="32">
        <f>G340</f>
        <v>517</v>
      </c>
      <c r="L340" s="32">
        <v>300</v>
      </c>
      <c r="M340" s="37"/>
      <c r="N340" s="24">
        <v>125</v>
      </c>
      <c r="O340" s="24"/>
      <c r="P340" s="12">
        <f>G340*0.0775*13</f>
        <v>520.87750000000005</v>
      </c>
      <c r="Q340" s="9">
        <f>P340/13</f>
        <v>40.067500000000003</v>
      </c>
      <c r="R340" s="12"/>
      <c r="S340" s="37"/>
      <c r="T340" s="37"/>
      <c r="U340" s="12">
        <f>G340*0.075*13</f>
        <v>504.07499999999999</v>
      </c>
      <c r="V340" s="12">
        <f>U340/13</f>
        <v>38.774999999999999</v>
      </c>
      <c r="W340" s="37"/>
      <c r="X340" s="37"/>
      <c r="Y340" s="12">
        <f>P340+S340+U340+W340+0.01</f>
        <v>1024.9625000000001</v>
      </c>
      <c r="Z340" s="12">
        <f>G340*0.01*13</f>
        <v>67.209999999999994</v>
      </c>
      <c r="AA340" s="12">
        <f>Z340/13</f>
        <v>5.17</v>
      </c>
      <c r="AB340" s="12">
        <f>G340/30/7*1.5*45</f>
        <v>166.17857142857144</v>
      </c>
      <c r="AC340" s="12"/>
      <c r="AD340" s="12"/>
      <c r="AE340" s="12">
        <f>AB340*0.0775</f>
        <v>12.878839285714287</v>
      </c>
      <c r="AF340" s="12"/>
      <c r="AG340" s="12">
        <f>AB340*0.075</f>
        <v>12.463392857142859</v>
      </c>
      <c r="AH340" s="12"/>
      <c r="AI340" s="12">
        <f>AE340+AF340+AG340+AH340</f>
        <v>25.342232142857146</v>
      </c>
      <c r="AJ340" s="12">
        <f>AB340*0.01</f>
        <v>1.6617857142857144</v>
      </c>
      <c r="AK340" s="38"/>
      <c r="AL340" s="38"/>
      <c r="AM340" s="12"/>
      <c r="AN340" s="12"/>
      <c r="AO340" s="12"/>
      <c r="AP340" s="38"/>
      <c r="AQ340" s="37"/>
    </row>
    <row r="341" spans="1:43">
      <c r="A341" s="21"/>
      <c r="B341" s="15"/>
      <c r="C341" s="85" t="s">
        <v>582</v>
      </c>
      <c r="D341" s="82"/>
      <c r="E341" s="83"/>
      <c r="F341" s="84"/>
      <c r="G341" s="26"/>
      <c r="H341" s="32"/>
      <c r="I341" s="32"/>
      <c r="J341" s="36"/>
      <c r="K341" s="32"/>
      <c r="L341" s="32"/>
      <c r="M341" s="37"/>
      <c r="N341" s="24"/>
      <c r="O341" s="9"/>
      <c r="P341" s="12"/>
      <c r="Q341" s="40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37"/>
      <c r="AL341" s="37"/>
      <c r="AM341" s="37"/>
      <c r="AN341" s="37"/>
      <c r="AO341" s="37"/>
      <c r="AP341" s="37"/>
      <c r="AQ341" s="37"/>
    </row>
    <row r="342" spans="1:43">
      <c r="A342" s="21">
        <f>A340+1</f>
        <v>281</v>
      </c>
      <c r="B342" s="27" t="s">
        <v>583</v>
      </c>
      <c r="C342" s="56" t="s">
        <v>584</v>
      </c>
      <c r="D342" s="82" t="s">
        <v>452</v>
      </c>
      <c r="E342" s="83" t="s">
        <v>79</v>
      </c>
      <c r="F342" s="84" t="s">
        <v>351</v>
      </c>
      <c r="G342" s="26">
        <f>795+30+50</f>
        <v>875</v>
      </c>
      <c r="H342" s="32">
        <f>G342*12</f>
        <v>10500</v>
      </c>
      <c r="I342" s="32">
        <v>60</v>
      </c>
      <c r="J342" s="36"/>
      <c r="K342" s="32">
        <f>G342</f>
        <v>875</v>
      </c>
      <c r="L342" s="32">
        <v>300</v>
      </c>
      <c r="M342" s="37"/>
      <c r="N342" s="24">
        <v>125</v>
      </c>
      <c r="O342" s="24"/>
      <c r="P342" s="12">
        <f>G342*0.0775*13</f>
        <v>881.5625</v>
      </c>
      <c r="Q342" s="9">
        <f>P342/13</f>
        <v>67.8125</v>
      </c>
      <c r="R342" s="12"/>
      <c r="S342" s="12"/>
      <c r="T342" s="12"/>
      <c r="U342" s="12">
        <f>G342*0.075*13</f>
        <v>853.125</v>
      </c>
      <c r="V342" s="12">
        <f>U342/13</f>
        <v>65.625</v>
      </c>
      <c r="W342" s="12"/>
      <c r="X342" s="12"/>
      <c r="Y342" s="12">
        <f>P342+S342+U342+W342</f>
        <v>1734.6875</v>
      </c>
      <c r="Z342" s="12">
        <f>G342*0.01*13</f>
        <v>113.75</v>
      </c>
      <c r="AA342" s="12">
        <f>Z342/13</f>
        <v>8.75</v>
      </c>
      <c r="AB342" s="12">
        <f>G342/30/7*1.5*45</f>
        <v>281.25</v>
      </c>
      <c r="AC342" s="12">
        <v>207.14</v>
      </c>
      <c r="AD342" s="12">
        <f>AB342-AC342</f>
        <v>74.110000000000014</v>
      </c>
      <c r="AE342" s="12">
        <f>AB342*0.0775</f>
        <v>21.796875</v>
      </c>
      <c r="AF342" s="12"/>
      <c r="AG342" s="12">
        <f>AB342*0.075</f>
        <v>21.09375</v>
      </c>
      <c r="AH342" s="12"/>
      <c r="AI342" s="12">
        <f>AE342+AF342+AG342+AH342</f>
        <v>42.890625</v>
      </c>
      <c r="AJ342" s="12">
        <f>AB342*0.01</f>
        <v>2.8125</v>
      </c>
      <c r="AK342" s="37"/>
      <c r="AL342" s="37"/>
      <c r="AM342" s="12"/>
      <c r="AN342" s="12"/>
      <c r="AO342" s="12"/>
      <c r="AP342" s="37"/>
      <c r="AQ342" s="37"/>
    </row>
    <row r="343" spans="1:43">
      <c r="A343" s="21">
        <f>A342+1</f>
        <v>282</v>
      </c>
      <c r="B343" s="27" t="s">
        <v>585</v>
      </c>
      <c r="C343" s="56" t="s">
        <v>586</v>
      </c>
      <c r="D343" s="82" t="s">
        <v>452</v>
      </c>
      <c r="E343" s="83" t="s">
        <v>79</v>
      </c>
      <c r="F343" s="84" t="s">
        <v>351</v>
      </c>
      <c r="G343" s="26">
        <f>417+50</f>
        <v>467</v>
      </c>
      <c r="H343" s="32">
        <f>G343*12</f>
        <v>5604</v>
      </c>
      <c r="I343" s="32">
        <v>60</v>
      </c>
      <c r="J343" s="36"/>
      <c r="K343" s="32">
        <f>G343</f>
        <v>467</v>
      </c>
      <c r="L343" s="32">
        <v>300</v>
      </c>
      <c r="M343" s="37"/>
      <c r="N343" s="24">
        <v>125</v>
      </c>
      <c r="O343" s="24"/>
      <c r="P343" s="12">
        <f>G343*0.0775*13</f>
        <v>470.50250000000005</v>
      </c>
      <c r="Q343" s="12"/>
      <c r="R343" s="12">
        <f>P343/13</f>
        <v>36.192500000000003</v>
      </c>
      <c r="S343" s="12"/>
      <c r="T343" s="12"/>
      <c r="U343" s="12">
        <f>G343*0.075*13</f>
        <v>455.32499999999999</v>
      </c>
      <c r="V343" s="12">
        <f>U343/13</f>
        <v>35.024999999999999</v>
      </c>
      <c r="W343" s="12"/>
      <c r="X343" s="12"/>
      <c r="Y343" s="12">
        <f>P343+S343+U343+W343</f>
        <v>925.8275000000001</v>
      </c>
      <c r="Z343" s="12">
        <f>G343*0.01*13</f>
        <v>60.71</v>
      </c>
      <c r="AA343" s="12">
        <f>Z343/13</f>
        <v>4.67</v>
      </c>
      <c r="AB343" s="12">
        <f>G343/30/7*1.5*45</f>
        <v>150.10714285714286</v>
      </c>
      <c r="AC343" s="12">
        <v>85.72</v>
      </c>
      <c r="AD343" s="12">
        <f>AB343-AC343</f>
        <v>64.387142857142862</v>
      </c>
      <c r="AE343" s="12">
        <f>AB343*0.0775</f>
        <v>11.633303571428572</v>
      </c>
      <c r="AF343" s="12"/>
      <c r="AG343" s="12">
        <f>AB343*0.075</f>
        <v>11.258035714285715</v>
      </c>
      <c r="AH343" s="12"/>
      <c r="AI343" s="12">
        <f>AE343+AF343+AG343+AH343</f>
        <v>22.891339285714288</v>
      </c>
      <c r="AJ343" s="12">
        <f>AB343*0.01</f>
        <v>1.5010714285714286</v>
      </c>
      <c r="AK343" s="37"/>
      <c r="AL343" s="37"/>
      <c r="AM343" s="12"/>
      <c r="AN343" s="12"/>
      <c r="AO343" s="12"/>
      <c r="AP343" s="37"/>
      <c r="AQ343" s="37"/>
    </row>
    <row r="344" spans="1:43">
      <c r="A344" s="21">
        <f>A343+1</f>
        <v>283</v>
      </c>
      <c r="B344" s="27" t="s">
        <v>587</v>
      </c>
      <c r="C344" s="56" t="s">
        <v>588</v>
      </c>
      <c r="D344" s="82" t="s">
        <v>452</v>
      </c>
      <c r="E344" s="83" t="s">
        <v>79</v>
      </c>
      <c r="F344" s="84" t="s">
        <v>351</v>
      </c>
      <c r="G344" s="26">
        <f>554+30+50</f>
        <v>634</v>
      </c>
      <c r="H344" s="32">
        <f>G344*12</f>
        <v>7608</v>
      </c>
      <c r="I344" s="32">
        <v>60</v>
      </c>
      <c r="J344" s="36"/>
      <c r="K344" s="32">
        <f>G344</f>
        <v>634</v>
      </c>
      <c r="L344" s="32">
        <v>300</v>
      </c>
      <c r="M344" s="37"/>
      <c r="N344" s="24">
        <v>125</v>
      </c>
      <c r="O344" s="24"/>
      <c r="P344" s="12">
        <f>G344*0.0775*13</f>
        <v>638.755</v>
      </c>
      <c r="Q344" s="12"/>
      <c r="R344" s="12">
        <f>P344/13</f>
        <v>49.134999999999998</v>
      </c>
      <c r="S344" s="12"/>
      <c r="T344" s="12"/>
      <c r="U344" s="12">
        <f>G344*0.075*13</f>
        <v>618.15</v>
      </c>
      <c r="V344" s="12">
        <f>U344/13</f>
        <v>47.55</v>
      </c>
      <c r="W344" s="12"/>
      <c r="X344" s="12"/>
      <c r="Y344" s="12">
        <f>P344+S344+U344+W344</f>
        <v>1256.905</v>
      </c>
      <c r="Z344" s="12">
        <f>G344*0.01*13</f>
        <v>82.42</v>
      </c>
      <c r="AA344" s="12">
        <f>Z344/13</f>
        <v>6.34</v>
      </c>
      <c r="AB344" s="12">
        <f>G344/30/7*1.5*45</f>
        <v>203.78571428571428</v>
      </c>
      <c r="AC344" s="12"/>
      <c r="AD344" s="12"/>
      <c r="AE344" s="12">
        <f>AB344*0.0775</f>
        <v>15.793392857142857</v>
      </c>
      <c r="AF344" s="12"/>
      <c r="AG344" s="12">
        <f>AB344*0.075</f>
        <v>15.28392857142857</v>
      </c>
      <c r="AH344" s="12"/>
      <c r="AI344" s="12">
        <f>AE344+AF344+AG344+AH344-0.01</f>
        <v>31.067321428571425</v>
      </c>
      <c r="AJ344" s="12">
        <f>AB344*0.01</f>
        <v>2.0378571428571428</v>
      </c>
      <c r="AK344" s="37"/>
      <c r="AL344" s="37"/>
      <c r="AM344" s="12"/>
      <c r="AN344" s="12"/>
      <c r="AO344" s="12"/>
      <c r="AP344" s="37"/>
      <c r="AQ344" s="37"/>
    </row>
    <row r="345" spans="1:43">
      <c r="A345" s="21">
        <f>A344+1</f>
        <v>284</v>
      </c>
      <c r="B345" s="42" t="s">
        <v>589</v>
      </c>
      <c r="C345" s="56" t="s">
        <v>590</v>
      </c>
      <c r="D345" s="82" t="s">
        <v>452</v>
      </c>
      <c r="E345" s="83" t="s">
        <v>79</v>
      </c>
      <c r="F345" s="84" t="s">
        <v>351</v>
      </c>
      <c r="G345" s="26">
        <f>417</f>
        <v>417</v>
      </c>
      <c r="H345" s="32">
        <f>G345*12</f>
        <v>5004</v>
      </c>
      <c r="I345" s="32">
        <v>60</v>
      </c>
      <c r="J345" s="36"/>
      <c r="K345" s="32">
        <f>G345</f>
        <v>417</v>
      </c>
      <c r="L345" s="32">
        <v>300</v>
      </c>
      <c r="M345" s="37"/>
      <c r="N345" s="24">
        <v>125</v>
      </c>
      <c r="O345" s="24"/>
      <c r="P345" s="12">
        <f>G345*0.0775*13</f>
        <v>420.12750000000005</v>
      </c>
      <c r="Q345" s="9">
        <f>P345/13</f>
        <v>32.317500000000003</v>
      </c>
      <c r="R345" s="12"/>
      <c r="S345" s="12"/>
      <c r="T345" s="12"/>
      <c r="U345" s="12">
        <f>G345*0.075*13</f>
        <v>406.57499999999999</v>
      </c>
      <c r="V345" s="12">
        <f>U345/13</f>
        <v>31.274999999999999</v>
      </c>
      <c r="W345" s="12"/>
      <c r="X345" s="12"/>
      <c r="Y345" s="12">
        <f>P345+S345+U345+W345+0.01</f>
        <v>826.71250000000009</v>
      </c>
      <c r="Z345" s="12">
        <f>G345*0.01*13</f>
        <v>54.21</v>
      </c>
      <c r="AA345" s="12">
        <f>Z345/13</f>
        <v>4.17</v>
      </c>
      <c r="AB345" s="12">
        <f>G345/30/7*1.5*45</f>
        <v>134.03571428571428</v>
      </c>
      <c r="AC345" s="12">
        <v>155.68</v>
      </c>
      <c r="AD345" s="12">
        <f>AB345-AC345</f>
        <v>-21.644285714285729</v>
      </c>
      <c r="AE345" s="12">
        <f>AB345*0.0775</f>
        <v>10.387767857142856</v>
      </c>
      <c r="AF345" s="12"/>
      <c r="AG345" s="12">
        <f>AB345*0.075</f>
        <v>10.05267857142857</v>
      </c>
      <c r="AH345" s="12"/>
      <c r="AI345" s="12">
        <f>AE345+AF345+AG345+AH345</f>
        <v>20.440446428571427</v>
      </c>
      <c r="AJ345" s="12">
        <f>AB345*0.01</f>
        <v>1.3403571428571428</v>
      </c>
      <c r="AK345" s="37"/>
      <c r="AL345" s="37"/>
      <c r="AM345" s="12"/>
      <c r="AN345" s="12"/>
      <c r="AO345" s="12"/>
      <c r="AP345" s="37"/>
      <c r="AQ345" s="37"/>
    </row>
    <row r="346" spans="1:43">
      <c r="A346" s="21"/>
      <c r="B346" s="15"/>
      <c r="C346" s="85" t="s">
        <v>591</v>
      </c>
      <c r="D346" s="99"/>
      <c r="E346" s="83"/>
      <c r="F346" s="84"/>
      <c r="G346" s="86">
        <f t="shared" ref="G346:O346" si="185">SUM(G249:G345)</f>
        <v>54888.240000000013</v>
      </c>
      <c r="H346" s="30">
        <f t="shared" si="185"/>
        <v>658658.87999999989</v>
      </c>
      <c r="I346" s="30">
        <f t="shared" si="185"/>
        <v>5460</v>
      </c>
      <c r="J346" s="30">
        <f t="shared" si="185"/>
        <v>0</v>
      </c>
      <c r="K346" s="30">
        <f t="shared" si="185"/>
        <v>54888.240000000013</v>
      </c>
      <c r="L346" s="30">
        <f t="shared" si="185"/>
        <v>27300</v>
      </c>
      <c r="M346" s="30">
        <f t="shared" si="185"/>
        <v>0</v>
      </c>
      <c r="N346" s="30">
        <f t="shared" si="185"/>
        <v>11375</v>
      </c>
      <c r="O346" s="30">
        <f t="shared" si="185"/>
        <v>0</v>
      </c>
      <c r="P346" s="30">
        <f>SUM(P249:P345)-0.09</f>
        <v>50456.598100000017</v>
      </c>
      <c r="Q346" s="30">
        <f>SUM(Q249:Q345)-0.03</f>
        <v>1652.483125</v>
      </c>
      <c r="R346" s="30">
        <f>SUM(R249:R345)-0.07</f>
        <v>2228.7005750000008</v>
      </c>
      <c r="S346" s="30">
        <f>SUM(S249:S345)</f>
        <v>611.32499999999993</v>
      </c>
      <c r="T346" s="30">
        <f>SUM(T249:T345)</f>
        <v>50.943749999999994</v>
      </c>
      <c r="U346" s="30">
        <f>SUM(U249:U345)+0.34</f>
        <v>53516.373999999931</v>
      </c>
      <c r="V346" s="30">
        <f>SUM(V249:V345)+0.27</f>
        <v>4116.8880000000054</v>
      </c>
      <c r="W346" s="30">
        <f>SUM(W249:W345)+0.01</f>
        <v>3260.5348000000004</v>
      </c>
      <c r="X346" s="30">
        <f>SUM(X249:X345)+0.02</f>
        <v>271.73039999999997</v>
      </c>
      <c r="Y346" s="30">
        <f>SUM(Y249:Y345)+0.09</f>
        <v>107844.8319</v>
      </c>
      <c r="Z346" s="30">
        <f>SUM(Z249:Z345)-0.03</f>
        <v>7135.4411999999993</v>
      </c>
      <c r="AA346" s="30">
        <f>SUM(AA249:AA345)+0.02</f>
        <v>548.90240000000017</v>
      </c>
      <c r="AB346" s="30">
        <f>SUM(AB249:AB345)+0.13</f>
        <v>17466.957142857143</v>
      </c>
      <c r="AC346" s="30">
        <f>SUM(AC249:AC345)</f>
        <v>5836.45</v>
      </c>
      <c r="AD346" s="30">
        <f>SUM(AD249:AD345)</f>
        <v>1892.4032142857145</v>
      </c>
      <c r="AE346" s="30">
        <f>SUM(AE249:AE345)+0.05</f>
        <v>1233.9793142857131</v>
      </c>
      <c r="AF346" s="30">
        <f>SUM(AF249:AF345)</f>
        <v>15.115178571428569</v>
      </c>
      <c r="AG346" s="30">
        <f>SUM(AG249:AG345)+0.14</f>
        <v>1310.1520357142865</v>
      </c>
      <c r="AH346" s="30">
        <f>SUM(AH249:AH345)-0.01</f>
        <v>80.607371428571426</v>
      </c>
      <c r="AI346" s="30">
        <f>SUM(AI249:AI345)-0.16</f>
        <v>2639.8539000000037</v>
      </c>
      <c r="AJ346" s="30">
        <f>SUM(AJ249:AJ345)+0.08</f>
        <v>174.74827142857148</v>
      </c>
      <c r="AK346" s="30">
        <f t="shared" ref="AK346:AQ346" si="186">SUM(AK249:AK345)</f>
        <v>0</v>
      </c>
      <c r="AL346" s="30">
        <f t="shared" si="186"/>
        <v>0</v>
      </c>
      <c r="AM346" s="30">
        <f t="shared" si="186"/>
        <v>0</v>
      </c>
      <c r="AN346" s="30">
        <f t="shared" si="186"/>
        <v>0</v>
      </c>
      <c r="AO346" s="30">
        <f t="shared" si="186"/>
        <v>0</v>
      </c>
      <c r="AP346" s="30">
        <f t="shared" si="186"/>
        <v>0</v>
      </c>
      <c r="AQ346" s="30">
        <f t="shared" si="186"/>
        <v>0</v>
      </c>
    </row>
    <row r="347" spans="1:43">
      <c r="A347" s="21">
        <f>A345+1</f>
        <v>285</v>
      </c>
      <c r="B347" s="27" t="s">
        <v>592</v>
      </c>
      <c r="C347" s="105" t="s">
        <v>593</v>
      </c>
      <c r="D347" s="117" t="s">
        <v>594</v>
      </c>
      <c r="E347" s="120" t="s">
        <v>79</v>
      </c>
      <c r="F347" s="88" t="s">
        <v>351</v>
      </c>
      <c r="G347" s="26">
        <f>650+50+50</f>
        <v>750</v>
      </c>
      <c r="H347" s="32">
        <f t="shared" ref="H347:H362" si="187">G347*12</f>
        <v>9000</v>
      </c>
      <c r="I347" s="32">
        <v>60</v>
      </c>
      <c r="J347" s="36"/>
      <c r="K347" s="32">
        <f t="shared" ref="K347:K362" si="188">G347</f>
        <v>750</v>
      </c>
      <c r="L347" s="32">
        <v>300</v>
      </c>
      <c r="M347" s="37"/>
      <c r="N347" s="24">
        <v>125</v>
      </c>
      <c r="O347" s="24"/>
      <c r="P347" s="12">
        <f t="shared" ref="P347:P362" si="189">G347*0.0775*13</f>
        <v>755.625</v>
      </c>
      <c r="Q347" s="9" t="s">
        <v>595</v>
      </c>
      <c r="R347" s="12">
        <f>P347/13</f>
        <v>58.125</v>
      </c>
      <c r="S347" s="12"/>
      <c r="T347" s="12"/>
      <c r="U347" s="12">
        <f>G347*0.075*13</f>
        <v>731.25</v>
      </c>
      <c r="V347" s="12">
        <f t="shared" ref="V347:V362" si="190">U347/13</f>
        <v>56.25</v>
      </c>
      <c r="W347" s="12"/>
      <c r="X347" s="12"/>
      <c r="Y347" s="12">
        <f t="shared" ref="Y347:Y353" si="191">P347+S347+U347+W347</f>
        <v>1486.875</v>
      </c>
      <c r="Z347" s="12">
        <f t="shared" ref="Z347:Z362" si="192">G347*0.01*13</f>
        <v>97.5</v>
      </c>
      <c r="AA347" s="12">
        <f t="shared" ref="AA347:AA362" si="193">Z347/13</f>
        <v>7.5</v>
      </c>
      <c r="AB347" s="12">
        <f>G347/30/7*1.5*45</f>
        <v>241.07142857142858</v>
      </c>
      <c r="AC347" s="12"/>
      <c r="AD347" s="12"/>
      <c r="AE347" s="12">
        <f>AB347*0.0775</f>
        <v>18.683035714285715</v>
      </c>
      <c r="AF347" s="12"/>
      <c r="AG347" s="12">
        <f>AB347*0.075</f>
        <v>18.080357142857142</v>
      </c>
      <c r="AH347" s="12"/>
      <c r="AI347" s="12">
        <f>AE347+AF347+AG347+AH347</f>
        <v>36.763392857142861</v>
      </c>
      <c r="AJ347" s="12">
        <f>AB347*0.01</f>
        <v>2.410714285714286</v>
      </c>
      <c r="AK347" s="37"/>
      <c r="AL347" s="37"/>
      <c r="AM347" s="12"/>
      <c r="AN347" s="12"/>
      <c r="AO347" s="12"/>
      <c r="AP347" s="37"/>
      <c r="AQ347" s="37"/>
    </row>
    <row r="348" spans="1:43">
      <c r="A348" s="21">
        <f>A347+1</f>
        <v>286</v>
      </c>
      <c r="B348" s="27" t="s">
        <v>596</v>
      </c>
      <c r="C348" s="121" t="s">
        <v>326</v>
      </c>
      <c r="D348" s="117" t="s">
        <v>594</v>
      </c>
      <c r="E348" s="120" t="s">
        <v>79</v>
      </c>
      <c r="F348" s="88" t="s">
        <v>351</v>
      </c>
      <c r="G348" s="26">
        <f>650+50</f>
        <v>700</v>
      </c>
      <c r="H348" s="32">
        <f t="shared" si="187"/>
        <v>8400</v>
      </c>
      <c r="I348" s="32">
        <v>60</v>
      </c>
      <c r="J348" s="36"/>
      <c r="K348" s="32">
        <f t="shared" si="188"/>
        <v>700</v>
      </c>
      <c r="L348" s="32">
        <v>300</v>
      </c>
      <c r="M348" s="37"/>
      <c r="N348" s="24">
        <v>125</v>
      </c>
      <c r="O348" s="24"/>
      <c r="P348" s="12">
        <f t="shared" si="189"/>
        <v>705.25</v>
      </c>
      <c r="Q348" s="9">
        <f>P348/13</f>
        <v>54.25</v>
      </c>
      <c r="R348" s="12"/>
      <c r="S348" s="12"/>
      <c r="T348" s="12"/>
      <c r="U348" s="12">
        <f>G348*0.075*13</f>
        <v>682.5</v>
      </c>
      <c r="V348" s="12">
        <f t="shared" si="190"/>
        <v>52.5</v>
      </c>
      <c r="W348" s="12"/>
      <c r="X348" s="12"/>
      <c r="Y348" s="12">
        <f t="shared" si="191"/>
        <v>1387.75</v>
      </c>
      <c r="Z348" s="12">
        <f t="shared" si="192"/>
        <v>91</v>
      </c>
      <c r="AA348" s="12">
        <f t="shared" si="193"/>
        <v>7</v>
      </c>
      <c r="AB348" s="12">
        <f>G348/30/7*1.5*45</f>
        <v>225</v>
      </c>
      <c r="AC348" s="12"/>
      <c r="AD348" s="12"/>
      <c r="AE348" s="12">
        <f>AB348*0.0775</f>
        <v>17.4375</v>
      </c>
      <c r="AF348" s="12"/>
      <c r="AG348" s="12">
        <f>AB348*0.075</f>
        <v>16.875</v>
      </c>
      <c r="AH348" s="12"/>
      <c r="AI348" s="12">
        <f>AE348+AF348+AG348+AH348+0.01</f>
        <v>34.322499999999998</v>
      </c>
      <c r="AJ348" s="12">
        <f>AB348*0.01</f>
        <v>2.25</v>
      </c>
      <c r="AK348" s="37"/>
      <c r="AL348" s="37"/>
      <c r="AM348" s="12"/>
      <c r="AN348" s="12"/>
      <c r="AO348" s="12"/>
      <c r="AP348" s="37"/>
      <c r="AQ348" s="37"/>
    </row>
    <row r="349" spans="1:43">
      <c r="A349" s="21">
        <f>A348+1</f>
        <v>287</v>
      </c>
      <c r="B349" s="27" t="s">
        <v>597</v>
      </c>
      <c r="C349" s="122" t="s">
        <v>110</v>
      </c>
      <c r="D349" s="87" t="s">
        <v>594</v>
      </c>
      <c r="E349" s="83" t="s">
        <v>79</v>
      </c>
      <c r="F349" s="84" t="s">
        <v>351</v>
      </c>
      <c r="G349" s="26">
        <f>554+30+50</f>
        <v>634</v>
      </c>
      <c r="H349" s="32">
        <f t="shared" si="187"/>
        <v>7608</v>
      </c>
      <c r="I349" s="32">
        <v>60</v>
      </c>
      <c r="J349" s="36"/>
      <c r="K349" s="32">
        <f t="shared" si="188"/>
        <v>634</v>
      </c>
      <c r="L349" s="32">
        <v>300</v>
      </c>
      <c r="M349" s="37"/>
      <c r="N349" s="24">
        <v>125</v>
      </c>
      <c r="O349" s="24"/>
      <c r="P349" s="12">
        <f t="shared" si="189"/>
        <v>638.755</v>
      </c>
      <c r="Q349" s="9">
        <f>P349/13</f>
        <v>49.134999999999998</v>
      </c>
      <c r="R349" s="12"/>
      <c r="S349" s="12"/>
      <c r="T349" s="12"/>
      <c r="U349" s="12">
        <f t="shared" ref="U349:U358" si="194">G349*0.075*13</f>
        <v>618.15</v>
      </c>
      <c r="V349" s="12">
        <f t="shared" si="190"/>
        <v>47.55</v>
      </c>
      <c r="W349" s="12"/>
      <c r="X349" s="12"/>
      <c r="Y349" s="12">
        <f t="shared" si="191"/>
        <v>1256.905</v>
      </c>
      <c r="Z349" s="12">
        <f t="shared" si="192"/>
        <v>82.42</v>
      </c>
      <c r="AA349" s="12">
        <f t="shared" si="193"/>
        <v>6.34</v>
      </c>
      <c r="AB349" s="12">
        <f t="shared" ref="AB349:AB358" si="195">G349/30/7*1.5*45</f>
        <v>203.78571428571428</v>
      </c>
      <c r="AC349" s="12"/>
      <c r="AD349" s="12"/>
      <c r="AE349" s="12">
        <f>AB349*0.0775</f>
        <v>15.793392857142857</v>
      </c>
      <c r="AF349" s="12"/>
      <c r="AG349" s="12">
        <f>AB349*0.075</f>
        <v>15.28392857142857</v>
      </c>
      <c r="AH349" s="12"/>
      <c r="AI349" s="12">
        <f>AE349+AF349+AG349+AH349-0.01</f>
        <v>31.067321428571425</v>
      </c>
      <c r="AJ349" s="12">
        <f>AB349*0.01</f>
        <v>2.0378571428571428</v>
      </c>
      <c r="AK349" s="37"/>
      <c r="AL349" s="37"/>
      <c r="AM349" s="12"/>
      <c r="AN349" s="12"/>
      <c r="AO349" s="12"/>
      <c r="AP349" s="37"/>
      <c r="AQ349" s="37"/>
    </row>
    <row r="350" spans="1:43">
      <c r="A350" s="21">
        <f t="shared" ref="A350:A362" si="196">A349+1</f>
        <v>288</v>
      </c>
      <c r="B350" s="27" t="s">
        <v>598</v>
      </c>
      <c r="C350" s="56" t="s">
        <v>143</v>
      </c>
      <c r="D350" s="87" t="s">
        <v>594</v>
      </c>
      <c r="E350" s="83" t="s">
        <v>79</v>
      </c>
      <c r="F350" s="84" t="s">
        <v>351</v>
      </c>
      <c r="G350" s="26">
        <f>467+30+100+50</f>
        <v>647</v>
      </c>
      <c r="H350" s="32">
        <f t="shared" si="187"/>
        <v>7764</v>
      </c>
      <c r="I350" s="32">
        <v>60</v>
      </c>
      <c r="J350" s="36"/>
      <c r="K350" s="32">
        <f t="shared" si="188"/>
        <v>647</v>
      </c>
      <c r="L350" s="32">
        <v>300</v>
      </c>
      <c r="M350" s="37"/>
      <c r="N350" s="24">
        <v>125</v>
      </c>
      <c r="O350" s="24"/>
      <c r="P350" s="12">
        <f>G350*0.0775*13</f>
        <v>651.85249999999996</v>
      </c>
      <c r="Q350" s="40"/>
      <c r="R350" s="12">
        <f>P350/13</f>
        <v>50.142499999999998</v>
      </c>
      <c r="S350" s="37"/>
      <c r="T350" s="37"/>
      <c r="U350" s="12">
        <f>G350*0.075*13</f>
        <v>630.82499999999993</v>
      </c>
      <c r="V350" s="12">
        <f t="shared" si="190"/>
        <v>48.524999999999991</v>
      </c>
      <c r="W350" s="37"/>
      <c r="X350" s="37"/>
      <c r="Y350" s="12">
        <f>P350+S350+U350+W350</f>
        <v>1282.6774999999998</v>
      </c>
      <c r="Z350" s="12">
        <f t="shared" si="192"/>
        <v>84.11</v>
      </c>
      <c r="AA350" s="12">
        <f t="shared" si="193"/>
        <v>6.47</v>
      </c>
      <c r="AB350" s="38"/>
      <c r="AC350" s="38"/>
      <c r="AD350" s="38"/>
      <c r="AE350" s="38"/>
      <c r="AF350" s="37"/>
      <c r="AG350" s="37"/>
      <c r="AH350" s="37"/>
      <c r="AI350" s="12"/>
      <c r="AJ350" s="38"/>
      <c r="AK350" s="38"/>
      <c r="AL350" s="38"/>
      <c r="AM350" s="12"/>
      <c r="AN350" s="12"/>
      <c r="AO350" s="12"/>
      <c r="AP350" s="38"/>
      <c r="AQ350" s="37"/>
    </row>
    <row r="351" spans="1:43">
      <c r="A351" s="21">
        <f t="shared" si="196"/>
        <v>289</v>
      </c>
      <c r="B351" s="27" t="s">
        <v>599</v>
      </c>
      <c r="C351" s="56" t="s">
        <v>600</v>
      </c>
      <c r="D351" s="87" t="s">
        <v>594</v>
      </c>
      <c r="E351" s="83" t="s">
        <v>79</v>
      </c>
      <c r="F351" s="84" t="s">
        <v>351</v>
      </c>
      <c r="G351" s="26">
        <f>612+30+50</f>
        <v>692</v>
      </c>
      <c r="H351" s="32">
        <f t="shared" si="187"/>
        <v>8304</v>
      </c>
      <c r="I351" s="32">
        <v>60</v>
      </c>
      <c r="J351" s="36"/>
      <c r="K351" s="32">
        <f t="shared" si="188"/>
        <v>692</v>
      </c>
      <c r="L351" s="32">
        <v>300</v>
      </c>
      <c r="M351" s="37"/>
      <c r="N351" s="24">
        <v>125</v>
      </c>
      <c r="O351" s="24"/>
      <c r="P351" s="12">
        <f t="shared" si="189"/>
        <v>697.19</v>
      </c>
      <c r="Q351" s="9">
        <f>P351/13</f>
        <v>53.63</v>
      </c>
      <c r="R351" s="12"/>
      <c r="S351" s="37"/>
      <c r="T351" s="37"/>
      <c r="U351" s="12">
        <f>G351*0.075*13</f>
        <v>674.69999999999993</v>
      </c>
      <c r="V351" s="12">
        <f t="shared" si="190"/>
        <v>51.899999999999991</v>
      </c>
      <c r="W351" s="37"/>
      <c r="X351" s="37"/>
      <c r="Y351" s="12">
        <f>P351+S351+U351+W351</f>
        <v>1371.8899999999999</v>
      </c>
      <c r="Z351" s="12">
        <f t="shared" si="192"/>
        <v>89.96</v>
      </c>
      <c r="AA351" s="12">
        <f t="shared" si="193"/>
        <v>6.92</v>
      </c>
      <c r="AB351" s="12">
        <f>G351/30/7*1.5*45</f>
        <v>222.42857142857144</v>
      </c>
      <c r="AC351" s="12"/>
      <c r="AD351" s="12"/>
      <c r="AE351" s="12">
        <f>AB351*0.0775</f>
        <v>17.238214285714285</v>
      </c>
      <c r="AF351" s="12"/>
      <c r="AG351" s="12">
        <f>AB351*0.075</f>
        <v>16.682142857142857</v>
      </c>
      <c r="AH351" s="12"/>
      <c r="AI351" s="12">
        <f>AE351+AF351+AG351+AH351</f>
        <v>33.920357142857142</v>
      </c>
      <c r="AJ351" s="12">
        <f>AB351*0.01</f>
        <v>2.2242857142857146</v>
      </c>
      <c r="AK351" s="38"/>
      <c r="AL351" s="38"/>
      <c r="AM351" s="12"/>
      <c r="AN351" s="12"/>
      <c r="AO351" s="12"/>
      <c r="AP351" s="38"/>
      <c r="AQ351" s="37"/>
    </row>
    <row r="352" spans="1:43">
      <c r="A352" s="21">
        <f t="shared" si="196"/>
        <v>290</v>
      </c>
      <c r="B352" s="27" t="s">
        <v>601</v>
      </c>
      <c r="C352" s="56" t="s">
        <v>600</v>
      </c>
      <c r="D352" s="87" t="s">
        <v>594</v>
      </c>
      <c r="E352" s="83" t="s">
        <v>79</v>
      </c>
      <c r="F352" s="84" t="s">
        <v>351</v>
      </c>
      <c r="G352" s="26">
        <f>554+30+50</f>
        <v>634</v>
      </c>
      <c r="H352" s="32">
        <f t="shared" si="187"/>
        <v>7608</v>
      </c>
      <c r="I352" s="32">
        <v>60</v>
      </c>
      <c r="J352" s="36"/>
      <c r="K352" s="32">
        <f t="shared" si="188"/>
        <v>634</v>
      </c>
      <c r="L352" s="32">
        <v>300</v>
      </c>
      <c r="M352" s="37"/>
      <c r="N352" s="24">
        <v>125</v>
      </c>
      <c r="O352" s="24"/>
      <c r="P352" s="12">
        <f t="shared" si="189"/>
        <v>638.755</v>
      </c>
      <c r="Q352" s="40"/>
      <c r="R352" s="12">
        <f>P352/13</f>
        <v>49.134999999999998</v>
      </c>
      <c r="S352" s="12"/>
      <c r="T352" s="12"/>
      <c r="U352" s="12">
        <f t="shared" si="194"/>
        <v>618.15</v>
      </c>
      <c r="V352" s="12">
        <f t="shared" si="190"/>
        <v>47.55</v>
      </c>
      <c r="W352" s="12"/>
      <c r="X352" s="12"/>
      <c r="Y352" s="12">
        <f t="shared" si="191"/>
        <v>1256.905</v>
      </c>
      <c r="Z352" s="12">
        <f t="shared" si="192"/>
        <v>82.42</v>
      </c>
      <c r="AA352" s="12">
        <f t="shared" si="193"/>
        <v>6.34</v>
      </c>
      <c r="AB352" s="12">
        <f t="shared" si="195"/>
        <v>203.78571428571428</v>
      </c>
      <c r="AC352" s="12">
        <v>27.66</v>
      </c>
      <c r="AD352" s="12">
        <f>AB352-AC352</f>
        <v>176.12571428571428</v>
      </c>
      <c r="AE352" s="12">
        <f t="shared" ref="AE352:AE362" si="197">AB352*0.0775</f>
        <v>15.793392857142857</v>
      </c>
      <c r="AF352" s="12"/>
      <c r="AG352" s="12">
        <f>AB352*0.075</f>
        <v>15.28392857142857</v>
      </c>
      <c r="AH352" s="12"/>
      <c r="AI352" s="12">
        <f>AE352+AF352+AG352+AH352-0.01</f>
        <v>31.067321428571425</v>
      </c>
      <c r="AJ352" s="12">
        <f>AB352*0.01</f>
        <v>2.0378571428571428</v>
      </c>
      <c r="AK352" s="37"/>
      <c r="AL352" s="37"/>
      <c r="AM352" s="12"/>
      <c r="AN352" s="12"/>
      <c r="AO352" s="12"/>
      <c r="AP352" s="37"/>
      <c r="AQ352" s="37"/>
    </row>
    <row r="353" spans="1:43">
      <c r="A353" s="21">
        <f t="shared" si="196"/>
        <v>291</v>
      </c>
      <c r="B353" s="27" t="s">
        <v>602</v>
      </c>
      <c r="C353" s="56" t="s">
        <v>600</v>
      </c>
      <c r="D353" s="87" t="s">
        <v>594</v>
      </c>
      <c r="E353" s="83" t="s">
        <v>79</v>
      </c>
      <c r="F353" s="84" t="s">
        <v>351</v>
      </c>
      <c r="G353" s="26">
        <f>554+30+50</f>
        <v>634</v>
      </c>
      <c r="H353" s="32">
        <f t="shared" si="187"/>
        <v>7608</v>
      </c>
      <c r="I353" s="32">
        <v>60</v>
      </c>
      <c r="J353" s="36"/>
      <c r="K353" s="32">
        <f t="shared" si="188"/>
        <v>634</v>
      </c>
      <c r="L353" s="32">
        <v>300</v>
      </c>
      <c r="M353" s="37"/>
      <c r="N353" s="24">
        <v>125</v>
      </c>
      <c r="O353" s="24"/>
      <c r="P353" s="12">
        <f t="shared" si="189"/>
        <v>638.755</v>
      </c>
      <c r="Q353" s="9">
        <f t="shared" ref="Q353:Q358" si="198">P353/13</f>
        <v>49.134999999999998</v>
      </c>
      <c r="R353" s="12"/>
      <c r="S353" s="12"/>
      <c r="T353" s="12"/>
      <c r="U353" s="12">
        <f t="shared" si="194"/>
        <v>618.15</v>
      </c>
      <c r="V353" s="12">
        <f t="shared" si="190"/>
        <v>47.55</v>
      </c>
      <c r="W353" s="12"/>
      <c r="X353" s="12"/>
      <c r="Y353" s="12">
        <f t="shared" si="191"/>
        <v>1256.905</v>
      </c>
      <c r="Z353" s="12">
        <f t="shared" si="192"/>
        <v>82.42</v>
      </c>
      <c r="AA353" s="12">
        <f t="shared" si="193"/>
        <v>6.34</v>
      </c>
      <c r="AB353" s="12">
        <f t="shared" si="195"/>
        <v>203.78571428571428</v>
      </c>
      <c r="AC353" s="12">
        <v>82.97</v>
      </c>
      <c r="AD353" s="12">
        <f>AB353-AC353</f>
        <v>120.81571428571428</v>
      </c>
      <c r="AE353" s="12">
        <f t="shared" si="197"/>
        <v>15.793392857142857</v>
      </c>
      <c r="AF353" s="12"/>
      <c r="AG353" s="12">
        <f>AB353*0.075</f>
        <v>15.28392857142857</v>
      </c>
      <c r="AH353" s="12"/>
      <c r="AI353" s="12">
        <f>AE353+AF353+AG353+AH353-0.01</f>
        <v>31.067321428571425</v>
      </c>
      <c r="AJ353" s="12">
        <f>AB353*0.01</f>
        <v>2.0378571428571428</v>
      </c>
      <c r="AK353" s="37"/>
      <c r="AL353" s="37"/>
      <c r="AM353" s="12"/>
      <c r="AN353" s="12"/>
      <c r="AO353" s="12"/>
      <c r="AP353" s="37"/>
      <c r="AQ353" s="37"/>
    </row>
    <row r="354" spans="1:43">
      <c r="A354" s="21">
        <f t="shared" si="196"/>
        <v>292</v>
      </c>
      <c r="B354" s="45" t="s">
        <v>603</v>
      </c>
      <c r="C354" s="56" t="s">
        <v>604</v>
      </c>
      <c r="D354" s="87" t="s">
        <v>594</v>
      </c>
      <c r="E354" s="83" t="s">
        <v>79</v>
      </c>
      <c r="F354" s="84" t="s">
        <v>351</v>
      </c>
      <c r="G354" s="26">
        <v>467</v>
      </c>
      <c r="H354" s="32">
        <f t="shared" si="187"/>
        <v>5604</v>
      </c>
      <c r="I354" s="32">
        <v>60</v>
      </c>
      <c r="J354" s="36"/>
      <c r="K354" s="32">
        <f t="shared" si="188"/>
        <v>467</v>
      </c>
      <c r="L354" s="32">
        <v>300</v>
      </c>
      <c r="M354" s="37"/>
      <c r="N354" s="24">
        <v>125</v>
      </c>
      <c r="O354" s="24"/>
      <c r="P354" s="12">
        <f>G354*0.0775*13</f>
        <v>470.50250000000005</v>
      </c>
      <c r="Q354" s="12"/>
      <c r="R354" s="12">
        <f>P354/13</f>
        <v>36.192500000000003</v>
      </c>
      <c r="S354" s="37"/>
      <c r="T354" s="37"/>
      <c r="U354" s="12">
        <f>G354*0.075*13</f>
        <v>455.32499999999999</v>
      </c>
      <c r="V354" s="12">
        <f t="shared" si="190"/>
        <v>35.024999999999999</v>
      </c>
      <c r="W354" s="37"/>
      <c r="X354" s="37"/>
      <c r="Y354" s="12">
        <f>P354+S354+U354+W354</f>
        <v>925.8275000000001</v>
      </c>
      <c r="Z354" s="12">
        <f t="shared" si="192"/>
        <v>60.71</v>
      </c>
      <c r="AA354" s="12">
        <f t="shared" si="193"/>
        <v>4.67</v>
      </c>
      <c r="AB354" s="38"/>
      <c r="AC354" s="38"/>
      <c r="AD354" s="38"/>
      <c r="AE354" s="38"/>
      <c r="AF354" s="37"/>
      <c r="AG354" s="38"/>
      <c r="AH354" s="37"/>
      <c r="AI354" s="12"/>
      <c r="AJ354" s="38"/>
      <c r="AK354" s="38"/>
      <c r="AL354" s="38"/>
      <c r="AM354" s="12"/>
      <c r="AN354" s="12"/>
      <c r="AO354" s="12"/>
      <c r="AP354" s="38"/>
      <c r="AQ354" s="37"/>
    </row>
    <row r="355" spans="1:43">
      <c r="A355" s="21">
        <f t="shared" si="196"/>
        <v>293</v>
      </c>
      <c r="B355" s="45" t="s">
        <v>605</v>
      </c>
      <c r="C355" s="56" t="s">
        <v>606</v>
      </c>
      <c r="D355" s="87" t="s">
        <v>594</v>
      </c>
      <c r="E355" s="83" t="s">
        <v>79</v>
      </c>
      <c r="F355" s="84" t="s">
        <v>351</v>
      </c>
      <c r="G355" s="26">
        <v>417</v>
      </c>
      <c r="H355" s="32">
        <f t="shared" si="187"/>
        <v>5004</v>
      </c>
      <c r="I355" s="32">
        <v>60</v>
      </c>
      <c r="J355" s="36"/>
      <c r="K355" s="32">
        <f t="shared" si="188"/>
        <v>417</v>
      </c>
      <c r="L355" s="32">
        <v>300</v>
      </c>
      <c r="M355" s="37"/>
      <c r="N355" s="24">
        <v>125</v>
      </c>
      <c r="O355" s="24"/>
      <c r="P355" s="12">
        <f>G355*0.0775*13</f>
        <v>420.12750000000005</v>
      </c>
      <c r="Q355" s="9"/>
      <c r="R355" s="12">
        <f>P355/13</f>
        <v>32.317500000000003</v>
      </c>
      <c r="S355" s="12"/>
      <c r="T355" s="12"/>
      <c r="U355" s="12">
        <f>G355*0.075*13</f>
        <v>406.57499999999999</v>
      </c>
      <c r="V355" s="12">
        <f t="shared" si="190"/>
        <v>31.274999999999999</v>
      </c>
      <c r="W355" s="12"/>
      <c r="X355" s="12"/>
      <c r="Y355" s="12">
        <f>P355+S355+U355+W355+0.01</f>
        <v>826.71250000000009</v>
      </c>
      <c r="Z355" s="12">
        <f t="shared" si="192"/>
        <v>54.21</v>
      </c>
      <c r="AA355" s="12">
        <f t="shared" si="193"/>
        <v>4.17</v>
      </c>
      <c r="AB355" s="38"/>
      <c r="AC355" s="38"/>
      <c r="AD355" s="38"/>
      <c r="AE355" s="38"/>
      <c r="AF355" s="37"/>
      <c r="AG355" s="38"/>
      <c r="AH355" s="37"/>
      <c r="AI355" s="12"/>
      <c r="AJ355" s="38"/>
      <c r="AK355" s="38"/>
      <c r="AL355" s="38"/>
      <c r="AM355" s="12"/>
      <c r="AN355" s="12"/>
      <c r="AO355" s="12"/>
      <c r="AP355" s="38"/>
      <c r="AQ355" s="37"/>
    </row>
    <row r="356" spans="1:43">
      <c r="A356" s="21">
        <f t="shared" si="196"/>
        <v>294</v>
      </c>
      <c r="B356" s="112" t="s">
        <v>607</v>
      </c>
      <c r="C356" s="56" t="s">
        <v>606</v>
      </c>
      <c r="D356" s="87" t="s">
        <v>594</v>
      </c>
      <c r="E356" s="83" t="s">
        <v>79</v>
      </c>
      <c r="F356" s="84" t="s">
        <v>351</v>
      </c>
      <c r="G356" s="26">
        <v>417</v>
      </c>
      <c r="H356" s="32">
        <f t="shared" si="187"/>
        <v>5004</v>
      </c>
      <c r="I356" s="32">
        <v>60</v>
      </c>
      <c r="J356" s="36"/>
      <c r="K356" s="32">
        <f t="shared" si="188"/>
        <v>417</v>
      </c>
      <c r="L356" s="32">
        <v>300</v>
      </c>
      <c r="M356" s="37"/>
      <c r="N356" s="24">
        <v>125</v>
      </c>
      <c r="O356" s="24"/>
      <c r="P356" s="12">
        <f>G356*0.0775*13</f>
        <v>420.12750000000005</v>
      </c>
      <c r="Q356" s="9">
        <f>P356/13</f>
        <v>32.317500000000003</v>
      </c>
      <c r="R356" s="12"/>
      <c r="S356" s="12"/>
      <c r="T356" s="12"/>
      <c r="U356" s="12">
        <f>G356*0.075*13</f>
        <v>406.57499999999999</v>
      </c>
      <c r="V356" s="12">
        <f t="shared" si="190"/>
        <v>31.274999999999999</v>
      </c>
      <c r="W356" s="12"/>
      <c r="X356" s="12"/>
      <c r="Y356" s="12">
        <f>P356+S356+U356+W356</f>
        <v>826.7025000000001</v>
      </c>
      <c r="Z356" s="12">
        <f t="shared" si="192"/>
        <v>54.21</v>
      </c>
      <c r="AA356" s="12">
        <f t="shared" si="193"/>
        <v>4.17</v>
      </c>
      <c r="AB356" s="12">
        <f>G356/30/7*1.5*45-0.01</f>
        <v>134.02571428571429</v>
      </c>
      <c r="AC356" s="12">
        <v>157.63</v>
      </c>
      <c r="AD356" s="12">
        <f t="shared" ref="AD356:AD362" si="199">AB356-AC356</f>
        <v>-23.604285714285709</v>
      </c>
      <c r="AE356" s="12">
        <f>AB356*0.0775</f>
        <v>10.386992857142857</v>
      </c>
      <c r="AF356" s="12"/>
      <c r="AG356" s="12">
        <f t="shared" ref="AG356:AG362" si="200">AB356*0.075</f>
        <v>10.05192857142857</v>
      </c>
      <c r="AH356" s="12"/>
      <c r="AI356" s="12">
        <f>AE356+AF356+AG356+AH356</f>
        <v>20.438921428571426</v>
      </c>
      <c r="AJ356" s="12">
        <f t="shared" ref="AJ356:AJ362" si="201">AB356*0.01</f>
        <v>1.3402571428571428</v>
      </c>
      <c r="AK356" s="37"/>
      <c r="AL356" s="37"/>
      <c r="AM356" s="12"/>
      <c r="AN356" s="12"/>
      <c r="AO356" s="12"/>
      <c r="AP356" s="37"/>
      <c r="AQ356" s="37"/>
    </row>
    <row r="357" spans="1:43">
      <c r="A357" s="21">
        <f t="shared" si="196"/>
        <v>295</v>
      </c>
      <c r="B357" s="27" t="s">
        <v>608</v>
      </c>
      <c r="C357" s="56" t="s">
        <v>551</v>
      </c>
      <c r="D357" s="87" t="s">
        <v>594</v>
      </c>
      <c r="E357" s="83" t="s">
        <v>79</v>
      </c>
      <c r="F357" s="84" t="s">
        <v>351</v>
      </c>
      <c r="G357" s="26">
        <f>467+30+50</f>
        <v>547</v>
      </c>
      <c r="H357" s="32">
        <f t="shared" si="187"/>
        <v>6564</v>
      </c>
      <c r="I357" s="32">
        <v>60</v>
      </c>
      <c r="J357" s="36"/>
      <c r="K357" s="32">
        <f t="shared" si="188"/>
        <v>547</v>
      </c>
      <c r="L357" s="32">
        <v>300</v>
      </c>
      <c r="M357" s="37"/>
      <c r="N357" s="24">
        <v>125</v>
      </c>
      <c r="O357" s="24"/>
      <c r="P357" s="12">
        <f t="shared" si="189"/>
        <v>551.10249999999996</v>
      </c>
      <c r="Q357" s="9">
        <f t="shared" si="198"/>
        <v>42.392499999999998</v>
      </c>
      <c r="R357" s="12"/>
      <c r="S357" s="12"/>
      <c r="T357" s="12"/>
      <c r="U357" s="12">
        <f t="shared" si="194"/>
        <v>533.32499999999993</v>
      </c>
      <c r="V357" s="12">
        <f t="shared" si="190"/>
        <v>41.024999999999991</v>
      </c>
      <c r="W357" s="12"/>
      <c r="X357" s="12"/>
      <c r="Y357" s="12">
        <f>P357+S357+U357+W357</f>
        <v>1084.4274999999998</v>
      </c>
      <c r="Z357" s="12">
        <f t="shared" si="192"/>
        <v>71.11</v>
      </c>
      <c r="AA357" s="12">
        <f t="shared" si="193"/>
        <v>5.47</v>
      </c>
      <c r="AB357" s="12">
        <f t="shared" si="195"/>
        <v>175.82142857142858</v>
      </c>
      <c r="AC357" s="12">
        <v>90.74</v>
      </c>
      <c r="AD357" s="12">
        <f t="shared" si="199"/>
        <v>85.081428571428589</v>
      </c>
      <c r="AE357" s="12">
        <f t="shared" si="197"/>
        <v>13.626160714285716</v>
      </c>
      <c r="AF357" s="12"/>
      <c r="AG357" s="12">
        <f t="shared" si="200"/>
        <v>13.186607142857143</v>
      </c>
      <c r="AH357" s="12"/>
      <c r="AI357" s="12">
        <f>AE357+AF357+AG357+AH357+0.01</f>
        <v>26.82276785714286</v>
      </c>
      <c r="AJ357" s="12">
        <f t="shared" si="201"/>
        <v>1.758214285714286</v>
      </c>
      <c r="AK357" s="37"/>
      <c r="AL357" s="37"/>
      <c r="AM357" s="12"/>
      <c r="AN357" s="12"/>
      <c r="AO357" s="12"/>
      <c r="AP357" s="37"/>
      <c r="AQ357" s="37"/>
    </row>
    <row r="358" spans="1:43">
      <c r="A358" s="21">
        <f t="shared" si="196"/>
        <v>296</v>
      </c>
      <c r="B358" s="27" t="s">
        <v>609</v>
      </c>
      <c r="C358" s="56" t="s">
        <v>551</v>
      </c>
      <c r="D358" s="87" t="s">
        <v>594</v>
      </c>
      <c r="E358" s="83" t="s">
        <v>79</v>
      </c>
      <c r="F358" s="84" t="s">
        <v>351</v>
      </c>
      <c r="G358" s="26">
        <f>467+30+50</f>
        <v>547</v>
      </c>
      <c r="H358" s="32">
        <f t="shared" si="187"/>
        <v>6564</v>
      </c>
      <c r="I358" s="32">
        <v>60</v>
      </c>
      <c r="J358" s="36"/>
      <c r="K358" s="32">
        <f t="shared" si="188"/>
        <v>547</v>
      </c>
      <c r="L358" s="32">
        <v>300</v>
      </c>
      <c r="M358" s="37"/>
      <c r="N358" s="24">
        <v>125</v>
      </c>
      <c r="O358" s="24"/>
      <c r="P358" s="12">
        <f t="shared" si="189"/>
        <v>551.10249999999996</v>
      </c>
      <c r="Q358" s="9">
        <f t="shared" si="198"/>
        <v>42.392499999999998</v>
      </c>
      <c r="R358" s="12"/>
      <c r="S358" s="12"/>
      <c r="T358" s="12"/>
      <c r="U358" s="12">
        <f t="shared" si="194"/>
        <v>533.32499999999993</v>
      </c>
      <c r="V358" s="12">
        <f t="shared" si="190"/>
        <v>41.024999999999991</v>
      </c>
      <c r="W358" s="12"/>
      <c r="X358" s="12"/>
      <c r="Y358" s="12">
        <f>P358+S358+U358+W358</f>
        <v>1084.4274999999998</v>
      </c>
      <c r="Z358" s="12">
        <f t="shared" si="192"/>
        <v>71.11</v>
      </c>
      <c r="AA358" s="12">
        <f t="shared" si="193"/>
        <v>5.47</v>
      </c>
      <c r="AB358" s="12">
        <f t="shared" si="195"/>
        <v>175.82142857142858</v>
      </c>
      <c r="AC358" s="12">
        <v>113.43</v>
      </c>
      <c r="AD358" s="12">
        <f t="shared" si="199"/>
        <v>62.391428571428577</v>
      </c>
      <c r="AE358" s="12">
        <f t="shared" si="197"/>
        <v>13.626160714285716</v>
      </c>
      <c r="AF358" s="12"/>
      <c r="AG358" s="12">
        <f t="shared" si="200"/>
        <v>13.186607142857143</v>
      </c>
      <c r="AH358" s="12"/>
      <c r="AI358" s="12">
        <f>AE358+AF358+AG358+AH358+0.01</f>
        <v>26.82276785714286</v>
      </c>
      <c r="AJ358" s="12">
        <f t="shared" si="201"/>
        <v>1.758214285714286</v>
      </c>
      <c r="AK358" s="37"/>
      <c r="AL358" s="37"/>
      <c r="AM358" s="12"/>
      <c r="AN358" s="12"/>
      <c r="AO358" s="12"/>
      <c r="AP358" s="37"/>
      <c r="AQ358" s="37"/>
    </row>
    <row r="359" spans="1:43">
      <c r="A359" s="21">
        <f t="shared" si="196"/>
        <v>297</v>
      </c>
      <c r="B359" s="27" t="s">
        <v>610</v>
      </c>
      <c r="C359" s="56" t="s">
        <v>551</v>
      </c>
      <c r="D359" s="87" t="s">
        <v>594</v>
      </c>
      <c r="E359" s="83" t="s">
        <v>79</v>
      </c>
      <c r="F359" s="84" t="s">
        <v>351</v>
      </c>
      <c r="G359" s="26">
        <f>467+30+50</f>
        <v>547</v>
      </c>
      <c r="H359" s="32">
        <f t="shared" si="187"/>
        <v>6564</v>
      </c>
      <c r="I359" s="32">
        <v>60</v>
      </c>
      <c r="J359" s="36"/>
      <c r="K359" s="32">
        <f t="shared" si="188"/>
        <v>547</v>
      </c>
      <c r="L359" s="32">
        <v>300</v>
      </c>
      <c r="M359" s="37"/>
      <c r="N359" s="24">
        <v>125</v>
      </c>
      <c r="O359" s="24"/>
      <c r="P359" s="12">
        <f>G359*0.0775*13</f>
        <v>551.10249999999996</v>
      </c>
      <c r="Q359" s="9">
        <f>P359/13</f>
        <v>42.392499999999998</v>
      </c>
      <c r="R359" s="12"/>
      <c r="S359" s="12"/>
      <c r="T359" s="12"/>
      <c r="U359" s="12">
        <f>G359*0.075*13</f>
        <v>533.32499999999993</v>
      </c>
      <c r="V359" s="12">
        <f t="shared" si="190"/>
        <v>41.024999999999991</v>
      </c>
      <c r="W359" s="12"/>
      <c r="X359" s="12"/>
      <c r="Y359" s="12">
        <f>P359+S359+U359+W359</f>
        <v>1084.4274999999998</v>
      </c>
      <c r="Z359" s="12">
        <f t="shared" si="192"/>
        <v>71.11</v>
      </c>
      <c r="AA359" s="12">
        <f t="shared" si="193"/>
        <v>5.47</v>
      </c>
      <c r="AB359" s="12">
        <f>G359/30/7*1.5*45</f>
        <v>175.82142857142858</v>
      </c>
      <c r="AC359" s="12">
        <v>113.43</v>
      </c>
      <c r="AD359" s="12">
        <f t="shared" si="199"/>
        <v>62.391428571428577</v>
      </c>
      <c r="AE359" s="12">
        <f>AB359*0.0775</f>
        <v>13.626160714285716</v>
      </c>
      <c r="AF359" s="12"/>
      <c r="AG359" s="12">
        <f t="shared" si="200"/>
        <v>13.186607142857143</v>
      </c>
      <c r="AH359" s="12"/>
      <c r="AI359" s="12">
        <f>AE359+AF359+AG359+AH359+0.01</f>
        <v>26.82276785714286</v>
      </c>
      <c r="AJ359" s="12">
        <f t="shared" si="201"/>
        <v>1.758214285714286</v>
      </c>
      <c r="AK359" s="37"/>
      <c r="AL359" s="37"/>
      <c r="AM359" s="12"/>
      <c r="AN359" s="12"/>
      <c r="AO359" s="12"/>
      <c r="AP359" s="37"/>
      <c r="AQ359" s="37"/>
    </row>
    <row r="360" spans="1:43">
      <c r="A360" s="21">
        <f t="shared" si="196"/>
        <v>298</v>
      </c>
      <c r="B360" s="27" t="s">
        <v>611</v>
      </c>
      <c r="C360" s="56" t="s">
        <v>554</v>
      </c>
      <c r="D360" s="87" t="s">
        <v>594</v>
      </c>
      <c r="E360" s="83" t="s">
        <v>79</v>
      </c>
      <c r="F360" s="84" t="s">
        <v>351</v>
      </c>
      <c r="G360" s="26">
        <f>417+30+50</f>
        <v>497</v>
      </c>
      <c r="H360" s="32">
        <f t="shared" si="187"/>
        <v>5964</v>
      </c>
      <c r="I360" s="32">
        <v>60</v>
      </c>
      <c r="J360" s="36"/>
      <c r="K360" s="32">
        <f t="shared" si="188"/>
        <v>497</v>
      </c>
      <c r="L360" s="32">
        <v>300</v>
      </c>
      <c r="M360" s="37"/>
      <c r="N360" s="24">
        <v>125</v>
      </c>
      <c r="O360" s="24"/>
      <c r="P360" s="12">
        <f>G360*0.0775*13</f>
        <v>500.72749999999996</v>
      </c>
      <c r="Q360" s="9">
        <f>P360/13</f>
        <v>38.517499999999998</v>
      </c>
      <c r="R360" s="12"/>
      <c r="S360" s="12"/>
      <c r="T360" s="12"/>
      <c r="U360" s="12">
        <f>G360*0.075*13</f>
        <v>484.57499999999999</v>
      </c>
      <c r="V360" s="12">
        <f t="shared" si="190"/>
        <v>37.274999999999999</v>
      </c>
      <c r="W360" s="12"/>
      <c r="X360" s="12"/>
      <c r="Y360" s="12">
        <f>P360+S360+U360+W360+0.01</f>
        <v>985.3125</v>
      </c>
      <c r="Z360" s="12">
        <f t="shared" si="192"/>
        <v>64.61</v>
      </c>
      <c r="AA360" s="12">
        <f t="shared" si="193"/>
        <v>4.97</v>
      </c>
      <c r="AB360" s="12">
        <f>G360/30/7*1.5*45</f>
        <v>159.75</v>
      </c>
      <c r="AC360" s="12">
        <v>99.14</v>
      </c>
      <c r="AD360" s="12">
        <f t="shared" si="199"/>
        <v>60.61</v>
      </c>
      <c r="AE360" s="12">
        <f>AB360*0.0775</f>
        <v>12.380625</v>
      </c>
      <c r="AF360" s="12"/>
      <c r="AG360" s="12">
        <f t="shared" si="200"/>
        <v>11.981249999999999</v>
      </c>
      <c r="AH360" s="12"/>
      <c r="AI360" s="12">
        <f>AE360+AF360+AG360+AH360</f>
        <v>24.361874999999998</v>
      </c>
      <c r="AJ360" s="12">
        <f t="shared" si="201"/>
        <v>1.5975000000000001</v>
      </c>
      <c r="AK360" s="37"/>
      <c r="AL360" s="37"/>
      <c r="AM360" s="12"/>
      <c r="AN360" s="12"/>
      <c r="AO360" s="12"/>
      <c r="AP360" s="37"/>
      <c r="AQ360" s="37"/>
    </row>
    <row r="361" spans="1:43">
      <c r="A361" s="21">
        <f t="shared" si="196"/>
        <v>299</v>
      </c>
      <c r="B361" s="27" t="s">
        <v>612</v>
      </c>
      <c r="C361" s="51" t="s">
        <v>613</v>
      </c>
      <c r="D361" s="87" t="s">
        <v>594</v>
      </c>
      <c r="E361" s="83" t="s">
        <v>79</v>
      </c>
      <c r="F361" s="84" t="s">
        <v>351</v>
      </c>
      <c r="G361" s="26">
        <v>417</v>
      </c>
      <c r="H361" s="32">
        <f t="shared" si="187"/>
        <v>5004</v>
      </c>
      <c r="I361" s="32">
        <v>60</v>
      </c>
      <c r="J361" s="36"/>
      <c r="K361" s="32">
        <f t="shared" si="188"/>
        <v>417</v>
      </c>
      <c r="L361" s="32">
        <v>300</v>
      </c>
      <c r="M361" s="37"/>
      <c r="N361" s="24">
        <v>125</v>
      </c>
      <c r="O361" s="24"/>
      <c r="P361" s="12">
        <f>G361*0.0775*13</f>
        <v>420.12750000000005</v>
      </c>
      <c r="Q361" s="9"/>
      <c r="R361" s="12">
        <f>P361/13</f>
        <v>32.317500000000003</v>
      </c>
      <c r="S361" s="12"/>
      <c r="T361" s="12"/>
      <c r="U361" s="12">
        <f>G361*0.075*13</f>
        <v>406.57499999999999</v>
      </c>
      <c r="V361" s="12">
        <f t="shared" si="190"/>
        <v>31.274999999999999</v>
      </c>
      <c r="W361" s="12"/>
      <c r="X361" s="12"/>
      <c r="Y361" s="12">
        <f>P361+S361+U361+W361+0.01</f>
        <v>826.71250000000009</v>
      </c>
      <c r="Z361" s="12">
        <f t="shared" si="192"/>
        <v>54.21</v>
      </c>
      <c r="AA361" s="12">
        <f t="shared" si="193"/>
        <v>4.17</v>
      </c>
      <c r="AB361" s="12">
        <f>G361/30/7*1.5*45</f>
        <v>134.03571428571428</v>
      </c>
      <c r="AC361" s="12">
        <v>99.14</v>
      </c>
      <c r="AD361" s="12">
        <f t="shared" si="199"/>
        <v>34.895714285714277</v>
      </c>
      <c r="AE361" s="12">
        <f>AB361*0.0775</f>
        <v>10.387767857142856</v>
      </c>
      <c r="AF361" s="12"/>
      <c r="AG361" s="12">
        <f t="shared" si="200"/>
        <v>10.05267857142857</v>
      </c>
      <c r="AH361" s="12"/>
      <c r="AI361" s="12">
        <f>AE361+AF361+AG361+AH361</f>
        <v>20.440446428571427</v>
      </c>
      <c r="AJ361" s="12">
        <f t="shared" si="201"/>
        <v>1.3403571428571428</v>
      </c>
      <c r="AK361" s="37"/>
      <c r="AL361" s="37"/>
      <c r="AM361" s="12"/>
      <c r="AN361" s="12"/>
      <c r="AO361" s="12"/>
      <c r="AP361" s="37"/>
      <c r="AQ361" s="37"/>
    </row>
    <row r="362" spans="1:43">
      <c r="A362" s="21">
        <f t="shared" si="196"/>
        <v>300</v>
      </c>
      <c r="B362" s="112" t="s">
        <v>614</v>
      </c>
      <c r="C362" s="51" t="s">
        <v>613</v>
      </c>
      <c r="D362" s="87" t="s">
        <v>594</v>
      </c>
      <c r="E362" s="83" t="s">
        <v>79</v>
      </c>
      <c r="F362" s="84" t="s">
        <v>351</v>
      </c>
      <c r="G362" s="26">
        <v>417</v>
      </c>
      <c r="H362" s="32">
        <f t="shared" si="187"/>
        <v>5004</v>
      </c>
      <c r="I362" s="32">
        <v>60</v>
      </c>
      <c r="J362" s="36"/>
      <c r="K362" s="32">
        <f t="shared" si="188"/>
        <v>417</v>
      </c>
      <c r="L362" s="32">
        <v>300</v>
      </c>
      <c r="M362" s="37"/>
      <c r="N362" s="24">
        <v>125</v>
      </c>
      <c r="O362" s="24"/>
      <c r="P362" s="12">
        <f t="shared" si="189"/>
        <v>420.12750000000005</v>
      </c>
      <c r="Q362" s="40"/>
      <c r="R362" s="12">
        <f>P362/13</f>
        <v>32.317500000000003</v>
      </c>
      <c r="S362" s="12"/>
      <c r="T362" s="12"/>
      <c r="U362" s="12">
        <f>G362*0.075*13</f>
        <v>406.57499999999999</v>
      </c>
      <c r="V362" s="12">
        <f t="shared" si="190"/>
        <v>31.274999999999999</v>
      </c>
      <c r="W362" s="12"/>
      <c r="X362" s="12"/>
      <c r="Y362" s="12">
        <f>P362+S362+U362+W362</f>
        <v>826.7025000000001</v>
      </c>
      <c r="Z362" s="12">
        <f t="shared" si="192"/>
        <v>54.21</v>
      </c>
      <c r="AA362" s="12">
        <f t="shared" si="193"/>
        <v>4.17</v>
      </c>
      <c r="AB362" s="12">
        <f>G362/30/7*1.5*45</f>
        <v>134.03571428571428</v>
      </c>
      <c r="AC362" s="12">
        <v>146.21</v>
      </c>
      <c r="AD362" s="12">
        <f t="shared" si="199"/>
        <v>-12.17428571428573</v>
      </c>
      <c r="AE362" s="12">
        <f t="shared" si="197"/>
        <v>10.387767857142856</v>
      </c>
      <c r="AF362" s="12"/>
      <c r="AG362" s="12">
        <f t="shared" si="200"/>
        <v>10.05267857142857</v>
      </c>
      <c r="AH362" s="12"/>
      <c r="AI362" s="12">
        <f>AE362+AF362+AG362+AH362-0.01</f>
        <v>20.430446428571425</v>
      </c>
      <c r="AJ362" s="12">
        <f t="shared" si="201"/>
        <v>1.3403571428571428</v>
      </c>
      <c r="AK362" s="37"/>
      <c r="AL362" s="37"/>
      <c r="AM362" s="12"/>
      <c r="AN362" s="12"/>
      <c r="AO362" s="12"/>
      <c r="AP362" s="37"/>
      <c r="AQ362" s="37"/>
    </row>
    <row r="363" spans="1:43">
      <c r="A363" s="21"/>
      <c r="B363" s="62"/>
      <c r="C363" s="29" t="s">
        <v>615</v>
      </c>
      <c r="D363" s="63"/>
      <c r="E363" s="23"/>
      <c r="F363" s="7"/>
      <c r="G363" s="30">
        <f>SUM(G347:G362)</f>
        <v>8964</v>
      </c>
      <c r="H363" s="30">
        <f>SUM(H347:H362)</f>
        <v>107568</v>
      </c>
      <c r="I363" s="30">
        <f>SUM(I347:I362)</f>
        <v>960</v>
      </c>
      <c r="J363" s="30">
        <f>SUM(J327:J362)</f>
        <v>0</v>
      </c>
      <c r="K363" s="30">
        <f>SUM(K347:K362)</f>
        <v>8964</v>
      </c>
      <c r="L363" s="30">
        <f>SUM(L347:L362)</f>
        <v>4800</v>
      </c>
      <c r="M363" s="20">
        <f>SUM(M327:M362)</f>
        <v>0</v>
      </c>
      <c r="N363" s="20">
        <f>SUM(N347:N362)</f>
        <v>2000</v>
      </c>
      <c r="O363" s="31"/>
      <c r="P363" s="20">
        <f>SUM(P347:P362)+0.01</f>
        <v>9031.2400000000016</v>
      </c>
      <c r="Q363" s="20">
        <f>SUM(Q347:Q362)</f>
        <v>404.16249999999991</v>
      </c>
      <c r="R363" s="20">
        <f>SUM(R347:R362)+0.01</f>
        <v>290.5575</v>
      </c>
      <c r="S363" s="20">
        <f>SUM(S347:S362)</f>
        <v>0</v>
      </c>
      <c r="T363" s="20">
        <f>SUM(T347:T362)</f>
        <v>0</v>
      </c>
      <c r="U363" s="20">
        <f>SUM(U347:U362)+0.05</f>
        <v>8739.9499999999989</v>
      </c>
      <c r="V363" s="20">
        <f>SUM(V347:V362)+0.05</f>
        <v>672.3499999999998</v>
      </c>
      <c r="W363" s="20">
        <f>SUM(W347:W362)</f>
        <v>0</v>
      </c>
      <c r="X363" s="20">
        <f>SUM(X347:X362)</f>
        <v>0</v>
      </c>
      <c r="Y363" s="20">
        <f>SUM(Y347:Y362)+0.03</f>
        <v>17771.189999999995</v>
      </c>
      <c r="Z363" s="20">
        <f>SUM(Z347:Z362)</f>
        <v>1165.3200000000002</v>
      </c>
      <c r="AA363" s="20">
        <f>SUM(AA347:AA362)</f>
        <v>89.64</v>
      </c>
      <c r="AB363" s="20">
        <f>SUM(AB347:AB362)+0.02</f>
        <v>2389.1885714285713</v>
      </c>
      <c r="AC363" s="20">
        <f t="shared" ref="AC363:AH363" si="202">SUM(AC347:AC362)</f>
        <v>930.35</v>
      </c>
      <c r="AD363" s="20">
        <f t="shared" si="202"/>
        <v>566.53285714285721</v>
      </c>
      <c r="AE363" s="20">
        <f t="shared" si="202"/>
        <v>185.16056428571426</v>
      </c>
      <c r="AF363" s="20">
        <f t="shared" si="202"/>
        <v>0</v>
      </c>
      <c r="AG363" s="20">
        <f t="shared" si="202"/>
        <v>179.18764285714286</v>
      </c>
      <c r="AH363" s="20">
        <f t="shared" si="202"/>
        <v>0</v>
      </c>
      <c r="AI363" s="20">
        <f>SUM(AI347:AI362)-0.01</f>
        <v>364.33820714285719</v>
      </c>
      <c r="AJ363" s="20">
        <f>SUM(AJ347:AJ362)+0.02</f>
        <v>23.911685714285714</v>
      </c>
      <c r="AK363" s="20"/>
      <c r="AL363" s="20"/>
      <c r="AM363" s="64"/>
      <c r="AN363" s="64"/>
      <c r="AO363" s="64"/>
      <c r="AP363" s="20"/>
      <c r="AQ363" s="20"/>
    </row>
    <row r="364" spans="1:43" ht="15" thickBot="1">
      <c r="A364" s="65"/>
      <c r="B364" s="66"/>
      <c r="C364" s="67"/>
      <c r="D364" s="68" t="s">
        <v>616</v>
      </c>
      <c r="E364" s="69"/>
      <c r="F364" s="69"/>
      <c r="G364" s="64">
        <f>(G363+G346+G248+G211+G202+G197+G177)</f>
        <v>102977.69</v>
      </c>
      <c r="H364" s="64">
        <f>(H363+H346+H248+H211+H202+H197+H177)</f>
        <v>1235732.2799999998</v>
      </c>
      <c r="I364" s="64">
        <f>(I363+I346++I248+I211+I202+I197+I177)</f>
        <v>10500</v>
      </c>
      <c r="J364" s="64">
        <f>(J363+J346+J248+J211+J202+J197+J177+J174)</f>
        <v>0</v>
      </c>
      <c r="K364" s="64">
        <f>(K363+K346+K248+K211+K202+K197+K177)</f>
        <v>102977.69</v>
      </c>
      <c r="L364" s="64">
        <f>(L363+L346+L248+L211+L202+L197+L177)</f>
        <v>52500</v>
      </c>
      <c r="M364" s="64">
        <f>(M363+M346+M248+M211+M202+M197+M177)</f>
        <v>0</v>
      </c>
      <c r="N364" s="64">
        <f>(N363+N346+N248+N211+N202+N197+N177)</f>
        <v>21875</v>
      </c>
      <c r="O364" s="64">
        <f>(O363+O346+O248+O211+O202+O197)</f>
        <v>0</v>
      </c>
      <c r="P364" s="64">
        <f>(P363+P346+P248+P211+P202+P197+P177)+0.01</f>
        <v>92314.485350000017</v>
      </c>
      <c r="Q364" s="64">
        <f>(Q363+Q346+Q248+Q211+Q202+Q197+Q177)+0.01</f>
        <v>3000.6847500000003</v>
      </c>
      <c r="R364" s="64">
        <f>(R363+R346+R248+R211+R202+R197+R177)</f>
        <v>4100.3272000000006</v>
      </c>
      <c r="S364" s="64">
        <f>(S363+S346+S248+S211+S202+S197)</f>
        <v>611.32499999999993</v>
      </c>
      <c r="T364" s="64">
        <f>(T363+T346+T248+T211+T202+T197+T177)</f>
        <v>50.943749999999994</v>
      </c>
      <c r="U364" s="64">
        <f>(U363+U346+U248+U211+U202+U197+U177)</f>
        <v>99916.377749999956</v>
      </c>
      <c r="V364" s="64">
        <f>(V363+V346+V248+V211+V202+V197+V177)</f>
        <v>7686.3967500000063</v>
      </c>
      <c r="W364" s="64">
        <f>(W363+W346+W248+W211+W202+W197+W177)</f>
        <v>8364.1918000000005</v>
      </c>
      <c r="X364" s="64">
        <f>(X363+X346+X248+X211+X202+X197+X177)</f>
        <v>689.00515000000007</v>
      </c>
      <c r="Y364" s="64">
        <f>(Y363+Y346+Y248+Y211+Y202+Y197+Y177)+0.01</f>
        <v>201206.38989999998</v>
      </c>
      <c r="Z364" s="64">
        <f>(Z363+Z346+Z248+Z211+Z202+Z197+Z177)-0.01</f>
        <v>13387.0597</v>
      </c>
      <c r="AA364" s="64">
        <f>(AA363+AA346+AA248+AA211+AA202+AA197+AA177)</f>
        <v>1029.7968999999998</v>
      </c>
      <c r="AB364" s="64">
        <f>(AB363+AB346+AB248+AB211+AB202+AB197+AB177)+0.01</f>
        <v>19856.155714285713</v>
      </c>
      <c r="AC364" s="64">
        <f>(AC363+AC346+AC41+AC248+AC211+AC202+AC197)</f>
        <v>7152.52</v>
      </c>
      <c r="AD364" s="64">
        <f>(AD363+AD346+AD41+AD248+AD211+AD202+AD197)</f>
        <v>2703.0553571428572</v>
      </c>
      <c r="AE364" s="64">
        <f>(AE363+AE346+AE248+AE211+AE202+AE197+AE177)</f>
        <v>1419.1398785714273</v>
      </c>
      <c r="AF364" s="64">
        <f>(AF363+AF346+AF248+AF211+AF202+AF197+AF177)</f>
        <v>15.115178571428569</v>
      </c>
      <c r="AG364" s="64">
        <f>(AG363+AG346+AG248+AG211+AG202+AG197+AG177)+0.01</f>
        <v>1489.3496785714294</v>
      </c>
      <c r="AH364" s="64">
        <f t="shared" ref="AH364:AM364" si="203">(AH363+AH346+AH248+AH211+AH202+AH197+AH177)</f>
        <v>80.607371428571426</v>
      </c>
      <c r="AI364" s="64">
        <f t="shared" si="203"/>
        <v>3004.192107142861</v>
      </c>
      <c r="AJ364" s="64">
        <f t="shared" si="203"/>
        <v>198.65995714285719</v>
      </c>
      <c r="AK364" s="64">
        <f t="shared" si="203"/>
        <v>0</v>
      </c>
      <c r="AL364" s="64">
        <f t="shared" si="203"/>
        <v>0</v>
      </c>
      <c r="AM364" s="64">
        <f t="shared" si="203"/>
        <v>0</v>
      </c>
      <c r="AN364" s="64"/>
      <c r="AO364" s="64"/>
      <c r="AP364" s="64">
        <f>(AP363+AP346+AP248+AP211+AP202+AP197+AP177)</f>
        <v>0</v>
      </c>
      <c r="AQ364" s="64">
        <f>(AQ363+AQ346+AQ248+AQ211+AQ202+AQ197+AQ177)</f>
        <v>0</v>
      </c>
    </row>
    <row r="365" spans="1:43" ht="15" thickBot="1">
      <c r="A365" s="70"/>
      <c r="B365" s="71"/>
      <c r="C365" s="239" t="s">
        <v>617</v>
      </c>
      <c r="D365" s="240"/>
      <c r="E365" s="240"/>
      <c r="F365" s="241"/>
      <c r="G365" s="72">
        <f t="shared" ref="G365:P365" si="204">SUM(G364,G175,G148,G97)</f>
        <v>190757.86000000002</v>
      </c>
      <c r="H365" s="72">
        <f t="shared" si="204"/>
        <v>2289094.3199999998</v>
      </c>
      <c r="I365" s="72">
        <f t="shared" si="204"/>
        <v>17880</v>
      </c>
      <c r="J365" s="72" t="e">
        <f t="shared" si="204"/>
        <v>#REF!</v>
      </c>
      <c r="K365" s="72">
        <f t="shared" si="204"/>
        <v>193757.86000000002</v>
      </c>
      <c r="L365" s="72">
        <f t="shared" si="204"/>
        <v>89400</v>
      </c>
      <c r="M365" s="72" t="e">
        <f t="shared" si="204"/>
        <v>#REF!</v>
      </c>
      <c r="N365" s="72">
        <f t="shared" si="204"/>
        <v>37250</v>
      </c>
      <c r="O365" s="72">
        <f t="shared" si="204"/>
        <v>9730</v>
      </c>
      <c r="P365" s="72">
        <f t="shared" si="204"/>
        <v>195740.89872500004</v>
      </c>
      <c r="Q365" s="72">
        <f>SUM(Q364,Q175,Q148,Q97)-0.01</f>
        <v>7162.7720134615374</v>
      </c>
      <c r="R365" s="72">
        <f>SUM(R364,R175,R148,R97)</f>
        <v>7894.0863500000005</v>
      </c>
      <c r="S365" s="72">
        <f>SUM(S364,S175,S148,S97)+0.01</f>
        <v>1242.1599999999999</v>
      </c>
      <c r="T365" s="72">
        <f>SUM(T364,T175,T148,T97)</f>
        <v>103.51249999999999</v>
      </c>
      <c r="U365" s="72">
        <f>SUM(U364,U175,U148,U97)</f>
        <v>192840.40999999995</v>
      </c>
      <c r="V365" s="72">
        <f>SUM(V364,V175,V148,V97)</f>
        <v>14834.730000000005</v>
      </c>
      <c r="W365" s="72">
        <f>W364+W175+W148+W97</f>
        <v>10452.0334</v>
      </c>
      <c r="X365" s="72">
        <f>SUM(X364,X175,X148,X97)+0.01</f>
        <v>846.93195000000003</v>
      </c>
      <c r="Y365" s="72">
        <f>SUM(Y364,Y175,Y148,Y97)</f>
        <v>400275.50212499994</v>
      </c>
      <c r="Z365" s="72">
        <f>SUM(Z364,Z175,Z148,Z97)+0.01</f>
        <v>25800.205899999994</v>
      </c>
      <c r="AA365" s="72">
        <f>SUM(AA364,AA175,AA148,AA97)</f>
        <v>1984.6542999999997</v>
      </c>
      <c r="AB365" s="72">
        <f>SUM(AB364,AB175,AB148,AB97)</f>
        <v>21265.735714285711</v>
      </c>
      <c r="AC365" s="72" t="e">
        <f>SUM(AC364,AC175,AC148,AC97)</f>
        <v>#REF!</v>
      </c>
      <c r="AD365" s="72" t="e">
        <f>SUM(AD364,AD175,AD148,AD97)-0.01</f>
        <v>#REF!</v>
      </c>
      <c r="AE365" s="72">
        <f t="shared" ref="AE365:AJ365" si="205">SUM(AE364,AE175,AE148,AE97)</f>
        <v>1528.3915535714273</v>
      </c>
      <c r="AF365" s="72">
        <f t="shared" si="205"/>
        <v>15.115178571428569</v>
      </c>
      <c r="AG365" s="72">
        <f t="shared" si="205"/>
        <v>1595.0774285714294</v>
      </c>
      <c r="AH365" s="72">
        <f t="shared" si="205"/>
        <v>80.607371428571426</v>
      </c>
      <c r="AI365" s="72">
        <f t="shared" si="205"/>
        <v>3219.171532142861</v>
      </c>
      <c r="AJ365" s="72">
        <f t="shared" si="205"/>
        <v>212.76565714285721</v>
      </c>
      <c r="AK365" s="72">
        <f>AK97</f>
        <v>15915.89</v>
      </c>
      <c r="AL365" s="72">
        <f>AL97</f>
        <v>110000</v>
      </c>
      <c r="AM365" s="72">
        <f>SUM(AM364,AM175,AM148,AM97)</f>
        <v>27900</v>
      </c>
      <c r="AN365" s="72">
        <f>SUM(AN364,AN175,AN148,AN97)</f>
        <v>9500</v>
      </c>
      <c r="AO365" s="72">
        <f>SUM(AO364,AO175,AO148,AO97)</f>
        <v>42722.82</v>
      </c>
      <c r="AP365" s="72">
        <f>SUM(AP364,AP175,AP148,AP97)</f>
        <v>20000</v>
      </c>
      <c r="AQ365" s="72">
        <f>SUM(AQ364,AQ175,AQ148,AQ97)</f>
        <v>236600</v>
      </c>
    </row>
    <row r="366" spans="1:43">
      <c r="A366" s="73"/>
      <c r="B366" s="73"/>
      <c r="C366" s="74"/>
      <c r="F366" s="75"/>
      <c r="H366" s="78"/>
      <c r="I366" s="79"/>
      <c r="J366" s="80"/>
    </row>
    <row r="367" spans="1:43">
      <c r="A367" s="73"/>
      <c r="B367" s="73"/>
      <c r="C367" s="74"/>
      <c r="F367" s="75"/>
      <c r="H367" s="81"/>
      <c r="I367" s="77"/>
      <c r="K367" s="77"/>
      <c r="L367" s="76"/>
    </row>
  </sheetData>
  <mergeCells count="36">
    <mergeCell ref="A4:A6"/>
    <mergeCell ref="B4:B6"/>
    <mergeCell ref="C4:C6"/>
    <mergeCell ref="D4:D6"/>
    <mergeCell ref="E4:E6"/>
    <mergeCell ref="AP4:AP6"/>
    <mergeCell ref="AQ4:AQ6"/>
    <mergeCell ref="G5:G6"/>
    <mergeCell ref="H5:H6"/>
    <mergeCell ref="I5:I6"/>
    <mergeCell ref="J5:J6"/>
    <mergeCell ref="K5:K6"/>
    <mergeCell ref="L5:L6"/>
    <mergeCell ref="M5:M6"/>
    <mergeCell ref="AE4:AI4"/>
    <mergeCell ref="AJ4:AJ6"/>
    <mergeCell ref="AK4:AK6"/>
    <mergeCell ref="AL4:AL6"/>
    <mergeCell ref="AM4:AM6"/>
    <mergeCell ref="AN4:AN6"/>
    <mergeCell ref="AF5:AI5"/>
    <mergeCell ref="C44:D44"/>
    <mergeCell ref="C175:D175"/>
    <mergeCell ref="C365:F365"/>
    <mergeCell ref="C49:E49"/>
    <mergeCell ref="AO4:AO6"/>
    <mergeCell ref="G4:H4"/>
    <mergeCell ref="J4:N4"/>
    <mergeCell ref="P4:Y4"/>
    <mergeCell ref="Z4:Z6"/>
    <mergeCell ref="AA4:AA6"/>
    <mergeCell ref="AB4:AB6"/>
    <mergeCell ref="N5:N6"/>
    <mergeCell ref="O5:O6"/>
    <mergeCell ref="S5:Y5"/>
    <mergeCell ref="F4:F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5"/>
  <sheetViews>
    <sheetView tabSelected="1" topLeftCell="A415" zoomScale="110" zoomScaleNormal="110" workbookViewId="0">
      <selection activeCell="A219" sqref="A219"/>
    </sheetView>
  </sheetViews>
  <sheetFormatPr baseColWidth="10" defaultRowHeight="14.4"/>
  <cols>
    <col min="1" max="1" width="3.21875" style="128" customWidth="1"/>
    <col min="2" max="2" width="17.21875" style="138" customWidth="1"/>
    <col min="3" max="3" width="20" style="138" customWidth="1"/>
    <col min="4" max="4" width="11.21875" style="205" customWidth="1"/>
    <col min="5" max="5" width="4" style="138" customWidth="1"/>
    <col min="6" max="6" width="11" style="140" customWidth="1"/>
    <col min="7" max="7" width="9.88671875" style="138" customWidth="1"/>
    <col min="8" max="8" width="9.109375" style="138" customWidth="1"/>
    <col min="9" max="9" width="7.5546875" style="138" customWidth="1"/>
    <col min="10" max="10" width="5.44140625" style="138" customWidth="1"/>
    <col min="11" max="11" width="9.5546875" style="138" customWidth="1"/>
    <col min="12" max="12" width="8" style="138" customWidth="1"/>
    <col min="13" max="13" width="10.77734375" style="138" customWidth="1"/>
  </cols>
  <sheetData>
    <row r="1" spans="1:13" ht="15.6">
      <c r="A1" s="330" t="s">
        <v>653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16.2" thickBot="1">
      <c r="A2" s="331" t="s">
        <v>768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</row>
    <row r="3" spans="1:13" ht="12.75" customHeight="1">
      <c r="A3" s="257" t="s">
        <v>0</v>
      </c>
      <c r="B3" s="256" t="s">
        <v>2</v>
      </c>
      <c r="C3" s="256" t="s">
        <v>3</v>
      </c>
      <c r="D3" s="332" t="s">
        <v>4</v>
      </c>
      <c r="E3" s="333" t="s">
        <v>5</v>
      </c>
      <c r="F3" s="334"/>
      <c r="G3" s="335"/>
      <c r="H3" s="336" t="s">
        <v>620</v>
      </c>
      <c r="I3" s="336"/>
      <c r="J3" s="336"/>
      <c r="K3" s="336"/>
      <c r="L3" s="336"/>
      <c r="M3" s="337" t="s">
        <v>621</v>
      </c>
    </row>
    <row r="4" spans="1:13" ht="15" customHeight="1">
      <c r="A4" s="257"/>
      <c r="B4" s="256"/>
      <c r="C4" s="256"/>
      <c r="D4" s="332"/>
      <c r="E4" s="333"/>
      <c r="F4" s="256" t="s">
        <v>19</v>
      </c>
      <c r="G4" s="338" t="s">
        <v>622</v>
      </c>
      <c r="H4" s="338" t="s">
        <v>743</v>
      </c>
      <c r="I4" s="338" t="s">
        <v>623</v>
      </c>
      <c r="J4" s="338" t="s">
        <v>744</v>
      </c>
      <c r="K4" s="338" t="s">
        <v>624</v>
      </c>
      <c r="L4" s="338" t="s">
        <v>625</v>
      </c>
      <c r="M4" s="339"/>
    </row>
    <row r="5" spans="1:13" ht="12.75" customHeight="1">
      <c r="A5" s="257"/>
      <c r="B5" s="256"/>
      <c r="C5" s="256"/>
      <c r="D5" s="332"/>
      <c r="E5" s="333"/>
      <c r="F5" s="256"/>
      <c r="G5" s="338"/>
      <c r="H5" s="338"/>
      <c r="I5" s="338"/>
      <c r="J5" s="338"/>
      <c r="K5" s="338"/>
      <c r="L5" s="338"/>
      <c r="M5" s="339"/>
    </row>
    <row r="6" spans="1:13" ht="27.75" customHeight="1">
      <c r="A6" s="130">
        <v>1</v>
      </c>
      <c r="B6" s="193" t="s">
        <v>44</v>
      </c>
      <c r="C6" s="189" t="s">
        <v>45</v>
      </c>
      <c r="D6" s="340" t="s">
        <v>46</v>
      </c>
      <c r="E6" s="190" t="s">
        <v>47</v>
      </c>
      <c r="F6" s="186"/>
      <c r="G6" s="186"/>
      <c r="H6" s="186"/>
      <c r="I6" s="186"/>
      <c r="J6" s="186"/>
      <c r="K6" s="186"/>
      <c r="L6" s="186"/>
      <c r="M6" s="186"/>
    </row>
    <row r="7" spans="1:13" ht="21.75" customHeight="1">
      <c r="A7" s="130">
        <f>A6+1</f>
        <v>2</v>
      </c>
      <c r="B7" s="193" t="s">
        <v>49</v>
      </c>
      <c r="C7" s="189" t="s">
        <v>45</v>
      </c>
      <c r="D7" s="340" t="s">
        <v>46</v>
      </c>
      <c r="E7" s="190" t="s">
        <v>47</v>
      </c>
      <c r="F7" s="186"/>
      <c r="G7" s="186"/>
      <c r="H7" s="186"/>
      <c r="I7" s="186"/>
      <c r="J7" s="186"/>
      <c r="K7" s="186"/>
      <c r="L7" s="186"/>
      <c r="M7" s="186"/>
    </row>
    <row r="8" spans="1:13" ht="21.75" customHeight="1">
      <c r="A8" s="130">
        <f>A7+1</f>
        <v>3</v>
      </c>
      <c r="B8" s="193" t="s">
        <v>52</v>
      </c>
      <c r="C8" s="189" t="s">
        <v>45</v>
      </c>
      <c r="D8" s="340" t="s">
        <v>46</v>
      </c>
      <c r="E8" s="190" t="s">
        <v>47</v>
      </c>
      <c r="F8" s="186"/>
      <c r="G8" s="186"/>
      <c r="H8" s="186"/>
      <c r="I8" s="186"/>
      <c r="J8" s="186"/>
      <c r="K8" s="186"/>
      <c r="L8" s="186"/>
      <c r="M8" s="186"/>
    </row>
    <row r="9" spans="1:13" ht="21.75" customHeight="1">
      <c r="A9" s="130">
        <f t="shared" ref="A9:A19" si="0">A8+1</f>
        <v>4</v>
      </c>
      <c r="B9" s="193" t="s">
        <v>54</v>
      </c>
      <c r="C9" s="189" t="s">
        <v>45</v>
      </c>
      <c r="D9" s="340" t="s">
        <v>46</v>
      </c>
      <c r="E9" s="190" t="s">
        <v>47</v>
      </c>
      <c r="F9" s="186"/>
      <c r="G9" s="186"/>
      <c r="H9" s="186"/>
      <c r="I9" s="186"/>
      <c r="J9" s="186"/>
      <c r="K9" s="186"/>
      <c r="L9" s="186"/>
      <c r="M9" s="186"/>
    </row>
    <row r="10" spans="1:13" ht="21.75" customHeight="1">
      <c r="A10" s="130">
        <f t="shared" si="0"/>
        <v>5</v>
      </c>
      <c r="B10" s="193" t="s">
        <v>56</v>
      </c>
      <c r="C10" s="189" t="s">
        <v>45</v>
      </c>
      <c r="D10" s="340" t="s">
        <v>46</v>
      </c>
      <c r="E10" s="190" t="s">
        <v>47</v>
      </c>
      <c r="F10" s="186"/>
      <c r="G10" s="186"/>
      <c r="H10" s="186"/>
      <c r="I10" s="186"/>
      <c r="J10" s="186"/>
      <c r="K10" s="186"/>
      <c r="L10" s="186"/>
      <c r="M10" s="186"/>
    </row>
    <row r="11" spans="1:13" ht="21.75" customHeight="1">
      <c r="A11" s="130">
        <f t="shared" si="0"/>
        <v>6</v>
      </c>
      <c r="B11" s="193" t="s">
        <v>58</v>
      </c>
      <c r="C11" s="189" t="s">
        <v>45</v>
      </c>
      <c r="D11" s="340" t="s">
        <v>46</v>
      </c>
      <c r="E11" s="190" t="s">
        <v>47</v>
      </c>
      <c r="F11" s="186"/>
      <c r="G11" s="186"/>
      <c r="H11" s="186"/>
      <c r="I11" s="186"/>
      <c r="J11" s="186"/>
      <c r="K11" s="186"/>
      <c r="L11" s="186"/>
      <c r="M11" s="186"/>
    </row>
    <row r="12" spans="1:13" ht="21.75" customHeight="1">
      <c r="A12" s="130">
        <f t="shared" si="0"/>
        <v>7</v>
      </c>
      <c r="B12" s="193" t="s">
        <v>60</v>
      </c>
      <c r="C12" s="189" t="s">
        <v>45</v>
      </c>
      <c r="D12" s="340" t="s">
        <v>46</v>
      </c>
      <c r="E12" s="190" t="s">
        <v>47</v>
      </c>
      <c r="F12" s="186"/>
      <c r="G12" s="186"/>
      <c r="H12" s="186"/>
      <c r="I12" s="186"/>
      <c r="J12" s="186"/>
      <c r="K12" s="186"/>
      <c r="L12" s="186"/>
      <c r="M12" s="186"/>
    </row>
    <row r="13" spans="1:13" ht="21.75" customHeight="1">
      <c r="A13" s="130">
        <f t="shared" si="0"/>
        <v>8</v>
      </c>
      <c r="B13" s="193" t="s">
        <v>62</v>
      </c>
      <c r="C13" s="189" t="s">
        <v>45</v>
      </c>
      <c r="D13" s="340" t="s">
        <v>46</v>
      </c>
      <c r="E13" s="190" t="s">
        <v>47</v>
      </c>
      <c r="F13" s="186"/>
      <c r="G13" s="186"/>
      <c r="H13" s="186"/>
      <c r="I13" s="186"/>
      <c r="J13" s="186"/>
      <c r="K13" s="186"/>
      <c r="L13" s="186"/>
      <c r="M13" s="186"/>
    </row>
    <row r="14" spans="1:13" ht="21.75" customHeight="1">
      <c r="A14" s="130">
        <f t="shared" si="0"/>
        <v>9</v>
      </c>
      <c r="B14" s="193" t="s">
        <v>64</v>
      </c>
      <c r="C14" s="189" t="s">
        <v>45</v>
      </c>
      <c r="D14" s="340" t="s">
        <v>46</v>
      </c>
      <c r="E14" s="190" t="s">
        <v>47</v>
      </c>
      <c r="F14" s="186"/>
      <c r="G14" s="186"/>
      <c r="H14" s="186"/>
      <c r="I14" s="186"/>
      <c r="J14" s="186"/>
      <c r="K14" s="186"/>
      <c r="L14" s="186"/>
      <c r="M14" s="186"/>
    </row>
    <row r="15" spans="1:13" ht="21.75" customHeight="1">
      <c r="A15" s="130">
        <f t="shared" si="0"/>
        <v>10</v>
      </c>
      <c r="B15" s="193" t="s">
        <v>66</v>
      </c>
      <c r="C15" s="189" t="s">
        <v>45</v>
      </c>
      <c r="D15" s="340" t="s">
        <v>46</v>
      </c>
      <c r="E15" s="190" t="s">
        <v>47</v>
      </c>
      <c r="F15" s="186"/>
      <c r="G15" s="186"/>
      <c r="H15" s="186"/>
      <c r="I15" s="186"/>
      <c r="J15" s="186"/>
      <c r="K15" s="186"/>
      <c r="L15" s="186"/>
      <c r="M15" s="186"/>
    </row>
    <row r="16" spans="1:13" ht="21.75" customHeight="1">
      <c r="A16" s="130">
        <f t="shared" si="0"/>
        <v>11</v>
      </c>
      <c r="B16" s="193" t="s">
        <v>68</v>
      </c>
      <c r="C16" s="189" t="s">
        <v>45</v>
      </c>
      <c r="D16" s="340" t="s">
        <v>46</v>
      </c>
      <c r="E16" s="190" t="s">
        <v>47</v>
      </c>
      <c r="F16" s="186"/>
      <c r="G16" s="186"/>
      <c r="H16" s="186"/>
      <c r="I16" s="186"/>
      <c r="J16" s="186"/>
      <c r="K16" s="186"/>
      <c r="L16" s="186"/>
      <c r="M16" s="186"/>
    </row>
    <row r="17" spans="1:13" ht="21.75" customHeight="1">
      <c r="A17" s="130">
        <f t="shared" si="0"/>
        <v>12</v>
      </c>
      <c r="B17" s="193" t="s">
        <v>70</v>
      </c>
      <c r="C17" s="189" t="s">
        <v>45</v>
      </c>
      <c r="D17" s="340" t="s">
        <v>46</v>
      </c>
      <c r="E17" s="190" t="s">
        <v>47</v>
      </c>
      <c r="F17" s="186"/>
      <c r="G17" s="186"/>
      <c r="H17" s="186"/>
      <c r="I17" s="186"/>
      <c r="J17" s="186"/>
      <c r="K17" s="186"/>
      <c r="L17" s="186"/>
      <c r="M17" s="186"/>
    </row>
    <row r="18" spans="1:13" ht="21.75" customHeight="1">
      <c r="A18" s="130">
        <f t="shared" si="0"/>
        <v>13</v>
      </c>
      <c r="B18" s="193" t="s">
        <v>72</v>
      </c>
      <c r="C18" s="189" t="s">
        <v>45</v>
      </c>
      <c r="D18" s="340" t="s">
        <v>46</v>
      </c>
      <c r="E18" s="190" t="s">
        <v>47</v>
      </c>
      <c r="F18" s="186"/>
      <c r="G18" s="186"/>
      <c r="H18" s="186"/>
      <c r="I18" s="186"/>
      <c r="J18" s="186"/>
      <c r="K18" s="186"/>
      <c r="L18" s="186"/>
      <c r="M18" s="186"/>
    </row>
    <row r="19" spans="1:13" ht="21.75" customHeight="1">
      <c r="A19" s="130">
        <f t="shared" si="0"/>
        <v>14</v>
      </c>
      <c r="B19" s="193" t="s">
        <v>74</v>
      </c>
      <c r="C19" s="189" t="s">
        <v>45</v>
      </c>
      <c r="D19" s="340" t="s">
        <v>46</v>
      </c>
      <c r="E19" s="190" t="s">
        <v>47</v>
      </c>
      <c r="F19" s="186"/>
      <c r="G19" s="186"/>
      <c r="H19" s="186"/>
      <c r="I19" s="186"/>
      <c r="J19" s="186"/>
      <c r="K19" s="186"/>
      <c r="L19" s="186"/>
      <c r="M19" s="186"/>
    </row>
    <row r="20" spans="1:13">
      <c r="A20" s="131"/>
      <c r="B20" s="341" t="s">
        <v>75</v>
      </c>
      <c r="C20" s="189"/>
      <c r="D20" s="340"/>
      <c r="E20" s="190"/>
      <c r="F20" s="187"/>
      <c r="G20" s="186"/>
      <c r="H20" s="186"/>
      <c r="I20" s="186"/>
      <c r="J20" s="186"/>
      <c r="K20" s="186"/>
      <c r="L20" s="186"/>
      <c r="M20" s="186"/>
    </row>
    <row r="21" spans="1:13" ht="24.75" customHeight="1">
      <c r="A21" s="154">
        <v>1</v>
      </c>
      <c r="B21" s="193" t="s">
        <v>140</v>
      </c>
      <c r="C21" s="189" t="s">
        <v>141</v>
      </c>
      <c r="D21" s="203" t="s">
        <v>79</v>
      </c>
      <c r="E21" s="190" t="s">
        <v>47</v>
      </c>
      <c r="F21" s="187">
        <v>3500</v>
      </c>
      <c r="G21" s="186"/>
      <c r="H21" s="186"/>
      <c r="I21" s="186"/>
      <c r="J21" s="186"/>
      <c r="K21" s="186"/>
      <c r="L21" s="186"/>
      <c r="M21" s="186"/>
    </row>
    <row r="22" spans="1:13" ht="24.75" customHeight="1">
      <c r="A22" s="154">
        <v>2</v>
      </c>
      <c r="B22" s="193" t="s">
        <v>143</v>
      </c>
      <c r="C22" s="189" t="s">
        <v>141</v>
      </c>
      <c r="D22" s="203" t="s">
        <v>79</v>
      </c>
      <c r="E22" s="190" t="s">
        <v>47</v>
      </c>
      <c r="F22" s="187">
        <v>500</v>
      </c>
      <c r="G22" s="186"/>
      <c r="H22" s="186"/>
      <c r="I22" s="186"/>
      <c r="J22" s="186"/>
      <c r="K22" s="186"/>
      <c r="L22" s="186"/>
      <c r="M22" s="186"/>
    </row>
    <row r="23" spans="1:13" ht="12.75" customHeight="1">
      <c r="A23" s="132"/>
      <c r="B23" s="342" t="s">
        <v>144</v>
      </c>
      <c r="C23" s="343"/>
      <c r="D23" s="203"/>
      <c r="E23" s="289"/>
      <c r="F23" s="167">
        <f>F21+F22</f>
        <v>4000</v>
      </c>
      <c r="G23" s="200"/>
      <c r="H23" s="200"/>
      <c r="I23" s="200"/>
      <c r="J23" s="200"/>
      <c r="K23" s="200"/>
      <c r="L23" s="200"/>
      <c r="M23" s="200"/>
    </row>
    <row r="24" spans="1:13" ht="24" customHeight="1">
      <c r="A24" s="154">
        <v>3</v>
      </c>
      <c r="B24" s="193" t="s">
        <v>698</v>
      </c>
      <c r="C24" s="189" t="s">
        <v>147</v>
      </c>
      <c r="D24" s="203" t="s">
        <v>79</v>
      </c>
      <c r="E24" s="190" t="s">
        <v>47</v>
      </c>
      <c r="F24" s="187">
        <v>1550</v>
      </c>
      <c r="G24" s="186"/>
      <c r="H24" s="186"/>
      <c r="I24" s="186"/>
      <c r="J24" s="186"/>
      <c r="K24" s="186"/>
      <c r="L24" s="186"/>
      <c r="M24" s="186"/>
    </row>
    <row r="25" spans="1:13" ht="24" customHeight="1">
      <c r="A25" s="154">
        <f>A24+1</f>
        <v>4</v>
      </c>
      <c r="B25" s="193" t="s">
        <v>162</v>
      </c>
      <c r="C25" s="189" t="s">
        <v>147</v>
      </c>
      <c r="D25" s="203" t="s">
        <v>79</v>
      </c>
      <c r="E25" s="190" t="s">
        <v>47</v>
      </c>
      <c r="F25" s="187">
        <v>1250</v>
      </c>
      <c r="G25" s="186"/>
      <c r="H25" s="186"/>
      <c r="I25" s="186"/>
      <c r="J25" s="186"/>
      <c r="K25" s="186"/>
      <c r="L25" s="186"/>
      <c r="M25" s="186"/>
    </row>
    <row r="26" spans="1:13" ht="24" customHeight="1">
      <c r="A26" s="154">
        <f>A25+1</f>
        <v>5</v>
      </c>
      <c r="B26" s="193" t="s">
        <v>162</v>
      </c>
      <c r="C26" s="189" t="s">
        <v>147</v>
      </c>
      <c r="D26" s="203" t="s">
        <v>79</v>
      </c>
      <c r="E26" s="190" t="s">
        <v>47</v>
      </c>
      <c r="F26" s="187">
        <v>700</v>
      </c>
      <c r="G26" s="186"/>
      <c r="H26" s="186"/>
      <c r="I26" s="186"/>
      <c r="J26" s="186"/>
      <c r="K26" s="186"/>
      <c r="L26" s="186"/>
      <c r="M26" s="186"/>
    </row>
    <row r="27" spans="1:13">
      <c r="A27" s="132"/>
      <c r="B27" s="188"/>
      <c r="C27" s="140"/>
      <c r="D27" s="203"/>
      <c r="E27" s="289"/>
      <c r="F27" s="167">
        <f>SUM(F24:F26)</f>
        <v>3500</v>
      </c>
      <c r="G27" s="200"/>
      <c r="H27" s="200"/>
      <c r="I27" s="200"/>
      <c r="J27" s="200"/>
      <c r="K27" s="200"/>
      <c r="L27" s="200"/>
      <c r="M27" s="200"/>
    </row>
    <row r="28" spans="1:13" ht="22.5" customHeight="1">
      <c r="A28" s="154">
        <f>A26+1</f>
        <v>6</v>
      </c>
      <c r="B28" s="193" t="s">
        <v>151</v>
      </c>
      <c r="C28" s="189" t="s">
        <v>152</v>
      </c>
      <c r="D28" s="203" t="s">
        <v>79</v>
      </c>
      <c r="E28" s="190" t="s">
        <v>47</v>
      </c>
      <c r="F28" s="187">
        <f>1100</f>
        <v>1100</v>
      </c>
      <c r="G28" s="230"/>
      <c r="H28" s="230"/>
      <c r="I28" s="186"/>
      <c r="J28" s="186"/>
      <c r="K28" s="186"/>
      <c r="L28" s="186"/>
      <c r="M28" s="186"/>
    </row>
    <row r="29" spans="1:13" ht="22.5" customHeight="1">
      <c r="A29" s="154">
        <f>A28+1</f>
        <v>7</v>
      </c>
      <c r="B29" s="193" t="s">
        <v>143</v>
      </c>
      <c r="C29" s="189" t="s">
        <v>152</v>
      </c>
      <c r="D29" s="203" t="s">
        <v>79</v>
      </c>
      <c r="E29" s="190" t="s">
        <v>47</v>
      </c>
      <c r="F29" s="187">
        <v>647</v>
      </c>
      <c r="G29" s="230"/>
      <c r="H29" s="230"/>
      <c r="I29" s="186"/>
      <c r="J29" s="186"/>
      <c r="K29" s="186"/>
      <c r="L29" s="186"/>
      <c r="M29" s="186"/>
    </row>
    <row r="30" spans="1:13" ht="22.5" customHeight="1">
      <c r="A30" s="154">
        <f>A29+1</f>
        <v>8</v>
      </c>
      <c r="B30" s="141" t="s">
        <v>91</v>
      </c>
      <c r="C30" s="189" t="s">
        <v>152</v>
      </c>
      <c r="D30" s="203" t="s">
        <v>79</v>
      </c>
      <c r="E30" s="190" t="s">
        <v>47</v>
      </c>
      <c r="F30" s="187">
        <f>567+30+50+50</f>
        <v>697</v>
      </c>
      <c r="G30" s="186"/>
      <c r="H30" s="186"/>
      <c r="I30" s="186"/>
      <c r="J30" s="186"/>
      <c r="K30" s="186"/>
      <c r="L30" s="186"/>
      <c r="M30" s="186"/>
    </row>
    <row r="31" spans="1:13" ht="18.75" customHeight="1">
      <c r="A31" s="132"/>
      <c r="B31" s="188"/>
      <c r="C31" s="140"/>
      <c r="D31" s="203"/>
      <c r="E31" s="190"/>
      <c r="F31" s="167">
        <f>SUM(F28:F30)</f>
        <v>2444</v>
      </c>
      <c r="G31" s="200"/>
      <c r="H31" s="200"/>
      <c r="I31" s="200"/>
      <c r="J31" s="200"/>
      <c r="K31" s="200"/>
      <c r="L31" s="200"/>
      <c r="M31" s="200"/>
    </row>
    <row r="32" spans="1:13" ht="24" customHeight="1">
      <c r="A32" s="154">
        <f>A30+1</f>
        <v>9</v>
      </c>
      <c r="B32" s="141" t="s">
        <v>77</v>
      </c>
      <c r="C32" s="189" t="s">
        <v>78</v>
      </c>
      <c r="D32" s="203" t="s">
        <v>79</v>
      </c>
      <c r="E32" s="190" t="s">
        <v>47</v>
      </c>
      <c r="F32" s="187">
        <v>5000</v>
      </c>
      <c r="G32" s="186"/>
      <c r="H32" s="186"/>
      <c r="I32" s="186"/>
      <c r="J32" s="186"/>
      <c r="K32" s="186"/>
      <c r="L32" s="186"/>
      <c r="M32" s="186"/>
    </row>
    <row r="33" spans="1:13" ht="24" customHeight="1">
      <c r="A33" s="154">
        <f>A32+1</f>
        <v>10</v>
      </c>
      <c r="B33" s="193" t="s">
        <v>143</v>
      </c>
      <c r="C33" s="189" t="s">
        <v>78</v>
      </c>
      <c r="D33" s="203" t="s">
        <v>79</v>
      </c>
      <c r="E33" s="190" t="s">
        <v>47</v>
      </c>
      <c r="F33" s="187">
        <v>500</v>
      </c>
      <c r="G33" s="186"/>
      <c r="H33" s="186"/>
      <c r="I33" s="186"/>
      <c r="J33" s="186"/>
      <c r="K33" s="186"/>
      <c r="L33" s="186"/>
      <c r="M33" s="186"/>
    </row>
    <row r="34" spans="1:13" ht="12.75" customHeight="1">
      <c r="A34" s="133"/>
      <c r="B34" s="141"/>
      <c r="C34" s="140"/>
      <c r="D34" s="203"/>
      <c r="E34" s="190"/>
      <c r="F34" s="167">
        <f>SUM(F32:F33)</f>
        <v>5500</v>
      </c>
      <c r="G34" s="230"/>
      <c r="H34" s="230"/>
      <c r="I34" s="186"/>
      <c r="J34" s="186"/>
      <c r="K34" s="230"/>
      <c r="L34" s="230"/>
      <c r="M34" s="230"/>
    </row>
    <row r="35" spans="1:13" ht="24" customHeight="1">
      <c r="A35" s="154">
        <f>A33+1</f>
        <v>11</v>
      </c>
      <c r="B35" s="193" t="s">
        <v>748</v>
      </c>
      <c r="C35" s="189" t="s">
        <v>158</v>
      </c>
      <c r="D35" s="203" t="s">
        <v>79</v>
      </c>
      <c r="E35" s="190" t="s">
        <v>47</v>
      </c>
      <c r="F35" s="187">
        <v>1300</v>
      </c>
      <c r="G35" s="186"/>
      <c r="H35" s="186"/>
      <c r="I35" s="186"/>
      <c r="J35" s="186"/>
      <c r="K35" s="186"/>
      <c r="L35" s="186"/>
      <c r="M35" s="186"/>
    </row>
    <row r="36" spans="1:13" ht="24" customHeight="1">
      <c r="A36" s="154">
        <f>A35+1</f>
        <v>12</v>
      </c>
      <c r="B36" s="141" t="s">
        <v>162</v>
      </c>
      <c r="C36" s="189" t="s">
        <v>158</v>
      </c>
      <c r="D36" s="203" t="s">
        <v>79</v>
      </c>
      <c r="E36" s="190" t="s">
        <v>47</v>
      </c>
      <c r="F36" s="187">
        <f>517+50</f>
        <v>567</v>
      </c>
      <c r="G36" s="230"/>
      <c r="H36" s="230"/>
      <c r="I36" s="186"/>
      <c r="J36" s="186"/>
      <c r="K36" s="186"/>
      <c r="L36" s="186"/>
      <c r="M36" s="186"/>
    </row>
    <row r="37" spans="1:13">
      <c r="A37" s="132"/>
      <c r="B37" s="188"/>
      <c r="C37" s="214"/>
      <c r="D37" s="340"/>
      <c r="E37" s="289"/>
      <c r="F37" s="167">
        <f>SUM(F35:F36)</f>
        <v>1867</v>
      </c>
      <c r="G37" s="186"/>
      <c r="H37" s="186"/>
      <c r="I37" s="186"/>
      <c r="J37" s="186"/>
      <c r="K37" s="186"/>
      <c r="L37" s="186"/>
      <c r="M37" s="186"/>
    </row>
    <row r="38" spans="1:13" ht="24" customHeight="1">
      <c r="A38" s="154">
        <f>A36+1</f>
        <v>13</v>
      </c>
      <c r="B38" s="141" t="s">
        <v>120</v>
      </c>
      <c r="C38" s="214" t="s">
        <v>694</v>
      </c>
      <c r="D38" s="203" t="s">
        <v>79</v>
      </c>
      <c r="E38" s="190" t="s">
        <v>47</v>
      </c>
      <c r="F38" s="187">
        <v>1000</v>
      </c>
      <c r="G38" s="230"/>
      <c r="H38" s="230"/>
      <c r="I38" s="186"/>
      <c r="J38" s="186"/>
      <c r="K38" s="186"/>
      <c r="L38" s="186"/>
      <c r="M38" s="186"/>
    </row>
    <row r="39" spans="1:13" ht="24" customHeight="1">
      <c r="A39" s="154">
        <f>A38+1</f>
        <v>14</v>
      </c>
      <c r="B39" s="214" t="s">
        <v>143</v>
      </c>
      <c r="C39" s="214" t="s">
        <v>694</v>
      </c>
      <c r="D39" s="203" t="s">
        <v>79</v>
      </c>
      <c r="E39" s="190" t="s">
        <v>47</v>
      </c>
      <c r="F39" s="187">
        <v>500</v>
      </c>
      <c r="G39" s="186"/>
      <c r="H39" s="186"/>
      <c r="I39" s="186"/>
      <c r="J39" s="186"/>
      <c r="K39" s="186"/>
      <c r="L39" s="186"/>
      <c r="M39" s="186"/>
    </row>
    <row r="40" spans="1:13" ht="24" customHeight="1">
      <c r="A40" s="154">
        <f>A39+1</f>
        <v>15</v>
      </c>
      <c r="B40" s="141" t="s">
        <v>689</v>
      </c>
      <c r="C40" s="214" t="s">
        <v>694</v>
      </c>
      <c r="D40" s="203" t="s">
        <v>79</v>
      </c>
      <c r="E40" s="190" t="s">
        <v>47</v>
      </c>
      <c r="F40" s="187">
        <v>780</v>
      </c>
      <c r="G40" s="186"/>
      <c r="H40" s="186"/>
      <c r="I40" s="186"/>
      <c r="J40" s="186"/>
      <c r="K40" s="186"/>
      <c r="L40" s="186"/>
      <c r="M40" s="186"/>
    </row>
    <row r="41" spans="1:13" ht="24" customHeight="1">
      <c r="A41" s="154">
        <f>A40+1</f>
        <v>16</v>
      </c>
      <c r="B41" s="214" t="s">
        <v>123</v>
      </c>
      <c r="C41" s="214" t="s">
        <v>694</v>
      </c>
      <c r="D41" s="203" t="s">
        <v>79</v>
      </c>
      <c r="E41" s="190" t="s">
        <v>47</v>
      </c>
      <c r="F41" s="187">
        <f>467+30+50+50</f>
        <v>597</v>
      </c>
      <c r="G41" s="230"/>
      <c r="H41" s="230"/>
      <c r="I41" s="186"/>
      <c r="J41" s="186"/>
      <c r="K41" s="186"/>
      <c r="L41" s="186"/>
      <c r="M41" s="186"/>
    </row>
    <row r="42" spans="1:13" ht="45" customHeight="1">
      <c r="A42" s="154">
        <f>A41+1</f>
        <v>17</v>
      </c>
      <c r="B42" s="214" t="s">
        <v>753</v>
      </c>
      <c r="C42" s="214" t="s">
        <v>694</v>
      </c>
      <c r="D42" s="203" t="s">
        <v>79</v>
      </c>
      <c r="E42" s="190" t="s">
        <v>47</v>
      </c>
      <c r="F42" s="187">
        <v>780</v>
      </c>
      <c r="G42" s="230"/>
      <c r="H42" s="230"/>
      <c r="I42" s="186"/>
      <c r="J42" s="186"/>
      <c r="K42" s="186"/>
      <c r="L42" s="186"/>
      <c r="M42" s="186"/>
    </row>
    <row r="43" spans="1:13" ht="41.4" customHeight="1">
      <c r="A43" s="154">
        <f>A42+1</f>
        <v>18</v>
      </c>
      <c r="B43" s="214" t="s">
        <v>123</v>
      </c>
      <c r="C43" s="214" t="s">
        <v>694</v>
      </c>
      <c r="D43" s="203" t="s">
        <v>79</v>
      </c>
      <c r="E43" s="190" t="s">
        <v>47</v>
      </c>
      <c r="F43" s="187">
        <v>417</v>
      </c>
      <c r="G43" s="230"/>
      <c r="H43" s="230"/>
      <c r="I43" s="186"/>
      <c r="J43" s="186"/>
      <c r="K43" s="186"/>
      <c r="L43" s="186"/>
      <c r="M43" s="186"/>
    </row>
    <row r="44" spans="1:13" ht="15" customHeight="1">
      <c r="A44" s="344"/>
      <c r="B44" s="345"/>
      <c r="C44" s="345"/>
      <c r="D44" s="346"/>
      <c r="E44" s="345"/>
      <c r="F44" s="381">
        <f>SUM(F38:F43)</f>
        <v>4074</v>
      </c>
      <c r="G44" s="230"/>
      <c r="H44" s="230"/>
      <c r="I44" s="186"/>
      <c r="J44" s="186"/>
      <c r="K44" s="186"/>
      <c r="L44" s="186"/>
      <c r="M44" s="186"/>
    </row>
    <row r="45" spans="1:13" ht="23.25" customHeight="1">
      <c r="A45" s="154">
        <f>A43+1</f>
        <v>19</v>
      </c>
      <c r="B45" s="141" t="s">
        <v>687</v>
      </c>
      <c r="C45" s="214" t="s">
        <v>731</v>
      </c>
      <c r="D45" s="203" t="s">
        <v>79</v>
      </c>
      <c r="E45" s="190" t="s">
        <v>47</v>
      </c>
      <c r="F45" s="187">
        <v>800</v>
      </c>
      <c r="G45" s="230"/>
      <c r="H45" s="230"/>
      <c r="I45" s="186"/>
      <c r="J45" s="186"/>
      <c r="K45" s="186"/>
      <c r="L45" s="186"/>
      <c r="M45" s="186"/>
    </row>
    <row r="46" spans="1:13" ht="25.5" customHeight="1">
      <c r="A46" s="154">
        <f>A45+1</f>
        <v>20</v>
      </c>
      <c r="B46" s="214" t="s">
        <v>123</v>
      </c>
      <c r="C46" s="214" t="s">
        <v>731</v>
      </c>
      <c r="D46" s="203" t="s">
        <v>79</v>
      </c>
      <c r="E46" s="190" t="s">
        <v>47</v>
      </c>
      <c r="F46" s="187">
        <f>517+30</f>
        <v>547</v>
      </c>
      <c r="G46" s="186"/>
      <c r="H46" s="186"/>
      <c r="I46" s="186"/>
      <c r="J46" s="186"/>
      <c r="K46" s="186"/>
      <c r="L46" s="186"/>
      <c r="M46" s="186"/>
    </row>
    <row r="47" spans="1:13" ht="18" customHeight="1">
      <c r="B47" s="59"/>
      <c r="C47" s="59"/>
      <c r="D47" s="347"/>
      <c r="E47" s="59"/>
      <c r="F47" s="348">
        <f>SUM(F45:F46)</f>
        <v>1347</v>
      </c>
      <c r="G47" s="186"/>
      <c r="H47" s="186"/>
      <c r="I47" s="186"/>
      <c r="J47" s="186"/>
      <c r="K47" s="186"/>
      <c r="L47" s="186"/>
      <c r="M47" s="186"/>
    </row>
    <row r="48" spans="1:13" ht="22.5" customHeight="1">
      <c r="A48" s="154">
        <f>A46+1</f>
        <v>21</v>
      </c>
      <c r="B48" s="168" t="s">
        <v>407</v>
      </c>
      <c r="C48" s="189" t="s">
        <v>408</v>
      </c>
      <c r="D48" s="203" t="s">
        <v>79</v>
      </c>
      <c r="E48" s="190" t="s">
        <v>47</v>
      </c>
      <c r="F48" s="187">
        <v>1000</v>
      </c>
      <c r="G48" s="230">
        <f>F48/2*0.3</f>
        <v>150</v>
      </c>
      <c r="H48" s="230">
        <f>ROUND(G48*8.75%,2)</f>
        <v>13.13</v>
      </c>
      <c r="I48" s="230"/>
      <c r="J48" s="230"/>
      <c r="K48" s="230">
        <f>ROUND(G48*0.075,2)</f>
        <v>11.25</v>
      </c>
      <c r="L48" s="230">
        <f>ROUND(G48*0.01,2)</f>
        <v>1.5</v>
      </c>
      <c r="M48" s="230">
        <f>SUM(G48:L48)</f>
        <v>175.88</v>
      </c>
    </row>
    <row r="49" spans="1:13" ht="22.5" customHeight="1">
      <c r="A49" s="154">
        <f t="shared" ref="A49:A90" si="1">A48+1</f>
        <v>22</v>
      </c>
      <c r="B49" s="168" t="s">
        <v>719</v>
      </c>
      <c r="C49" s="189" t="s">
        <v>408</v>
      </c>
      <c r="D49" s="203" t="s">
        <v>79</v>
      </c>
      <c r="E49" s="190" t="s">
        <v>47</v>
      </c>
      <c r="F49" s="187">
        <v>900</v>
      </c>
      <c r="G49" s="230">
        <f t="shared" ref="G49:G90" si="2">F49/2*0.3</f>
        <v>135</v>
      </c>
      <c r="H49" s="230">
        <f>ROUND(G49*8.75%,2)</f>
        <v>11.81</v>
      </c>
      <c r="I49" s="230"/>
      <c r="J49" s="230"/>
      <c r="K49" s="230">
        <f>ROUND(G49*0.075,2)</f>
        <v>10.130000000000001</v>
      </c>
      <c r="L49" s="230">
        <f>ROUND(G49*0.01,2)</f>
        <v>1.35</v>
      </c>
      <c r="M49" s="230">
        <f>SUM(G49:L49)</f>
        <v>158.29</v>
      </c>
    </row>
    <row r="50" spans="1:13" ht="22.5" customHeight="1">
      <c r="A50" s="154">
        <f t="shared" si="1"/>
        <v>23</v>
      </c>
      <c r="B50" s="214" t="s">
        <v>143</v>
      </c>
      <c r="C50" s="189" t="s">
        <v>408</v>
      </c>
      <c r="D50" s="203" t="s">
        <v>79</v>
      </c>
      <c r="E50" s="190" t="s">
        <v>47</v>
      </c>
      <c r="F50" s="187">
        <v>417</v>
      </c>
      <c r="G50" s="230"/>
      <c r="H50" s="230"/>
      <c r="I50" s="186"/>
      <c r="J50" s="186"/>
      <c r="K50" s="186"/>
      <c r="L50" s="186"/>
      <c r="M50" s="186"/>
    </row>
    <row r="51" spans="1:13" ht="22.5" customHeight="1">
      <c r="A51" s="154">
        <f t="shared" si="1"/>
        <v>24</v>
      </c>
      <c r="B51" s="168" t="s">
        <v>726</v>
      </c>
      <c r="C51" s="349" t="s">
        <v>408</v>
      </c>
      <c r="D51" s="203" t="s">
        <v>79</v>
      </c>
      <c r="E51" s="190" t="s">
        <v>47</v>
      </c>
      <c r="F51" s="187">
        <v>697</v>
      </c>
      <c r="G51" s="230">
        <f t="shared" si="2"/>
        <v>104.55</v>
      </c>
      <c r="H51" s="230">
        <f>ROUND(G51*8.75%,2)</f>
        <v>9.15</v>
      </c>
      <c r="I51" s="230"/>
      <c r="J51" s="230"/>
      <c r="K51" s="230">
        <f t="shared" ref="K51:K84" si="3">ROUND(G51*0.075,2)</f>
        <v>7.84</v>
      </c>
      <c r="L51" s="230">
        <f t="shared" ref="L51:L84" si="4">ROUND(G51*0.01,2)</f>
        <v>1.05</v>
      </c>
      <c r="M51" s="230">
        <f t="shared" ref="M51:M84" si="5">SUM(G51:L51)</f>
        <v>122.59</v>
      </c>
    </row>
    <row r="52" spans="1:13" ht="22.5" customHeight="1">
      <c r="A52" s="154">
        <f t="shared" si="1"/>
        <v>25</v>
      </c>
      <c r="B52" s="194" t="s">
        <v>654</v>
      </c>
      <c r="C52" s="189" t="s">
        <v>408</v>
      </c>
      <c r="D52" s="203" t="s">
        <v>79</v>
      </c>
      <c r="E52" s="190" t="s">
        <v>47</v>
      </c>
      <c r="F52" s="187">
        <f>605.15+30+50+50</f>
        <v>735.15</v>
      </c>
      <c r="G52" s="230">
        <f t="shared" si="2"/>
        <v>110.27249999999999</v>
      </c>
      <c r="H52" s="230">
        <f>ROUND(G52*8.75%,2)</f>
        <v>9.65</v>
      </c>
      <c r="I52" s="230"/>
      <c r="J52" s="230"/>
      <c r="K52" s="230">
        <f t="shared" si="3"/>
        <v>8.27</v>
      </c>
      <c r="L52" s="230">
        <f t="shared" si="4"/>
        <v>1.1000000000000001</v>
      </c>
      <c r="M52" s="230">
        <f t="shared" si="5"/>
        <v>129.29249999999999</v>
      </c>
    </row>
    <row r="53" spans="1:13" ht="22.5" customHeight="1">
      <c r="A53" s="154">
        <f t="shared" si="1"/>
        <v>26</v>
      </c>
      <c r="B53" s="194" t="s">
        <v>654</v>
      </c>
      <c r="C53" s="189" t="s">
        <v>408</v>
      </c>
      <c r="D53" s="203" t="s">
        <v>79</v>
      </c>
      <c r="E53" s="190" t="s">
        <v>47</v>
      </c>
      <c r="F53" s="187">
        <f>605.15+30+50+50</f>
        <v>735.15</v>
      </c>
      <c r="G53" s="230">
        <f t="shared" si="2"/>
        <v>110.27249999999999</v>
      </c>
      <c r="H53" s="230"/>
      <c r="I53" s="230">
        <f>ROUND(G53*0.06,2)</f>
        <v>6.62</v>
      </c>
      <c r="J53" s="230"/>
      <c r="K53" s="230">
        <f t="shared" si="3"/>
        <v>8.27</v>
      </c>
      <c r="L53" s="230">
        <f t="shared" si="4"/>
        <v>1.1000000000000001</v>
      </c>
      <c r="M53" s="230">
        <f t="shared" si="5"/>
        <v>126.26249999999999</v>
      </c>
    </row>
    <row r="54" spans="1:13" ht="21.75" customHeight="1">
      <c r="A54" s="154">
        <f t="shared" si="1"/>
        <v>27</v>
      </c>
      <c r="B54" s="194" t="s">
        <v>415</v>
      </c>
      <c r="C54" s="189" t="s">
        <v>408</v>
      </c>
      <c r="D54" s="203" t="s">
        <v>79</v>
      </c>
      <c r="E54" s="190" t="s">
        <v>47</v>
      </c>
      <c r="F54" s="187">
        <f>547+30+50+50</f>
        <v>677</v>
      </c>
      <c r="G54" s="230">
        <f t="shared" si="2"/>
        <v>101.55</v>
      </c>
      <c r="H54" s="230">
        <f t="shared" ref="H54:H59" si="6">ROUND(G54*8.75%,2)</f>
        <v>8.89</v>
      </c>
      <c r="I54" s="230"/>
      <c r="J54" s="230"/>
      <c r="K54" s="230">
        <f t="shared" si="3"/>
        <v>7.62</v>
      </c>
      <c r="L54" s="230">
        <f t="shared" si="4"/>
        <v>1.02</v>
      </c>
      <c r="M54" s="230">
        <f t="shared" si="5"/>
        <v>119.08</v>
      </c>
    </row>
    <row r="55" spans="1:13" ht="21.75" customHeight="1">
      <c r="A55" s="154">
        <f t="shared" si="1"/>
        <v>28</v>
      </c>
      <c r="B55" s="194" t="s">
        <v>415</v>
      </c>
      <c r="C55" s="189" t="s">
        <v>408</v>
      </c>
      <c r="D55" s="203" t="s">
        <v>79</v>
      </c>
      <c r="E55" s="190" t="s">
        <v>47</v>
      </c>
      <c r="F55" s="187">
        <v>650</v>
      </c>
      <c r="G55" s="230">
        <f t="shared" si="2"/>
        <v>97.5</v>
      </c>
      <c r="H55" s="230">
        <f t="shared" si="6"/>
        <v>8.5299999999999994</v>
      </c>
      <c r="I55" s="230"/>
      <c r="J55" s="230"/>
      <c r="K55" s="230">
        <f t="shared" si="3"/>
        <v>7.31</v>
      </c>
      <c r="L55" s="230">
        <f t="shared" si="4"/>
        <v>0.98</v>
      </c>
      <c r="M55" s="230">
        <f t="shared" si="5"/>
        <v>114.32000000000001</v>
      </c>
    </row>
    <row r="56" spans="1:13" ht="21.75" customHeight="1">
      <c r="A56" s="154">
        <f t="shared" si="1"/>
        <v>29</v>
      </c>
      <c r="B56" s="194" t="s">
        <v>415</v>
      </c>
      <c r="C56" s="189" t="s">
        <v>408</v>
      </c>
      <c r="D56" s="203" t="s">
        <v>79</v>
      </c>
      <c r="E56" s="190" t="s">
        <v>47</v>
      </c>
      <c r="F56" s="187">
        <v>600</v>
      </c>
      <c r="G56" s="230">
        <f t="shared" si="2"/>
        <v>90</v>
      </c>
      <c r="H56" s="230">
        <f t="shared" si="6"/>
        <v>7.88</v>
      </c>
      <c r="I56" s="230"/>
      <c r="J56" s="230"/>
      <c r="K56" s="230">
        <f t="shared" si="3"/>
        <v>6.75</v>
      </c>
      <c r="L56" s="230">
        <f t="shared" si="4"/>
        <v>0.9</v>
      </c>
      <c r="M56" s="230">
        <f t="shared" si="5"/>
        <v>105.53</v>
      </c>
    </row>
    <row r="57" spans="1:13" ht="21.75" customHeight="1">
      <c r="A57" s="154">
        <f t="shared" si="1"/>
        <v>30</v>
      </c>
      <c r="B57" s="168" t="s">
        <v>415</v>
      </c>
      <c r="C57" s="189" t="s">
        <v>408</v>
      </c>
      <c r="D57" s="203" t="s">
        <v>79</v>
      </c>
      <c r="E57" s="190" t="s">
        <v>47</v>
      </c>
      <c r="F57" s="187">
        <v>600</v>
      </c>
      <c r="G57" s="230">
        <f t="shared" si="2"/>
        <v>90</v>
      </c>
      <c r="H57" s="230"/>
      <c r="I57" s="230">
        <f>ROUND(G57*0.06,2)</f>
        <v>5.4</v>
      </c>
      <c r="J57" s="230"/>
      <c r="K57" s="230">
        <f t="shared" si="3"/>
        <v>6.75</v>
      </c>
      <c r="L57" s="230">
        <f t="shared" si="4"/>
        <v>0.9</v>
      </c>
      <c r="M57" s="230">
        <f t="shared" si="5"/>
        <v>103.05000000000001</v>
      </c>
    </row>
    <row r="58" spans="1:13" ht="21.75" customHeight="1">
      <c r="A58" s="154">
        <f t="shared" si="1"/>
        <v>31</v>
      </c>
      <c r="B58" s="194" t="s">
        <v>419</v>
      </c>
      <c r="C58" s="189" t="s">
        <v>408</v>
      </c>
      <c r="D58" s="203" t="s">
        <v>79</v>
      </c>
      <c r="E58" s="190" t="s">
        <v>47</v>
      </c>
      <c r="F58" s="187">
        <f t="shared" ref="F58:F68" si="7">467+30+50+50</f>
        <v>597</v>
      </c>
      <c r="G58" s="230">
        <f t="shared" si="2"/>
        <v>89.55</v>
      </c>
      <c r="H58" s="230">
        <f t="shared" si="6"/>
        <v>7.84</v>
      </c>
      <c r="I58" s="230"/>
      <c r="J58" s="230"/>
      <c r="K58" s="230">
        <f t="shared" si="3"/>
        <v>6.72</v>
      </c>
      <c r="L58" s="230">
        <f t="shared" si="4"/>
        <v>0.9</v>
      </c>
      <c r="M58" s="230">
        <f t="shared" si="5"/>
        <v>105.01</v>
      </c>
    </row>
    <row r="59" spans="1:13" ht="21.75" customHeight="1">
      <c r="A59" s="154">
        <f t="shared" si="1"/>
        <v>32</v>
      </c>
      <c r="B59" s="194" t="s">
        <v>419</v>
      </c>
      <c r="C59" s="189" t="s">
        <v>408</v>
      </c>
      <c r="D59" s="203" t="s">
        <v>79</v>
      </c>
      <c r="E59" s="190" t="s">
        <v>47</v>
      </c>
      <c r="F59" s="187">
        <f t="shared" si="7"/>
        <v>597</v>
      </c>
      <c r="G59" s="230">
        <f t="shared" si="2"/>
        <v>89.55</v>
      </c>
      <c r="H59" s="230">
        <f t="shared" si="6"/>
        <v>7.84</v>
      </c>
      <c r="I59" s="230"/>
      <c r="J59" s="186"/>
      <c r="K59" s="230">
        <f t="shared" si="3"/>
        <v>6.72</v>
      </c>
      <c r="L59" s="230">
        <f t="shared" si="4"/>
        <v>0.9</v>
      </c>
      <c r="M59" s="230">
        <f t="shared" si="5"/>
        <v>105.01</v>
      </c>
    </row>
    <row r="60" spans="1:13" ht="21.75" customHeight="1">
      <c r="A60" s="154">
        <f t="shared" si="1"/>
        <v>33</v>
      </c>
      <c r="B60" s="194" t="s">
        <v>419</v>
      </c>
      <c r="C60" s="189" t="s">
        <v>408</v>
      </c>
      <c r="D60" s="203" t="s">
        <v>79</v>
      </c>
      <c r="E60" s="190" t="s">
        <v>47</v>
      </c>
      <c r="F60" s="187">
        <f t="shared" si="7"/>
        <v>597</v>
      </c>
      <c r="G60" s="230">
        <f t="shared" si="2"/>
        <v>89.55</v>
      </c>
      <c r="H60" s="230"/>
      <c r="I60" s="230">
        <f>ROUND(G60*0.06,2)</f>
        <v>5.37</v>
      </c>
      <c r="J60" s="230"/>
      <c r="K60" s="230">
        <f t="shared" si="3"/>
        <v>6.72</v>
      </c>
      <c r="L60" s="230">
        <f t="shared" si="4"/>
        <v>0.9</v>
      </c>
      <c r="M60" s="230">
        <f t="shared" si="5"/>
        <v>102.54</v>
      </c>
    </row>
    <row r="61" spans="1:13" ht="21.75" customHeight="1">
      <c r="A61" s="154">
        <f t="shared" si="1"/>
        <v>34</v>
      </c>
      <c r="B61" s="194" t="s">
        <v>419</v>
      </c>
      <c r="C61" s="189" t="s">
        <v>408</v>
      </c>
      <c r="D61" s="203" t="s">
        <v>79</v>
      </c>
      <c r="E61" s="190" t="s">
        <v>47</v>
      </c>
      <c r="F61" s="187">
        <f t="shared" si="7"/>
        <v>597</v>
      </c>
      <c r="G61" s="230">
        <f t="shared" si="2"/>
        <v>89.55</v>
      </c>
      <c r="H61" s="230">
        <f t="shared" ref="H61:H67" si="8">ROUND(G61*8.75%,2)</f>
        <v>7.84</v>
      </c>
      <c r="I61" s="230"/>
      <c r="J61" s="230"/>
      <c r="K61" s="230">
        <f t="shared" si="3"/>
        <v>6.72</v>
      </c>
      <c r="L61" s="230">
        <f t="shared" si="4"/>
        <v>0.9</v>
      </c>
      <c r="M61" s="230">
        <f t="shared" si="5"/>
        <v>105.01</v>
      </c>
    </row>
    <row r="62" spans="1:13" ht="21.75" customHeight="1">
      <c r="A62" s="154">
        <f t="shared" si="1"/>
        <v>35</v>
      </c>
      <c r="B62" s="194" t="s">
        <v>419</v>
      </c>
      <c r="C62" s="189" t="s">
        <v>408</v>
      </c>
      <c r="D62" s="203" t="s">
        <v>79</v>
      </c>
      <c r="E62" s="190" t="s">
        <v>47</v>
      </c>
      <c r="F62" s="187">
        <f t="shared" si="7"/>
        <v>597</v>
      </c>
      <c r="G62" s="230">
        <f t="shared" si="2"/>
        <v>89.55</v>
      </c>
      <c r="H62" s="230">
        <f t="shared" si="8"/>
        <v>7.84</v>
      </c>
      <c r="I62" s="230"/>
      <c r="J62" s="230"/>
      <c r="K62" s="230">
        <f t="shared" si="3"/>
        <v>6.72</v>
      </c>
      <c r="L62" s="230">
        <f t="shared" si="4"/>
        <v>0.9</v>
      </c>
      <c r="M62" s="230">
        <f t="shared" si="5"/>
        <v>105.01</v>
      </c>
    </row>
    <row r="63" spans="1:13" ht="21.75" customHeight="1">
      <c r="A63" s="154">
        <f t="shared" si="1"/>
        <v>36</v>
      </c>
      <c r="B63" s="194" t="s">
        <v>419</v>
      </c>
      <c r="C63" s="189" t="s">
        <v>408</v>
      </c>
      <c r="D63" s="203" t="s">
        <v>79</v>
      </c>
      <c r="E63" s="190" t="s">
        <v>47</v>
      </c>
      <c r="F63" s="187">
        <f t="shared" si="7"/>
        <v>597</v>
      </c>
      <c r="G63" s="230">
        <f t="shared" si="2"/>
        <v>89.55</v>
      </c>
      <c r="H63" s="230">
        <f t="shared" si="8"/>
        <v>7.84</v>
      </c>
      <c r="I63" s="230"/>
      <c r="J63" s="230"/>
      <c r="K63" s="230">
        <f t="shared" si="3"/>
        <v>6.72</v>
      </c>
      <c r="L63" s="230">
        <f t="shared" si="4"/>
        <v>0.9</v>
      </c>
      <c r="M63" s="230">
        <f t="shared" si="5"/>
        <v>105.01</v>
      </c>
    </row>
    <row r="64" spans="1:13" ht="21.75" customHeight="1">
      <c r="A64" s="154">
        <f t="shared" si="1"/>
        <v>37</v>
      </c>
      <c r="B64" s="194" t="s">
        <v>419</v>
      </c>
      <c r="C64" s="189" t="s">
        <v>408</v>
      </c>
      <c r="D64" s="203" t="s">
        <v>79</v>
      </c>
      <c r="E64" s="190" t="s">
        <v>47</v>
      </c>
      <c r="F64" s="187">
        <f t="shared" si="7"/>
        <v>597</v>
      </c>
      <c r="G64" s="230">
        <f t="shared" si="2"/>
        <v>89.55</v>
      </c>
      <c r="H64" s="230">
        <f t="shared" si="8"/>
        <v>7.84</v>
      </c>
      <c r="I64" s="230"/>
      <c r="J64" s="230"/>
      <c r="K64" s="230">
        <f t="shared" si="3"/>
        <v>6.72</v>
      </c>
      <c r="L64" s="230">
        <f t="shared" si="4"/>
        <v>0.9</v>
      </c>
      <c r="M64" s="230">
        <f t="shared" si="5"/>
        <v>105.01</v>
      </c>
    </row>
    <row r="65" spans="1:13" ht="21.75" customHeight="1">
      <c r="A65" s="154">
        <f t="shared" si="1"/>
        <v>38</v>
      </c>
      <c r="B65" s="194" t="s">
        <v>419</v>
      </c>
      <c r="C65" s="189" t="s">
        <v>408</v>
      </c>
      <c r="D65" s="203" t="s">
        <v>79</v>
      </c>
      <c r="E65" s="190" t="s">
        <v>47</v>
      </c>
      <c r="F65" s="187">
        <f t="shared" si="7"/>
        <v>597</v>
      </c>
      <c r="G65" s="230">
        <f t="shared" si="2"/>
        <v>89.55</v>
      </c>
      <c r="H65" s="230">
        <f t="shared" si="8"/>
        <v>7.84</v>
      </c>
      <c r="I65" s="230"/>
      <c r="J65" s="230"/>
      <c r="K65" s="230">
        <f t="shared" si="3"/>
        <v>6.72</v>
      </c>
      <c r="L65" s="230">
        <f t="shared" si="4"/>
        <v>0.9</v>
      </c>
      <c r="M65" s="230">
        <f t="shared" si="5"/>
        <v>105.01</v>
      </c>
    </row>
    <row r="66" spans="1:13" ht="21.75" customHeight="1">
      <c r="A66" s="154">
        <f t="shared" si="1"/>
        <v>39</v>
      </c>
      <c r="B66" s="194" t="s">
        <v>419</v>
      </c>
      <c r="C66" s="189" t="s">
        <v>408</v>
      </c>
      <c r="D66" s="203" t="s">
        <v>79</v>
      </c>
      <c r="E66" s="190" t="s">
        <v>47</v>
      </c>
      <c r="F66" s="187">
        <f t="shared" si="7"/>
        <v>597</v>
      </c>
      <c r="G66" s="230">
        <f t="shared" si="2"/>
        <v>89.55</v>
      </c>
      <c r="H66" s="230">
        <f t="shared" si="8"/>
        <v>7.84</v>
      </c>
      <c r="I66" s="230"/>
      <c r="J66" s="230"/>
      <c r="K66" s="230">
        <f t="shared" si="3"/>
        <v>6.72</v>
      </c>
      <c r="L66" s="230">
        <f t="shared" si="4"/>
        <v>0.9</v>
      </c>
      <c r="M66" s="230">
        <f t="shared" si="5"/>
        <v>105.01</v>
      </c>
    </row>
    <row r="67" spans="1:13" ht="22.5" customHeight="1">
      <c r="A67" s="154">
        <f t="shared" si="1"/>
        <v>40</v>
      </c>
      <c r="B67" s="194" t="s">
        <v>419</v>
      </c>
      <c r="C67" s="189" t="s">
        <v>408</v>
      </c>
      <c r="D67" s="203" t="s">
        <v>79</v>
      </c>
      <c r="E67" s="190" t="s">
        <v>47</v>
      </c>
      <c r="F67" s="187">
        <f t="shared" si="7"/>
        <v>597</v>
      </c>
      <c r="G67" s="230">
        <f t="shared" si="2"/>
        <v>89.55</v>
      </c>
      <c r="H67" s="230">
        <f t="shared" si="8"/>
        <v>7.84</v>
      </c>
      <c r="I67" s="230"/>
      <c r="J67" s="230"/>
      <c r="K67" s="230">
        <f t="shared" si="3"/>
        <v>6.72</v>
      </c>
      <c r="L67" s="230">
        <f t="shared" si="4"/>
        <v>0.9</v>
      </c>
      <c r="M67" s="230">
        <f t="shared" si="5"/>
        <v>105.01</v>
      </c>
    </row>
    <row r="68" spans="1:13" ht="24.75" customHeight="1">
      <c r="A68" s="154">
        <f t="shared" si="1"/>
        <v>41</v>
      </c>
      <c r="B68" s="194" t="s">
        <v>419</v>
      </c>
      <c r="C68" s="189" t="s">
        <v>408</v>
      </c>
      <c r="D68" s="203" t="s">
        <v>79</v>
      </c>
      <c r="E68" s="190" t="s">
        <v>47</v>
      </c>
      <c r="F68" s="187">
        <f t="shared" si="7"/>
        <v>597</v>
      </c>
      <c r="G68" s="230">
        <f t="shared" si="2"/>
        <v>89.55</v>
      </c>
      <c r="H68" s="230"/>
      <c r="I68" s="230">
        <f>ROUND(G68*0.06,2)</f>
        <v>5.37</v>
      </c>
      <c r="J68" s="230"/>
      <c r="K68" s="230">
        <f t="shared" si="3"/>
        <v>6.72</v>
      </c>
      <c r="L68" s="230">
        <f t="shared" si="4"/>
        <v>0.9</v>
      </c>
      <c r="M68" s="230">
        <f t="shared" si="5"/>
        <v>102.54</v>
      </c>
    </row>
    <row r="69" spans="1:13" ht="24.75" customHeight="1">
      <c r="A69" s="154">
        <f t="shared" si="1"/>
        <v>42</v>
      </c>
      <c r="B69" s="194" t="s">
        <v>421</v>
      </c>
      <c r="C69" s="189" t="s">
        <v>408</v>
      </c>
      <c r="D69" s="203" t="s">
        <v>79</v>
      </c>
      <c r="E69" s="190" t="s">
        <v>47</v>
      </c>
      <c r="F69" s="187">
        <f>417+30+50+50</f>
        <v>547</v>
      </c>
      <c r="G69" s="230">
        <f t="shared" si="2"/>
        <v>82.05</v>
      </c>
      <c r="H69" s="230">
        <f>ROUND(G69*8.75%,2)</f>
        <v>7.18</v>
      </c>
      <c r="I69" s="230"/>
      <c r="J69" s="230"/>
      <c r="K69" s="230">
        <f t="shared" si="3"/>
        <v>6.15</v>
      </c>
      <c r="L69" s="230">
        <f t="shared" si="4"/>
        <v>0.82</v>
      </c>
      <c r="M69" s="230">
        <f t="shared" si="5"/>
        <v>96.199999999999989</v>
      </c>
    </row>
    <row r="70" spans="1:13" ht="24.75" customHeight="1">
      <c r="A70" s="154">
        <f t="shared" si="1"/>
        <v>43</v>
      </c>
      <c r="B70" s="194" t="s">
        <v>421</v>
      </c>
      <c r="C70" s="189" t="s">
        <v>408</v>
      </c>
      <c r="D70" s="203" t="s">
        <v>79</v>
      </c>
      <c r="E70" s="190" t="s">
        <v>47</v>
      </c>
      <c r="F70" s="187">
        <f>417+30+50+50</f>
        <v>547</v>
      </c>
      <c r="G70" s="230">
        <f t="shared" si="2"/>
        <v>82.05</v>
      </c>
      <c r="H70" s="230">
        <f>ROUND(G70*8.75%,2)</f>
        <v>7.18</v>
      </c>
      <c r="I70" s="230"/>
      <c r="J70" s="230"/>
      <c r="K70" s="230">
        <f t="shared" si="3"/>
        <v>6.15</v>
      </c>
      <c r="L70" s="230">
        <f t="shared" si="4"/>
        <v>0.82</v>
      </c>
      <c r="M70" s="230">
        <f t="shared" si="5"/>
        <v>96.199999999999989</v>
      </c>
    </row>
    <row r="71" spans="1:13" ht="24.75" customHeight="1">
      <c r="A71" s="154">
        <f t="shared" si="1"/>
        <v>44</v>
      </c>
      <c r="B71" s="194" t="s">
        <v>435</v>
      </c>
      <c r="C71" s="189" t="s">
        <v>408</v>
      </c>
      <c r="D71" s="203" t="s">
        <v>79</v>
      </c>
      <c r="E71" s="190" t="s">
        <v>47</v>
      </c>
      <c r="F71" s="187">
        <f>387+30+50+50</f>
        <v>517</v>
      </c>
      <c r="G71" s="230">
        <f t="shared" si="2"/>
        <v>77.55</v>
      </c>
      <c r="H71" s="230">
        <f>ROUND(G71*8.75%,2)</f>
        <v>6.79</v>
      </c>
      <c r="I71" s="230"/>
      <c r="J71" s="230"/>
      <c r="K71" s="230">
        <f t="shared" si="3"/>
        <v>5.82</v>
      </c>
      <c r="L71" s="230">
        <f t="shared" si="4"/>
        <v>0.78</v>
      </c>
      <c r="M71" s="230">
        <f t="shared" si="5"/>
        <v>90.94</v>
      </c>
    </row>
    <row r="72" spans="1:13" ht="24.75" customHeight="1">
      <c r="A72" s="154">
        <f t="shared" si="1"/>
        <v>45</v>
      </c>
      <c r="B72" s="194" t="s">
        <v>435</v>
      </c>
      <c r="C72" s="189" t="s">
        <v>408</v>
      </c>
      <c r="D72" s="203" t="s">
        <v>79</v>
      </c>
      <c r="E72" s="190" t="s">
        <v>47</v>
      </c>
      <c r="F72" s="187">
        <f>387+30+50+50</f>
        <v>517</v>
      </c>
      <c r="G72" s="230">
        <f t="shared" si="2"/>
        <v>77.55</v>
      </c>
      <c r="H72" s="230"/>
      <c r="I72" s="230">
        <f>ROUND(G72*0.06,2)</f>
        <v>4.6500000000000004</v>
      </c>
      <c r="J72" s="230"/>
      <c r="K72" s="230">
        <f t="shared" si="3"/>
        <v>5.82</v>
      </c>
      <c r="L72" s="230">
        <f t="shared" si="4"/>
        <v>0.78</v>
      </c>
      <c r="M72" s="230">
        <f t="shared" si="5"/>
        <v>88.800000000000011</v>
      </c>
    </row>
    <row r="73" spans="1:13" ht="24.75" customHeight="1">
      <c r="A73" s="154">
        <f t="shared" si="1"/>
        <v>46</v>
      </c>
      <c r="B73" s="194" t="s">
        <v>435</v>
      </c>
      <c r="C73" s="189" t="s">
        <v>408</v>
      </c>
      <c r="D73" s="203" t="s">
        <v>79</v>
      </c>
      <c r="E73" s="190" t="s">
        <v>47</v>
      </c>
      <c r="F73" s="187">
        <f>387+30+50+50</f>
        <v>517</v>
      </c>
      <c r="G73" s="230">
        <f t="shared" si="2"/>
        <v>77.55</v>
      </c>
      <c r="H73" s="230">
        <f t="shared" ref="H73:H83" si="9">ROUND(G73*8.75%,2)</f>
        <v>6.79</v>
      </c>
      <c r="I73" s="230"/>
      <c r="J73" s="230"/>
      <c r="K73" s="230">
        <f t="shared" si="3"/>
        <v>5.82</v>
      </c>
      <c r="L73" s="230">
        <f t="shared" si="4"/>
        <v>0.78</v>
      </c>
      <c r="M73" s="230">
        <f t="shared" si="5"/>
        <v>90.94</v>
      </c>
    </row>
    <row r="74" spans="1:13" ht="24.75" customHeight="1">
      <c r="A74" s="154">
        <f t="shared" si="1"/>
        <v>47</v>
      </c>
      <c r="B74" s="194" t="s">
        <v>435</v>
      </c>
      <c r="C74" s="189" t="s">
        <v>408</v>
      </c>
      <c r="D74" s="203" t="s">
        <v>79</v>
      </c>
      <c r="E74" s="190" t="s">
        <v>47</v>
      </c>
      <c r="F74" s="187">
        <f>387+30+50+50</f>
        <v>517</v>
      </c>
      <c r="G74" s="230">
        <f t="shared" si="2"/>
        <v>77.55</v>
      </c>
      <c r="H74" s="230">
        <f t="shared" si="9"/>
        <v>6.79</v>
      </c>
      <c r="I74" s="230"/>
      <c r="J74" s="230"/>
      <c r="K74" s="230">
        <f t="shared" si="3"/>
        <v>5.82</v>
      </c>
      <c r="L74" s="230">
        <f t="shared" si="4"/>
        <v>0.78</v>
      </c>
      <c r="M74" s="230">
        <f t="shared" si="5"/>
        <v>90.94</v>
      </c>
    </row>
    <row r="75" spans="1:13" ht="24.75" customHeight="1">
      <c r="A75" s="154">
        <f t="shared" si="1"/>
        <v>48</v>
      </c>
      <c r="B75" s="168" t="s">
        <v>444</v>
      </c>
      <c r="C75" s="189" t="s">
        <v>408</v>
      </c>
      <c r="D75" s="203" t="s">
        <v>79</v>
      </c>
      <c r="E75" s="190" t="s">
        <v>47</v>
      </c>
      <c r="F75" s="187">
        <f>417+50</f>
        <v>467</v>
      </c>
      <c r="G75" s="230">
        <f t="shared" si="2"/>
        <v>70.05</v>
      </c>
      <c r="H75" s="230">
        <f t="shared" si="9"/>
        <v>6.13</v>
      </c>
      <c r="I75" s="230"/>
      <c r="J75" s="230"/>
      <c r="K75" s="230">
        <f t="shared" si="3"/>
        <v>5.25</v>
      </c>
      <c r="L75" s="230">
        <f t="shared" si="4"/>
        <v>0.7</v>
      </c>
      <c r="M75" s="230">
        <f t="shared" si="5"/>
        <v>82.13</v>
      </c>
    </row>
    <row r="76" spans="1:13" ht="24.75" customHeight="1">
      <c r="A76" s="154">
        <f t="shared" si="1"/>
        <v>49</v>
      </c>
      <c r="B76" s="168" t="s">
        <v>444</v>
      </c>
      <c r="C76" s="189" t="s">
        <v>408</v>
      </c>
      <c r="D76" s="203" t="s">
        <v>79</v>
      </c>
      <c r="E76" s="190" t="s">
        <v>47</v>
      </c>
      <c r="F76" s="187">
        <v>417</v>
      </c>
      <c r="G76" s="230">
        <f t="shared" si="2"/>
        <v>62.55</v>
      </c>
      <c r="H76" s="230">
        <f t="shared" si="9"/>
        <v>5.47</v>
      </c>
      <c r="I76" s="230"/>
      <c r="J76" s="230"/>
      <c r="K76" s="230">
        <f t="shared" si="3"/>
        <v>4.6900000000000004</v>
      </c>
      <c r="L76" s="230">
        <f t="shared" si="4"/>
        <v>0.63</v>
      </c>
      <c r="M76" s="230">
        <f t="shared" si="5"/>
        <v>73.339999999999989</v>
      </c>
    </row>
    <row r="77" spans="1:13" ht="24.75" customHeight="1">
      <c r="A77" s="154">
        <f t="shared" si="1"/>
        <v>50</v>
      </c>
      <c r="B77" s="168" t="s">
        <v>444</v>
      </c>
      <c r="C77" s="189" t="s">
        <v>408</v>
      </c>
      <c r="D77" s="203" t="s">
        <v>79</v>
      </c>
      <c r="E77" s="190" t="s">
        <v>47</v>
      </c>
      <c r="F77" s="187">
        <v>417</v>
      </c>
      <c r="G77" s="230">
        <f t="shared" si="2"/>
        <v>62.55</v>
      </c>
      <c r="H77" s="230">
        <f t="shared" si="9"/>
        <v>5.47</v>
      </c>
      <c r="I77" s="230"/>
      <c r="J77" s="230"/>
      <c r="K77" s="230">
        <f t="shared" si="3"/>
        <v>4.6900000000000004</v>
      </c>
      <c r="L77" s="230">
        <f t="shared" si="4"/>
        <v>0.63</v>
      </c>
      <c r="M77" s="230">
        <f t="shared" si="5"/>
        <v>73.339999999999989</v>
      </c>
    </row>
    <row r="78" spans="1:13" ht="24.75" customHeight="1">
      <c r="A78" s="154">
        <f t="shared" si="1"/>
        <v>51</v>
      </c>
      <c r="B78" s="168" t="s">
        <v>444</v>
      </c>
      <c r="C78" s="189" t="s">
        <v>408</v>
      </c>
      <c r="D78" s="203" t="s">
        <v>79</v>
      </c>
      <c r="E78" s="190" t="s">
        <v>47</v>
      </c>
      <c r="F78" s="187">
        <v>417</v>
      </c>
      <c r="G78" s="230">
        <f t="shared" si="2"/>
        <v>62.55</v>
      </c>
      <c r="H78" s="230">
        <f t="shared" si="9"/>
        <v>5.47</v>
      </c>
      <c r="I78" s="230"/>
      <c r="J78" s="230"/>
      <c r="K78" s="230">
        <f t="shared" si="3"/>
        <v>4.6900000000000004</v>
      </c>
      <c r="L78" s="230">
        <f t="shared" si="4"/>
        <v>0.63</v>
      </c>
      <c r="M78" s="230">
        <f t="shared" si="5"/>
        <v>73.339999999999989</v>
      </c>
    </row>
    <row r="79" spans="1:13" ht="24.75" customHeight="1">
      <c r="A79" s="154">
        <f t="shared" si="1"/>
        <v>52</v>
      </c>
      <c r="B79" s="168" t="s">
        <v>444</v>
      </c>
      <c r="C79" s="189" t="s">
        <v>408</v>
      </c>
      <c r="D79" s="203" t="s">
        <v>79</v>
      </c>
      <c r="E79" s="190" t="s">
        <v>47</v>
      </c>
      <c r="F79" s="187">
        <v>417</v>
      </c>
      <c r="G79" s="230">
        <f t="shared" si="2"/>
        <v>62.55</v>
      </c>
      <c r="H79" s="230">
        <f t="shared" si="9"/>
        <v>5.47</v>
      </c>
      <c r="I79" s="230"/>
      <c r="J79" s="230"/>
      <c r="K79" s="230">
        <f t="shared" si="3"/>
        <v>4.6900000000000004</v>
      </c>
      <c r="L79" s="230">
        <f t="shared" si="4"/>
        <v>0.63</v>
      </c>
      <c r="M79" s="230">
        <f t="shared" si="5"/>
        <v>73.339999999999989</v>
      </c>
    </row>
    <row r="80" spans="1:13" ht="24.75" customHeight="1">
      <c r="A80" s="154">
        <f t="shared" si="1"/>
        <v>53</v>
      </c>
      <c r="B80" s="168" t="s">
        <v>444</v>
      </c>
      <c r="C80" s="189" t="s">
        <v>408</v>
      </c>
      <c r="D80" s="203" t="s">
        <v>79</v>
      </c>
      <c r="E80" s="190" t="s">
        <v>47</v>
      </c>
      <c r="F80" s="187">
        <v>417</v>
      </c>
      <c r="G80" s="230">
        <f t="shared" si="2"/>
        <v>62.55</v>
      </c>
      <c r="H80" s="230">
        <f t="shared" si="9"/>
        <v>5.47</v>
      </c>
      <c r="I80" s="230"/>
      <c r="J80" s="230"/>
      <c r="K80" s="230">
        <f t="shared" si="3"/>
        <v>4.6900000000000004</v>
      </c>
      <c r="L80" s="230">
        <f t="shared" si="4"/>
        <v>0.63</v>
      </c>
      <c r="M80" s="230">
        <f t="shared" si="5"/>
        <v>73.339999999999989</v>
      </c>
    </row>
    <row r="81" spans="1:39" ht="24.75" customHeight="1">
      <c r="A81" s="154">
        <f t="shared" si="1"/>
        <v>54</v>
      </c>
      <c r="B81" s="168" t="s">
        <v>444</v>
      </c>
      <c r="C81" s="189" t="s">
        <v>408</v>
      </c>
      <c r="D81" s="203" t="s">
        <v>79</v>
      </c>
      <c r="E81" s="190" t="s">
        <v>47</v>
      </c>
      <c r="F81" s="187">
        <v>417</v>
      </c>
      <c r="G81" s="230">
        <f t="shared" si="2"/>
        <v>62.55</v>
      </c>
      <c r="H81" s="230">
        <f t="shared" si="9"/>
        <v>5.47</v>
      </c>
      <c r="I81" s="230"/>
      <c r="J81" s="230"/>
      <c r="K81" s="230">
        <f t="shared" si="3"/>
        <v>4.6900000000000004</v>
      </c>
      <c r="L81" s="230">
        <f t="shared" si="4"/>
        <v>0.63</v>
      </c>
      <c r="M81" s="230">
        <f t="shared" si="5"/>
        <v>73.339999999999989</v>
      </c>
    </row>
    <row r="82" spans="1:39" ht="24.75" customHeight="1">
      <c r="A82" s="154">
        <f t="shared" si="1"/>
        <v>55</v>
      </c>
      <c r="B82" s="168" t="s">
        <v>444</v>
      </c>
      <c r="C82" s="189" t="s">
        <v>408</v>
      </c>
      <c r="D82" s="203" t="s">
        <v>79</v>
      </c>
      <c r="E82" s="190" t="s">
        <v>47</v>
      </c>
      <c r="F82" s="187">
        <v>417</v>
      </c>
      <c r="G82" s="230">
        <f t="shared" si="2"/>
        <v>62.55</v>
      </c>
      <c r="H82" s="230">
        <f t="shared" si="9"/>
        <v>5.47</v>
      </c>
      <c r="I82" s="230"/>
      <c r="J82" s="230"/>
      <c r="K82" s="230">
        <f t="shared" si="3"/>
        <v>4.6900000000000004</v>
      </c>
      <c r="L82" s="230">
        <f t="shared" si="4"/>
        <v>0.63</v>
      </c>
      <c r="M82" s="230">
        <f t="shared" si="5"/>
        <v>73.339999999999989</v>
      </c>
    </row>
    <row r="83" spans="1:39" ht="24.75" customHeight="1">
      <c r="A83" s="154">
        <f t="shared" si="1"/>
        <v>56</v>
      </c>
      <c r="B83" s="168" t="s">
        <v>444</v>
      </c>
      <c r="C83" s="189" t="s">
        <v>408</v>
      </c>
      <c r="D83" s="203" t="s">
        <v>79</v>
      </c>
      <c r="E83" s="190" t="s">
        <v>47</v>
      </c>
      <c r="F83" s="187">
        <v>417</v>
      </c>
      <c r="G83" s="230">
        <f t="shared" si="2"/>
        <v>62.55</v>
      </c>
      <c r="H83" s="230">
        <f t="shared" si="9"/>
        <v>5.47</v>
      </c>
      <c r="I83" s="230"/>
      <c r="J83" s="230"/>
      <c r="K83" s="230">
        <f t="shared" si="3"/>
        <v>4.6900000000000004</v>
      </c>
      <c r="L83" s="230">
        <f t="shared" si="4"/>
        <v>0.63</v>
      </c>
      <c r="M83" s="230">
        <f t="shared" si="5"/>
        <v>73.339999999999989</v>
      </c>
    </row>
    <row r="84" spans="1:39" ht="24.75" customHeight="1">
      <c r="A84" s="154">
        <f t="shared" si="1"/>
        <v>57</v>
      </c>
      <c r="B84" s="168" t="s">
        <v>444</v>
      </c>
      <c r="C84" s="189" t="s">
        <v>408</v>
      </c>
      <c r="D84" s="203" t="s">
        <v>79</v>
      </c>
      <c r="E84" s="190" t="s">
        <v>47</v>
      </c>
      <c r="F84" s="187">
        <v>417</v>
      </c>
      <c r="G84" s="230">
        <f t="shared" si="2"/>
        <v>62.55</v>
      </c>
      <c r="H84" s="230"/>
      <c r="I84" s="230">
        <f>ROUND(G84*0.06,2)</f>
        <v>3.75</v>
      </c>
      <c r="J84" s="230"/>
      <c r="K84" s="230">
        <f t="shared" si="3"/>
        <v>4.6900000000000004</v>
      </c>
      <c r="L84" s="230">
        <f t="shared" si="4"/>
        <v>0.63</v>
      </c>
      <c r="M84" s="230">
        <f t="shared" si="5"/>
        <v>71.61999999999999</v>
      </c>
    </row>
    <row r="85" spans="1:39" ht="24.75" customHeight="1">
      <c r="A85" s="154">
        <f t="shared" si="1"/>
        <v>58</v>
      </c>
      <c r="B85" s="168" t="s">
        <v>444</v>
      </c>
      <c r="C85" s="189" t="s">
        <v>408</v>
      </c>
      <c r="D85" s="203" t="s">
        <v>79</v>
      </c>
      <c r="E85" s="190" t="s">
        <v>47</v>
      </c>
      <c r="F85" s="187">
        <v>417</v>
      </c>
      <c r="G85" s="230">
        <f t="shared" si="2"/>
        <v>62.55</v>
      </c>
      <c r="H85" s="230">
        <f t="shared" ref="H85:H90" si="10">ROUND(G85*8.75%,2)</f>
        <v>5.47</v>
      </c>
      <c r="I85" s="230"/>
      <c r="J85" s="230"/>
      <c r="K85" s="230">
        <f t="shared" ref="K85:K90" si="11">ROUND(G85*0.075,2)</f>
        <v>4.6900000000000004</v>
      </c>
      <c r="L85" s="230">
        <f t="shared" ref="L85:L90" si="12">ROUND(G85*0.01,2)</f>
        <v>0.63</v>
      </c>
      <c r="M85" s="230">
        <f t="shared" ref="M85:M90" si="13">SUM(G85:L85)</f>
        <v>73.339999999999989</v>
      </c>
    </row>
    <row r="86" spans="1:39" ht="24.75" customHeight="1">
      <c r="A86" s="154">
        <f t="shared" si="1"/>
        <v>59</v>
      </c>
      <c r="B86" s="168" t="s">
        <v>444</v>
      </c>
      <c r="C86" s="189" t="s">
        <v>408</v>
      </c>
      <c r="D86" s="203" t="s">
        <v>79</v>
      </c>
      <c r="E86" s="190" t="s">
        <v>47</v>
      </c>
      <c r="F86" s="187">
        <v>417</v>
      </c>
      <c r="G86" s="230">
        <f t="shared" si="2"/>
        <v>62.55</v>
      </c>
      <c r="H86" s="230">
        <f t="shared" si="10"/>
        <v>5.47</v>
      </c>
      <c r="I86" s="230"/>
      <c r="J86" s="230"/>
      <c r="K86" s="230">
        <f t="shared" si="11"/>
        <v>4.6900000000000004</v>
      </c>
      <c r="L86" s="230">
        <f t="shared" si="12"/>
        <v>0.63</v>
      </c>
      <c r="M86" s="230">
        <f t="shared" si="13"/>
        <v>73.339999999999989</v>
      </c>
    </row>
    <row r="87" spans="1:39" ht="24.75" customHeight="1">
      <c r="A87" s="154">
        <f t="shared" si="1"/>
        <v>60</v>
      </c>
      <c r="B87" s="168" t="s">
        <v>444</v>
      </c>
      <c r="C87" s="189" t="s">
        <v>408</v>
      </c>
      <c r="D87" s="203" t="s">
        <v>79</v>
      </c>
      <c r="E87" s="190" t="s">
        <v>47</v>
      </c>
      <c r="F87" s="187">
        <v>417</v>
      </c>
      <c r="G87" s="230">
        <f t="shared" si="2"/>
        <v>62.55</v>
      </c>
      <c r="H87" s="230">
        <f t="shared" si="10"/>
        <v>5.47</v>
      </c>
      <c r="I87" s="230"/>
      <c r="J87" s="230"/>
      <c r="K87" s="230">
        <f t="shared" si="11"/>
        <v>4.6900000000000004</v>
      </c>
      <c r="L87" s="230">
        <f t="shared" si="12"/>
        <v>0.63</v>
      </c>
      <c r="M87" s="230">
        <f t="shared" si="13"/>
        <v>73.339999999999989</v>
      </c>
    </row>
    <row r="88" spans="1:39" ht="24.75" customHeight="1">
      <c r="A88" s="154">
        <f t="shared" si="1"/>
        <v>61</v>
      </c>
      <c r="B88" s="168" t="s">
        <v>444</v>
      </c>
      <c r="C88" s="189" t="s">
        <v>408</v>
      </c>
      <c r="D88" s="203" t="s">
        <v>79</v>
      </c>
      <c r="E88" s="190" t="s">
        <v>47</v>
      </c>
      <c r="F88" s="187">
        <v>417</v>
      </c>
      <c r="G88" s="230">
        <f t="shared" si="2"/>
        <v>62.55</v>
      </c>
      <c r="H88" s="230">
        <f t="shared" si="10"/>
        <v>5.47</v>
      </c>
      <c r="I88" s="230"/>
      <c r="J88" s="230"/>
      <c r="K88" s="230">
        <f t="shared" si="11"/>
        <v>4.6900000000000004</v>
      </c>
      <c r="L88" s="230">
        <f t="shared" si="12"/>
        <v>0.63</v>
      </c>
      <c r="M88" s="230">
        <f t="shared" si="13"/>
        <v>73.339999999999989</v>
      </c>
    </row>
    <row r="89" spans="1:39" ht="24.75" customHeight="1">
      <c r="A89" s="154">
        <f t="shared" si="1"/>
        <v>62</v>
      </c>
      <c r="B89" s="168" t="s">
        <v>444</v>
      </c>
      <c r="C89" s="189" t="s">
        <v>408</v>
      </c>
      <c r="D89" s="203" t="s">
        <v>79</v>
      </c>
      <c r="E89" s="190" t="s">
        <v>47</v>
      </c>
      <c r="F89" s="187">
        <v>417</v>
      </c>
      <c r="G89" s="230">
        <f t="shared" si="2"/>
        <v>62.55</v>
      </c>
      <c r="H89" s="230">
        <f t="shared" si="10"/>
        <v>5.47</v>
      </c>
      <c r="I89" s="230"/>
      <c r="J89" s="230"/>
      <c r="K89" s="230">
        <f t="shared" si="11"/>
        <v>4.6900000000000004</v>
      </c>
      <c r="L89" s="230">
        <f t="shared" si="12"/>
        <v>0.63</v>
      </c>
      <c r="M89" s="230">
        <f t="shared" si="13"/>
        <v>73.339999999999989</v>
      </c>
    </row>
    <row r="90" spans="1:39" ht="22.5" customHeight="1">
      <c r="A90" s="154">
        <f t="shared" si="1"/>
        <v>63</v>
      </c>
      <c r="B90" s="168" t="s">
        <v>444</v>
      </c>
      <c r="C90" s="189" t="s">
        <v>408</v>
      </c>
      <c r="D90" s="203" t="s">
        <v>79</v>
      </c>
      <c r="E90" s="190" t="s">
        <v>47</v>
      </c>
      <c r="F90" s="187">
        <v>417</v>
      </c>
      <c r="G90" s="230">
        <f t="shared" si="2"/>
        <v>62.55</v>
      </c>
      <c r="H90" s="230">
        <f t="shared" si="10"/>
        <v>5.47</v>
      </c>
      <c r="I90" s="230"/>
      <c r="J90" s="230"/>
      <c r="K90" s="230">
        <f t="shared" si="11"/>
        <v>4.6900000000000004</v>
      </c>
      <c r="L90" s="230">
        <f t="shared" si="12"/>
        <v>0.63</v>
      </c>
      <c r="M90" s="230">
        <f t="shared" si="13"/>
        <v>73.339999999999989</v>
      </c>
    </row>
    <row r="91" spans="1:39" ht="15.75" customHeight="1">
      <c r="A91" s="154"/>
      <c r="B91" s="350"/>
      <c r="C91" s="203"/>
      <c r="D91" s="203"/>
      <c r="E91" s="190"/>
      <c r="F91" s="167">
        <f>SUM(F48:F90)</f>
        <v>23462.3</v>
      </c>
      <c r="G91" s="167">
        <f>SUM(G48:G90)-0.01</f>
        <v>3456.785000000003</v>
      </c>
      <c r="H91" s="167">
        <f>SUM(H48:H90)</f>
        <v>257.04000000000002</v>
      </c>
      <c r="I91" s="167">
        <f>SUM(I48:I90)</f>
        <v>31.160000000000004</v>
      </c>
      <c r="J91" s="167">
        <f>SUM(J48:J90)</f>
        <v>0</v>
      </c>
      <c r="K91" s="167">
        <f>SUM(K48:K90)</f>
        <v>259.28999999999996</v>
      </c>
      <c r="L91" s="167">
        <f>SUM(L48:L90)</f>
        <v>34.71</v>
      </c>
      <c r="M91" s="167">
        <f>SUM(M48:M90)-0.01</f>
        <v>4038.9850000000019</v>
      </c>
      <c r="N91" s="198"/>
      <c r="O91" s="198"/>
      <c r="P91" s="198"/>
      <c r="Q91" s="184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</row>
    <row r="92" spans="1:39" ht="24" customHeight="1">
      <c r="A92" s="154">
        <f>A90+1</f>
        <v>64</v>
      </c>
      <c r="B92" s="141" t="s">
        <v>394</v>
      </c>
      <c r="C92" s="214" t="s">
        <v>395</v>
      </c>
      <c r="D92" s="204" t="s">
        <v>79</v>
      </c>
      <c r="E92" s="302" t="s">
        <v>47</v>
      </c>
      <c r="F92" s="187">
        <v>1025</v>
      </c>
      <c r="G92" s="157"/>
      <c r="H92" s="186"/>
      <c r="I92" s="186"/>
      <c r="J92" s="186"/>
      <c r="K92" s="186"/>
      <c r="L92" s="186"/>
      <c r="M92" s="186"/>
    </row>
    <row r="93" spans="1:39" ht="24" customHeight="1">
      <c r="A93" s="154">
        <f>A92+1</f>
        <v>65</v>
      </c>
      <c r="B93" s="193" t="s">
        <v>143</v>
      </c>
      <c r="C93" s="214" t="s">
        <v>395</v>
      </c>
      <c r="D93" s="204" t="s">
        <v>79</v>
      </c>
      <c r="E93" s="190" t="s">
        <v>47</v>
      </c>
      <c r="F93" s="187">
        <v>500</v>
      </c>
      <c r="G93" s="157"/>
      <c r="H93" s="186"/>
      <c r="I93" s="186"/>
      <c r="J93" s="186"/>
      <c r="K93" s="186"/>
      <c r="L93" s="186"/>
      <c r="M93" s="186"/>
    </row>
    <row r="94" spans="1:39" ht="21.75" customHeight="1">
      <c r="A94" s="154">
        <f>A93+1</f>
        <v>66</v>
      </c>
      <c r="B94" s="141" t="s">
        <v>631</v>
      </c>
      <c r="C94" s="214" t="s">
        <v>395</v>
      </c>
      <c r="D94" s="204" t="s">
        <v>79</v>
      </c>
      <c r="E94" s="302" t="s">
        <v>47</v>
      </c>
      <c r="F94" s="187">
        <v>700</v>
      </c>
      <c r="G94" s="186"/>
      <c r="H94" s="186"/>
      <c r="I94" s="186"/>
      <c r="J94" s="186"/>
      <c r="K94" s="186"/>
      <c r="L94" s="186"/>
      <c r="M94" s="186"/>
    </row>
    <row r="95" spans="1:39" ht="22.5" customHeight="1">
      <c r="A95" s="154">
        <f>A94+1</f>
        <v>67</v>
      </c>
      <c r="B95" s="141" t="s">
        <v>135</v>
      </c>
      <c r="C95" s="214" t="s">
        <v>395</v>
      </c>
      <c r="D95" s="204" t="s">
        <v>79</v>
      </c>
      <c r="E95" s="302" t="s">
        <v>47</v>
      </c>
      <c r="F95" s="187">
        <v>500</v>
      </c>
      <c r="G95" s="186"/>
      <c r="H95" s="186"/>
      <c r="I95" s="186"/>
      <c r="J95" s="186"/>
      <c r="K95" s="186"/>
      <c r="L95" s="186"/>
      <c r="M95" s="186"/>
    </row>
    <row r="96" spans="1:39" ht="21.75" customHeight="1">
      <c r="A96" s="154">
        <f>A95+1</f>
        <v>68</v>
      </c>
      <c r="B96" s="351" t="s">
        <v>137</v>
      </c>
      <c r="C96" s="214" t="s">
        <v>395</v>
      </c>
      <c r="D96" s="204" t="s">
        <v>79</v>
      </c>
      <c r="E96" s="302" t="s">
        <v>47</v>
      </c>
      <c r="F96" s="187">
        <v>417</v>
      </c>
      <c r="G96" s="186"/>
      <c r="H96" s="186"/>
      <c r="I96" s="186"/>
      <c r="J96" s="186"/>
      <c r="K96" s="186"/>
      <c r="L96" s="186"/>
      <c r="M96" s="186"/>
    </row>
    <row r="97" spans="1:13" ht="22.5" customHeight="1">
      <c r="A97" s="154">
        <f>A96+1</f>
        <v>69</v>
      </c>
      <c r="B97" s="171" t="s">
        <v>137</v>
      </c>
      <c r="C97" s="214" t="s">
        <v>395</v>
      </c>
      <c r="D97" s="204" t="s">
        <v>79</v>
      </c>
      <c r="E97" s="302" t="s">
        <v>47</v>
      </c>
      <c r="F97" s="187">
        <v>417</v>
      </c>
      <c r="G97" s="200"/>
      <c r="H97" s="200"/>
      <c r="I97" s="200"/>
      <c r="J97" s="200"/>
      <c r="K97" s="200"/>
      <c r="L97" s="200"/>
      <c r="M97" s="200"/>
    </row>
    <row r="98" spans="1:13" ht="16.8" customHeight="1">
      <c r="A98" s="132"/>
      <c r="B98" s="350"/>
      <c r="C98" s="156"/>
      <c r="D98" s="203"/>
      <c r="E98" s="190"/>
      <c r="F98" s="167">
        <f>SUM(F92:F97)</f>
        <v>3559</v>
      </c>
      <c r="G98" s="186"/>
      <c r="H98" s="186"/>
      <c r="I98" s="186"/>
      <c r="J98" s="186"/>
      <c r="K98" s="186"/>
      <c r="L98" s="186"/>
      <c r="M98" s="186"/>
    </row>
    <row r="99" spans="1:13" ht="27.75" customHeight="1">
      <c r="A99" s="154">
        <f>A97+1</f>
        <v>70</v>
      </c>
      <c r="B99" s="141" t="s">
        <v>198</v>
      </c>
      <c r="C99" s="189" t="s">
        <v>199</v>
      </c>
      <c r="D99" s="203" t="s">
        <v>79</v>
      </c>
      <c r="E99" s="190" t="s">
        <v>47</v>
      </c>
      <c r="F99" s="187">
        <v>800</v>
      </c>
      <c r="G99" s="186"/>
      <c r="H99" s="186"/>
      <c r="I99" s="186"/>
      <c r="J99" s="186"/>
      <c r="K99" s="186"/>
      <c r="L99" s="186"/>
      <c r="M99" s="186"/>
    </row>
    <row r="100" spans="1:13" ht="21.6">
      <c r="A100" s="154">
        <f>A99+1</f>
        <v>71</v>
      </c>
      <c r="B100" s="193" t="s">
        <v>201</v>
      </c>
      <c r="C100" s="189" t="s">
        <v>199</v>
      </c>
      <c r="D100" s="203" t="s">
        <v>79</v>
      </c>
      <c r="E100" s="190" t="s">
        <v>47</v>
      </c>
      <c r="F100" s="187">
        <f>567+30+50+50</f>
        <v>697</v>
      </c>
      <c r="G100" s="186"/>
      <c r="H100" s="186"/>
      <c r="I100" s="186"/>
      <c r="J100" s="186"/>
      <c r="K100" s="186"/>
      <c r="L100" s="186"/>
      <c r="M100" s="186"/>
    </row>
    <row r="101" spans="1:13" ht="29.25" customHeight="1">
      <c r="A101" s="154">
        <f>A100+1</f>
        <v>72</v>
      </c>
      <c r="B101" s="193" t="s">
        <v>123</v>
      </c>
      <c r="C101" s="189" t="s">
        <v>199</v>
      </c>
      <c r="D101" s="203" t="s">
        <v>79</v>
      </c>
      <c r="E101" s="190" t="s">
        <v>47</v>
      </c>
      <c r="F101" s="187">
        <f>567+30+50+50</f>
        <v>697</v>
      </c>
      <c r="G101" s="230"/>
      <c r="H101" s="230"/>
      <c r="I101" s="230"/>
      <c r="J101" s="230"/>
      <c r="K101" s="230"/>
      <c r="L101" s="230"/>
      <c r="M101" s="230"/>
    </row>
    <row r="102" spans="1:13" ht="33" customHeight="1">
      <c r="A102" s="154">
        <f>A101+1</f>
        <v>73</v>
      </c>
      <c r="B102" s="168" t="s">
        <v>754</v>
      </c>
      <c r="C102" s="189" t="s">
        <v>767</v>
      </c>
      <c r="D102" s="203" t="s">
        <v>79</v>
      </c>
      <c r="E102" s="190" t="s">
        <v>47</v>
      </c>
      <c r="F102" s="187">
        <v>900</v>
      </c>
      <c r="G102" s="230"/>
      <c r="H102" s="230"/>
      <c r="I102" s="230"/>
      <c r="J102" s="230"/>
      <c r="K102" s="230"/>
      <c r="L102" s="230"/>
      <c r="M102" s="230"/>
    </row>
    <row r="103" spans="1:13" ht="36.75" customHeight="1">
      <c r="A103" s="154">
        <f>A102+1</f>
        <v>74</v>
      </c>
      <c r="B103" s="141" t="s">
        <v>755</v>
      </c>
      <c r="C103" s="189" t="s">
        <v>767</v>
      </c>
      <c r="D103" s="203" t="s">
        <v>79</v>
      </c>
      <c r="E103" s="190" t="s">
        <v>47</v>
      </c>
      <c r="F103" s="187">
        <v>417</v>
      </c>
      <c r="G103" s="230"/>
      <c r="H103" s="230"/>
      <c r="I103" s="230"/>
      <c r="J103" s="230"/>
      <c r="K103" s="230"/>
      <c r="L103" s="230"/>
      <c r="M103" s="230"/>
    </row>
    <row r="104" spans="1:13">
      <c r="A104" s="123"/>
      <c r="B104" s="188"/>
      <c r="C104" s="156"/>
      <c r="D104" s="203"/>
      <c r="E104" s="190"/>
      <c r="F104" s="167">
        <f>SUM(F99:F103)</f>
        <v>3511</v>
      </c>
      <c r="G104" s="167"/>
      <c r="H104" s="167"/>
      <c r="I104" s="167"/>
      <c r="J104" s="167"/>
      <c r="K104" s="167"/>
      <c r="L104" s="167"/>
      <c r="M104" s="167"/>
    </row>
    <row r="105" spans="1:13" ht="21.75" customHeight="1">
      <c r="A105" s="154">
        <f>A103+1</f>
        <v>75</v>
      </c>
      <c r="B105" s="141" t="s">
        <v>690</v>
      </c>
      <c r="C105" s="189" t="s">
        <v>116</v>
      </c>
      <c r="D105" s="203" t="s">
        <v>79</v>
      </c>
      <c r="E105" s="190" t="s">
        <v>47</v>
      </c>
      <c r="F105" s="187">
        <v>700</v>
      </c>
      <c r="G105" s="230"/>
      <c r="H105" s="230"/>
      <c r="I105" s="230"/>
      <c r="J105" s="230"/>
      <c r="K105" s="230"/>
      <c r="L105" s="230"/>
      <c r="M105" s="230"/>
    </row>
    <row r="106" spans="1:13" ht="21.75" customHeight="1">
      <c r="A106" s="154">
        <f>A105+1</f>
        <v>76</v>
      </c>
      <c r="B106" s="141" t="s">
        <v>91</v>
      </c>
      <c r="C106" s="189" t="s">
        <v>116</v>
      </c>
      <c r="D106" s="203" t="s">
        <v>79</v>
      </c>
      <c r="E106" s="190" t="s">
        <v>47</v>
      </c>
      <c r="F106" s="187">
        <v>517</v>
      </c>
      <c r="G106" s="230"/>
      <c r="H106" s="230"/>
      <c r="I106" s="230"/>
      <c r="J106" s="230"/>
      <c r="K106" s="230"/>
      <c r="L106" s="230"/>
      <c r="M106" s="230"/>
    </row>
    <row r="107" spans="1:13" ht="21.75" customHeight="1">
      <c r="A107" s="135"/>
      <c r="B107" s="188"/>
      <c r="C107" s="214"/>
      <c r="D107" s="203"/>
      <c r="E107" s="190"/>
      <c r="F107" s="167">
        <f>SUM(F105:F106)</f>
        <v>1217</v>
      </c>
      <c r="G107" s="230"/>
      <c r="H107" s="230"/>
      <c r="I107" s="186"/>
      <c r="J107" s="186"/>
      <c r="K107" s="186"/>
      <c r="L107" s="186"/>
      <c r="M107" s="186"/>
    </row>
    <row r="108" spans="1:13" ht="21.6">
      <c r="A108" s="154">
        <f>A106+1</f>
        <v>77</v>
      </c>
      <c r="B108" s="141" t="s">
        <v>677</v>
      </c>
      <c r="C108" s="214" t="s">
        <v>675</v>
      </c>
      <c r="D108" s="203" t="s">
        <v>79</v>
      </c>
      <c r="E108" s="190" t="s">
        <v>47</v>
      </c>
      <c r="F108" s="187">
        <v>1900</v>
      </c>
      <c r="G108" s="230"/>
      <c r="H108" s="230"/>
      <c r="I108" s="230"/>
      <c r="J108" s="230"/>
      <c r="K108" s="230"/>
      <c r="L108" s="230"/>
      <c r="M108" s="230"/>
    </row>
    <row r="109" spans="1:13" ht="21" customHeight="1">
      <c r="A109" s="154">
        <f>A108+1</f>
        <v>78</v>
      </c>
      <c r="B109" s="141" t="s">
        <v>162</v>
      </c>
      <c r="C109" s="214" t="s">
        <v>675</v>
      </c>
      <c r="D109" s="204" t="s">
        <v>79</v>
      </c>
      <c r="E109" s="302" t="s">
        <v>47</v>
      </c>
      <c r="F109" s="166">
        <v>1025</v>
      </c>
      <c r="G109" s="230"/>
      <c r="H109" s="230"/>
      <c r="I109" s="186"/>
      <c r="J109" s="186"/>
      <c r="K109" s="186"/>
      <c r="L109" s="186"/>
      <c r="M109" s="186"/>
    </row>
    <row r="110" spans="1:13" ht="21" customHeight="1">
      <c r="A110" s="154">
        <f>A109+1</f>
        <v>79</v>
      </c>
      <c r="B110" s="141" t="s">
        <v>112</v>
      </c>
      <c r="C110" s="214" t="s">
        <v>675</v>
      </c>
      <c r="D110" s="203" t="s">
        <v>79</v>
      </c>
      <c r="E110" s="190" t="s">
        <v>47</v>
      </c>
      <c r="F110" s="187">
        <v>727</v>
      </c>
      <c r="G110" s="230"/>
      <c r="H110" s="230"/>
      <c r="I110" s="186"/>
      <c r="J110" s="186"/>
      <c r="K110" s="186"/>
      <c r="L110" s="186"/>
      <c r="M110" s="186"/>
    </row>
    <row r="111" spans="1:13" ht="21" customHeight="1">
      <c r="A111" s="154">
        <f>A110+1</f>
        <v>80</v>
      </c>
      <c r="B111" s="141" t="s">
        <v>680</v>
      </c>
      <c r="C111" s="214" t="s">
        <v>675</v>
      </c>
      <c r="D111" s="204" t="s">
        <v>79</v>
      </c>
      <c r="E111" s="190" t="s">
        <v>47</v>
      </c>
      <c r="F111" s="230">
        <v>1300</v>
      </c>
      <c r="G111" s="230"/>
      <c r="H111" s="230"/>
      <c r="I111" s="186"/>
      <c r="J111" s="186"/>
      <c r="K111" s="186"/>
      <c r="L111" s="186"/>
      <c r="M111" s="186"/>
    </row>
    <row r="112" spans="1:13" ht="21" customHeight="1">
      <c r="A112" s="132"/>
      <c r="B112" s="188"/>
      <c r="C112" s="189"/>
      <c r="D112" s="203"/>
      <c r="E112" s="190"/>
      <c r="F112" s="167">
        <f>SUM(F108:F111)</f>
        <v>4952</v>
      </c>
      <c r="G112" s="186"/>
      <c r="H112" s="186"/>
      <c r="I112" s="186"/>
      <c r="J112" s="186"/>
      <c r="K112" s="186"/>
      <c r="L112" s="186"/>
      <c r="M112" s="186"/>
    </row>
    <row r="113" spans="1:13" ht="60.75" customHeight="1">
      <c r="A113" s="154">
        <f>A111+1</f>
        <v>81</v>
      </c>
      <c r="B113" s="193" t="s">
        <v>712</v>
      </c>
      <c r="C113" s="189" t="s">
        <v>166</v>
      </c>
      <c r="D113" s="203" t="s">
        <v>79</v>
      </c>
      <c r="E113" s="190" t="s">
        <v>47</v>
      </c>
      <c r="F113" s="187">
        <v>1300</v>
      </c>
      <c r="G113" s="230"/>
      <c r="H113" s="230"/>
      <c r="I113" s="186"/>
      <c r="J113" s="186"/>
      <c r="K113" s="186"/>
      <c r="L113" s="186"/>
      <c r="M113" s="186"/>
    </row>
    <row r="114" spans="1:13" ht="60.75" customHeight="1">
      <c r="A114" s="154">
        <f>A113+1</f>
        <v>82</v>
      </c>
      <c r="B114" s="193" t="s">
        <v>716</v>
      </c>
      <c r="C114" s="189" t="s">
        <v>166</v>
      </c>
      <c r="D114" s="203" t="s">
        <v>79</v>
      </c>
      <c r="E114" s="190" t="s">
        <v>47</v>
      </c>
      <c r="F114" s="187">
        <v>727</v>
      </c>
      <c r="G114" s="186"/>
      <c r="H114" s="148"/>
      <c r="I114" s="186"/>
      <c r="J114" s="186"/>
      <c r="K114" s="186"/>
      <c r="L114" s="186"/>
      <c r="M114" s="186"/>
    </row>
    <row r="115" spans="1:13" ht="21" customHeight="1">
      <c r="A115" s="154">
        <f>A114+1</f>
        <v>83</v>
      </c>
      <c r="B115" s="141" t="s">
        <v>143</v>
      </c>
      <c r="C115" s="189" t="s">
        <v>166</v>
      </c>
      <c r="D115" s="203" t="s">
        <v>79</v>
      </c>
      <c r="E115" s="190" t="s">
        <v>47</v>
      </c>
      <c r="F115" s="187">
        <v>700</v>
      </c>
      <c r="G115" s="186"/>
      <c r="H115" s="148"/>
      <c r="I115" s="186"/>
      <c r="J115" s="186"/>
      <c r="K115" s="186"/>
      <c r="L115" s="186"/>
      <c r="M115" s="186"/>
    </row>
    <row r="116" spans="1:13" ht="21" customHeight="1">
      <c r="A116" s="154">
        <f>A115+1</f>
        <v>84</v>
      </c>
      <c r="B116" s="193" t="s">
        <v>123</v>
      </c>
      <c r="C116" s="189" t="s">
        <v>166</v>
      </c>
      <c r="D116" s="203" t="s">
        <v>79</v>
      </c>
      <c r="E116" s="190" t="s">
        <v>47</v>
      </c>
      <c r="F116" s="187">
        <v>600</v>
      </c>
      <c r="G116" s="186"/>
      <c r="H116" s="148"/>
      <c r="I116" s="186"/>
      <c r="J116" s="186"/>
      <c r="K116" s="186"/>
      <c r="L116" s="186"/>
      <c r="M116" s="186"/>
    </row>
    <row r="117" spans="1:13" ht="21" customHeight="1">
      <c r="A117" s="154">
        <f>A116+1</f>
        <v>85</v>
      </c>
      <c r="B117" s="193" t="s">
        <v>123</v>
      </c>
      <c r="C117" s="189" t="s">
        <v>166</v>
      </c>
      <c r="D117" s="203" t="s">
        <v>79</v>
      </c>
      <c r="E117" s="190" t="s">
        <v>47</v>
      </c>
      <c r="F117" s="187">
        <v>500</v>
      </c>
      <c r="G117" s="186"/>
      <c r="H117" s="148"/>
      <c r="I117" s="186"/>
      <c r="J117" s="186"/>
      <c r="K117" s="186"/>
      <c r="L117" s="186"/>
      <c r="M117" s="186"/>
    </row>
    <row r="118" spans="1:13" ht="21" customHeight="1">
      <c r="A118" s="154">
        <f>A117+1</f>
        <v>86</v>
      </c>
      <c r="B118" s="193" t="s">
        <v>123</v>
      </c>
      <c r="C118" s="189" t="s">
        <v>166</v>
      </c>
      <c r="D118" s="203" t="s">
        <v>79</v>
      </c>
      <c r="E118" s="190" t="s">
        <v>47</v>
      </c>
      <c r="F118" s="187">
        <v>417</v>
      </c>
      <c r="G118" s="186"/>
      <c r="H118" s="148"/>
      <c r="I118" s="186"/>
      <c r="J118" s="186"/>
      <c r="K118" s="186"/>
      <c r="L118" s="186"/>
      <c r="M118" s="186"/>
    </row>
    <row r="119" spans="1:13" ht="20.25" customHeight="1">
      <c r="A119" s="132"/>
      <c r="B119" s="352"/>
      <c r="C119" s="189"/>
      <c r="D119" s="203"/>
      <c r="E119" s="190"/>
      <c r="F119" s="167">
        <f>SUM(F113:F118)</f>
        <v>4244</v>
      </c>
      <c r="G119" s="186"/>
      <c r="H119" s="186"/>
      <c r="I119" s="186"/>
      <c r="J119" s="186"/>
      <c r="K119" s="186"/>
      <c r="L119" s="186"/>
      <c r="M119" s="186"/>
    </row>
    <row r="120" spans="1:13" ht="23.25" customHeight="1">
      <c r="A120" s="154">
        <f>A118+1</f>
        <v>87</v>
      </c>
      <c r="B120" s="353" t="s">
        <v>737</v>
      </c>
      <c r="C120" s="214" t="s">
        <v>626</v>
      </c>
      <c r="D120" s="203" t="s">
        <v>79</v>
      </c>
      <c r="E120" s="190" t="s">
        <v>47</v>
      </c>
      <c r="F120" s="187">
        <v>800</v>
      </c>
      <c r="G120" s="230"/>
      <c r="H120" s="230"/>
      <c r="I120" s="186"/>
      <c r="J120" s="186"/>
      <c r="K120" s="186"/>
      <c r="L120" s="186"/>
      <c r="M120" s="186"/>
    </row>
    <row r="121" spans="1:13" ht="21.75" customHeight="1">
      <c r="A121" s="154">
        <f>A120+1</f>
        <v>88</v>
      </c>
      <c r="B121" s="353" t="s">
        <v>685</v>
      </c>
      <c r="C121" s="189" t="s">
        <v>173</v>
      </c>
      <c r="D121" s="203" t="s">
        <v>79</v>
      </c>
      <c r="E121" s="190" t="s">
        <v>47</v>
      </c>
      <c r="F121" s="187">
        <v>847</v>
      </c>
      <c r="G121" s="230"/>
      <c r="H121" s="230"/>
      <c r="I121" s="186"/>
      <c r="J121" s="186"/>
      <c r="K121" s="186"/>
      <c r="L121" s="186"/>
      <c r="M121" s="186"/>
    </row>
    <row r="122" spans="1:13" ht="21.75" customHeight="1">
      <c r="A122" s="154">
        <f>A121+1</f>
        <v>89</v>
      </c>
      <c r="B122" s="193" t="s">
        <v>678</v>
      </c>
      <c r="C122" s="189" t="s">
        <v>173</v>
      </c>
      <c r="D122" s="203" t="s">
        <v>79</v>
      </c>
      <c r="E122" s="190" t="s">
        <v>47</v>
      </c>
      <c r="F122" s="187">
        <v>700</v>
      </c>
      <c r="G122" s="230"/>
      <c r="H122" s="230"/>
      <c r="I122" s="186"/>
      <c r="J122" s="186"/>
      <c r="K122" s="186"/>
      <c r="L122" s="186"/>
      <c r="M122" s="186"/>
    </row>
    <row r="123" spans="1:13" ht="20.25" customHeight="1">
      <c r="A123" s="154">
        <f t="shared" ref="A123:A134" si="14">A122+1</f>
        <v>90</v>
      </c>
      <c r="B123" s="193" t="s">
        <v>720</v>
      </c>
      <c r="C123" s="189" t="s">
        <v>173</v>
      </c>
      <c r="D123" s="203" t="s">
        <v>79</v>
      </c>
      <c r="E123" s="190" t="s">
        <v>47</v>
      </c>
      <c r="F123" s="187">
        <f>467+30+50+50</f>
        <v>597</v>
      </c>
      <c r="G123" s="230"/>
      <c r="H123" s="230"/>
      <c r="I123" s="186"/>
      <c r="J123" s="186"/>
      <c r="K123" s="186"/>
      <c r="L123" s="186"/>
      <c r="M123" s="186"/>
    </row>
    <row r="124" spans="1:13" ht="24.6" customHeight="1">
      <c r="A124" s="154">
        <f t="shared" si="14"/>
        <v>91</v>
      </c>
      <c r="B124" s="193" t="s">
        <v>177</v>
      </c>
      <c r="C124" s="189" t="s">
        <v>173</v>
      </c>
      <c r="D124" s="203" t="s">
        <v>79</v>
      </c>
      <c r="E124" s="190" t="s">
        <v>47</v>
      </c>
      <c r="F124" s="187">
        <v>735.15</v>
      </c>
      <c r="G124" s="230"/>
      <c r="H124" s="230"/>
      <c r="I124" s="186"/>
      <c r="J124" s="186"/>
      <c r="K124" s="186"/>
      <c r="L124" s="186"/>
      <c r="M124" s="186"/>
    </row>
    <row r="125" spans="1:13" ht="24" customHeight="1">
      <c r="A125" s="154">
        <f t="shared" si="14"/>
        <v>92</v>
      </c>
      <c r="B125" s="193" t="s">
        <v>177</v>
      </c>
      <c r="C125" s="189" t="s">
        <v>173</v>
      </c>
      <c r="D125" s="203" t="s">
        <v>79</v>
      </c>
      <c r="E125" s="190" t="s">
        <v>47</v>
      </c>
      <c r="F125" s="187">
        <f>582.29+30+50+50</f>
        <v>712.29</v>
      </c>
      <c r="G125" s="230"/>
      <c r="H125" s="230"/>
      <c r="I125" s="186"/>
      <c r="J125" s="186"/>
      <c r="K125" s="186"/>
      <c r="L125" s="186"/>
      <c r="M125" s="186"/>
    </row>
    <row r="126" spans="1:13" ht="20.25" customHeight="1">
      <c r="A126" s="154">
        <f t="shared" si="14"/>
        <v>93</v>
      </c>
      <c r="B126" s="193" t="s">
        <v>177</v>
      </c>
      <c r="C126" s="189" t="s">
        <v>173</v>
      </c>
      <c r="D126" s="203" t="s">
        <v>79</v>
      </c>
      <c r="E126" s="190" t="s">
        <v>47</v>
      </c>
      <c r="F126" s="187">
        <f>547+30+50+50</f>
        <v>677</v>
      </c>
      <c r="G126" s="186"/>
      <c r="H126" s="186"/>
      <c r="I126" s="186"/>
      <c r="J126" s="186"/>
      <c r="K126" s="186"/>
      <c r="L126" s="186"/>
      <c r="M126" s="186"/>
    </row>
    <row r="127" spans="1:13" ht="22.5" customHeight="1">
      <c r="A127" s="154">
        <f t="shared" si="14"/>
        <v>94</v>
      </c>
      <c r="B127" s="193" t="s">
        <v>181</v>
      </c>
      <c r="C127" s="189" t="s">
        <v>173</v>
      </c>
      <c r="D127" s="203" t="s">
        <v>79</v>
      </c>
      <c r="E127" s="190" t="s">
        <v>47</v>
      </c>
      <c r="F127" s="187">
        <f>467+30+50+50</f>
        <v>597</v>
      </c>
      <c r="G127" s="186"/>
      <c r="H127" s="186"/>
      <c r="I127" s="186"/>
      <c r="J127" s="186"/>
      <c r="K127" s="186"/>
      <c r="L127" s="186"/>
      <c r="M127" s="186"/>
    </row>
    <row r="128" spans="1:13" ht="21" customHeight="1">
      <c r="A128" s="154">
        <f t="shared" si="14"/>
        <v>95</v>
      </c>
      <c r="B128" s="193" t="s">
        <v>181</v>
      </c>
      <c r="C128" s="189" t="s">
        <v>173</v>
      </c>
      <c r="D128" s="203" t="s">
        <v>79</v>
      </c>
      <c r="E128" s="190" t="s">
        <v>47</v>
      </c>
      <c r="F128" s="187">
        <f>467+30+50+50</f>
        <v>597</v>
      </c>
      <c r="G128" s="230"/>
      <c r="H128" s="230"/>
      <c r="I128" s="230"/>
      <c r="J128" s="230"/>
      <c r="K128" s="230"/>
      <c r="L128" s="230"/>
      <c r="M128" s="230"/>
    </row>
    <row r="129" spans="1:13" ht="21.75" customHeight="1">
      <c r="A129" s="154">
        <f t="shared" si="14"/>
        <v>96</v>
      </c>
      <c r="B129" s="193" t="s">
        <v>181</v>
      </c>
      <c r="C129" s="189" t="s">
        <v>173</v>
      </c>
      <c r="D129" s="203" t="s">
        <v>79</v>
      </c>
      <c r="E129" s="190" t="s">
        <v>47</v>
      </c>
      <c r="F129" s="187">
        <v>517</v>
      </c>
      <c r="G129" s="230"/>
      <c r="H129" s="230"/>
      <c r="I129" s="230"/>
      <c r="J129" s="230"/>
      <c r="K129" s="230"/>
      <c r="L129" s="230"/>
      <c r="M129" s="230"/>
    </row>
    <row r="130" spans="1:13" ht="20.25" customHeight="1">
      <c r="A130" s="154">
        <f t="shared" si="14"/>
        <v>97</v>
      </c>
      <c r="B130" s="193" t="s">
        <v>186</v>
      </c>
      <c r="C130" s="189" t="s">
        <v>173</v>
      </c>
      <c r="D130" s="203" t="s">
        <v>79</v>
      </c>
      <c r="E130" s="190" t="s">
        <v>47</v>
      </c>
      <c r="F130" s="187">
        <v>417</v>
      </c>
      <c r="G130" s="186"/>
      <c r="H130" s="186"/>
      <c r="I130" s="186"/>
      <c r="J130" s="186"/>
      <c r="K130" s="186"/>
      <c r="L130" s="186"/>
      <c r="M130" s="186"/>
    </row>
    <row r="131" spans="1:13" ht="21.75" customHeight="1">
      <c r="A131" s="154">
        <f t="shared" si="14"/>
        <v>98</v>
      </c>
      <c r="B131" s="193" t="s">
        <v>186</v>
      </c>
      <c r="C131" s="189" t="s">
        <v>173</v>
      </c>
      <c r="D131" s="203" t="s">
        <v>79</v>
      </c>
      <c r="E131" s="190" t="s">
        <v>47</v>
      </c>
      <c r="F131" s="187">
        <v>417</v>
      </c>
      <c r="G131" s="186"/>
      <c r="H131" s="186"/>
      <c r="I131" s="186"/>
      <c r="J131" s="186"/>
      <c r="K131" s="186"/>
      <c r="L131" s="186"/>
      <c r="M131" s="186"/>
    </row>
    <row r="132" spans="1:13" ht="20.25" customHeight="1">
      <c r="A132" s="154">
        <f t="shared" si="14"/>
        <v>99</v>
      </c>
      <c r="B132" s="193" t="s">
        <v>186</v>
      </c>
      <c r="C132" s="189" t="s">
        <v>173</v>
      </c>
      <c r="D132" s="203" t="s">
        <v>79</v>
      </c>
      <c r="E132" s="190" t="s">
        <v>47</v>
      </c>
      <c r="F132" s="187">
        <v>417</v>
      </c>
      <c r="G132" s="186"/>
      <c r="H132" s="186"/>
      <c r="I132" s="186"/>
      <c r="J132" s="186"/>
      <c r="K132" s="186"/>
      <c r="L132" s="186"/>
      <c r="M132" s="186"/>
    </row>
    <row r="133" spans="1:13" ht="20.25" customHeight="1">
      <c r="A133" s="154">
        <f t="shared" si="14"/>
        <v>100</v>
      </c>
      <c r="B133" s="193" t="s">
        <v>186</v>
      </c>
      <c r="C133" s="189" t="s">
        <v>173</v>
      </c>
      <c r="D133" s="203" t="s">
        <v>79</v>
      </c>
      <c r="E133" s="190" t="s">
        <v>47</v>
      </c>
      <c r="F133" s="187">
        <v>417</v>
      </c>
      <c r="G133" s="186"/>
      <c r="H133" s="186"/>
      <c r="I133" s="186"/>
      <c r="J133" s="186"/>
      <c r="K133" s="186"/>
      <c r="L133" s="186"/>
      <c r="M133" s="186"/>
    </row>
    <row r="134" spans="1:13" ht="23.25" customHeight="1">
      <c r="A134" s="154">
        <f t="shared" si="14"/>
        <v>101</v>
      </c>
      <c r="B134" s="193" t="s">
        <v>186</v>
      </c>
      <c r="C134" s="189" t="s">
        <v>173</v>
      </c>
      <c r="D134" s="203" t="s">
        <v>79</v>
      </c>
      <c r="E134" s="190" t="s">
        <v>47</v>
      </c>
      <c r="F134" s="187">
        <v>417</v>
      </c>
      <c r="G134" s="186"/>
      <c r="H134" s="186"/>
      <c r="I134" s="186"/>
      <c r="J134" s="186"/>
      <c r="K134" s="186"/>
      <c r="L134" s="186"/>
      <c r="M134" s="186"/>
    </row>
    <row r="135" spans="1:13" ht="21" customHeight="1">
      <c r="A135" s="132"/>
      <c r="B135" s="352"/>
      <c r="C135" s="189"/>
      <c r="D135" s="203"/>
      <c r="E135" s="190"/>
      <c r="F135" s="167">
        <f>SUM(F120:F134)</f>
        <v>8864.44</v>
      </c>
      <c r="G135" s="186"/>
      <c r="H135" s="186"/>
      <c r="I135" s="186"/>
      <c r="J135" s="186"/>
      <c r="K135" s="186"/>
      <c r="L135" s="186"/>
      <c r="M135" s="186"/>
    </row>
    <row r="136" spans="1:13" ht="22.5" customHeight="1">
      <c r="A136" s="154">
        <f>A134+1</f>
        <v>102</v>
      </c>
      <c r="B136" s="214" t="s">
        <v>128</v>
      </c>
      <c r="C136" s="189" t="s">
        <v>129</v>
      </c>
      <c r="D136" s="203" t="s">
        <v>79</v>
      </c>
      <c r="E136" s="190" t="s">
        <v>47</v>
      </c>
      <c r="F136" s="187">
        <f>675+50</f>
        <v>725</v>
      </c>
      <c r="G136" s="186"/>
      <c r="H136" s="186"/>
      <c r="I136" s="186"/>
      <c r="J136" s="186"/>
      <c r="K136" s="186"/>
      <c r="L136" s="186"/>
      <c r="M136" s="186"/>
    </row>
    <row r="137" spans="1:13">
      <c r="A137" s="132"/>
      <c r="B137" s="341"/>
      <c r="C137" s="349"/>
      <c r="D137" s="354"/>
      <c r="E137" s="349"/>
      <c r="F137" s="167">
        <f>F136</f>
        <v>725</v>
      </c>
      <c r="G137" s="230"/>
      <c r="H137" s="230"/>
      <c r="I137" s="186"/>
      <c r="J137" s="186"/>
      <c r="K137" s="186"/>
      <c r="L137" s="186"/>
      <c r="M137" s="186"/>
    </row>
    <row r="138" spans="1:13" ht="21.75" customHeight="1">
      <c r="A138" s="154">
        <f>A136+1</f>
        <v>103</v>
      </c>
      <c r="B138" s="141" t="s">
        <v>655</v>
      </c>
      <c r="C138" s="214" t="s">
        <v>637</v>
      </c>
      <c r="D138" s="203" t="s">
        <v>79</v>
      </c>
      <c r="E138" s="190" t="s">
        <v>47</v>
      </c>
      <c r="F138" s="187">
        <f>734.86+30+50</f>
        <v>814.86</v>
      </c>
      <c r="G138" s="186"/>
      <c r="H138" s="186"/>
      <c r="I138" s="186"/>
      <c r="J138" s="186"/>
      <c r="K138" s="186"/>
      <c r="L138" s="186"/>
      <c r="M138" s="186"/>
    </row>
    <row r="139" spans="1:13" ht="56.25" customHeight="1">
      <c r="A139" s="154">
        <f>A138+1</f>
        <v>104</v>
      </c>
      <c r="B139" s="193" t="s">
        <v>135</v>
      </c>
      <c r="C139" s="214" t="s">
        <v>637</v>
      </c>
      <c r="D139" s="203" t="s">
        <v>79</v>
      </c>
      <c r="E139" s="190" t="s">
        <v>47</v>
      </c>
      <c r="F139" s="187">
        <f>605+30+50+50</f>
        <v>735</v>
      </c>
      <c r="G139" s="186"/>
      <c r="H139" s="186"/>
      <c r="I139" s="186"/>
      <c r="J139" s="186"/>
      <c r="K139" s="186"/>
      <c r="L139" s="186"/>
      <c r="M139" s="186"/>
    </row>
    <row r="140" spans="1:13" ht="27.75" customHeight="1">
      <c r="A140" s="154">
        <f>A139+1</f>
        <v>105</v>
      </c>
      <c r="B140" s="193" t="s">
        <v>135</v>
      </c>
      <c r="C140" s="214" t="s">
        <v>637</v>
      </c>
      <c r="D140" s="203" t="s">
        <v>79</v>
      </c>
      <c r="E140" s="190" t="s">
        <v>47</v>
      </c>
      <c r="F140" s="187">
        <v>677</v>
      </c>
      <c r="G140" s="230"/>
      <c r="H140" s="230"/>
      <c r="I140" s="186"/>
      <c r="J140" s="186"/>
      <c r="K140" s="186"/>
      <c r="L140" s="186"/>
      <c r="M140" s="186"/>
    </row>
    <row r="141" spans="1:13" ht="23.25" customHeight="1">
      <c r="A141" s="154">
        <f>A140+1</f>
        <v>106</v>
      </c>
      <c r="B141" s="194" t="s">
        <v>137</v>
      </c>
      <c r="C141" s="214" t="s">
        <v>637</v>
      </c>
      <c r="D141" s="203" t="s">
        <v>79</v>
      </c>
      <c r="E141" s="190" t="s">
        <v>47</v>
      </c>
      <c r="F141" s="187">
        <f>477+30+50+50</f>
        <v>607</v>
      </c>
      <c r="G141" s="186"/>
      <c r="H141" s="186"/>
      <c r="I141" s="186"/>
      <c r="J141" s="186"/>
      <c r="K141" s="186"/>
      <c r="L141" s="186"/>
      <c r="M141" s="186"/>
    </row>
    <row r="142" spans="1:13" ht="20.25" customHeight="1">
      <c r="A142" s="154">
        <f>A141+1</f>
        <v>107</v>
      </c>
      <c r="B142" s="194" t="s">
        <v>725</v>
      </c>
      <c r="C142" s="214" t="s">
        <v>637</v>
      </c>
      <c r="D142" s="203" t="s">
        <v>79</v>
      </c>
      <c r="E142" s="190" t="s">
        <v>47</v>
      </c>
      <c r="F142" s="187">
        <v>417</v>
      </c>
      <c r="G142" s="186"/>
      <c r="H142" s="186"/>
      <c r="I142" s="186"/>
      <c r="J142" s="186"/>
      <c r="K142" s="186"/>
      <c r="L142" s="186"/>
      <c r="M142" s="186"/>
    </row>
    <row r="143" spans="1:13">
      <c r="A143" s="137"/>
      <c r="B143" s="188"/>
      <c r="C143" s="189"/>
      <c r="D143" s="203"/>
      <c r="E143" s="289"/>
      <c r="F143" s="167">
        <f>SUM(F138:F142)</f>
        <v>3250.86</v>
      </c>
      <c r="G143" s="200"/>
      <c r="H143" s="200"/>
      <c r="I143" s="200"/>
      <c r="J143" s="200"/>
      <c r="K143" s="200"/>
      <c r="L143" s="200"/>
      <c r="M143" s="200"/>
    </row>
    <row r="144" spans="1:13" ht="40.200000000000003" customHeight="1">
      <c r="A144" s="154">
        <f>A142+1</f>
        <v>108</v>
      </c>
      <c r="B144" s="353" t="s">
        <v>701</v>
      </c>
      <c r="C144" s="214" t="s">
        <v>700</v>
      </c>
      <c r="D144" s="203" t="s">
        <v>79</v>
      </c>
      <c r="E144" s="190" t="s">
        <v>47</v>
      </c>
      <c r="F144" s="187">
        <v>1000</v>
      </c>
      <c r="G144" s="230"/>
      <c r="H144" s="230"/>
      <c r="I144" s="186"/>
      <c r="J144" s="186"/>
      <c r="K144" s="186"/>
      <c r="L144" s="186"/>
      <c r="M144" s="186"/>
    </row>
    <row r="145" spans="1:13" ht="27.75" customHeight="1">
      <c r="A145" s="154">
        <f>A144+1</f>
        <v>109</v>
      </c>
      <c r="B145" s="141" t="s">
        <v>721</v>
      </c>
      <c r="C145" s="214" t="s">
        <v>700</v>
      </c>
      <c r="D145" s="203" t="s">
        <v>79</v>
      </c>
      <c r="E145" s="190" t="s">
        <v>47</v>
      </c>
      <c r="F145" s="187">
        <f>712+30+50+50</f>
        <v>842</v>
      </c>
      <c r="G145" s="230"/>
      <c r="H145" s="230"/>
      <c r="I145" s="186"/>
      <c r="J145" s="186"/>
      <c r="K145" s="186"/>
      <c r="L145" s="186"/>
      <c r="M145" s="186"/>
    </row>
    <row r="146" spans="1:13" ht="27" customHeight="1">
      <c r="A146" s="154">
        <f>A145+1</f>
        <v>110</v>
      </c>
      <c r="B146" s="141" t="s">
        <v>722</v>
      </c>
      <c r="C146" s="214" t="s">
        <v>700</v>
      </c>
      <c r="D146" s="203" t="s">
        <v>79</v>
      </c>
      <c r="E146" s="190" t="s">
        <v>47</v>
      </c>
      <c r="F146" s="187">
        <v>600</v>
      </c>
      <c r="G146" s="230"/>
      <c r="H146" s="230"/>
      <c r="I146" s="186"/>
      <c r="J146" s="186"/>
      <c r="K146" s="186"/>
      <c r="L146" s="186"/>
      <c r="M146" s="186"/>
    </row>
    <row r="147" spans="1:13" ht="30" customHeight="1">
      <c r="A147" s="154">
        <f>A146+1</f>
        <v>111</v>
      </c>
      <c r="B147" s="141" t="s">
        <v>691</v>
      </c>
      <c r="C147" s="214" t="s">
        <v>700</v>
      </c>
      <c r="D147" s="203" t="s">
        <v>79</v>
      </c>
      <c r="E147" s="190" t="s">
        <v>47</v>
      </c>
      <c r="F147" s="187">
        <v>792</v>
      </c>
      <c r="G147" s="186"/>
      <c r="H147" s="186"/>
      <c r="I147" s="186"/>
      <c r="J147" s="186"/>
      <c r="K147" s="186"/>
      <c r="L147" s="186"/>
      <c r="M147" s="186"/>
    </row>
    <row r="148" spans="1:13" ht="34.200000000000003" customHeight="1">
      <c r="A148" s="154">
        <f>A147+1</f>
        <v>112</v>
      </c>
      <c r="B148" s="141" t="s">
        <v>723</v>
      </c>
      <c r="C148" s="214" t="s">
        <v>700</v>
      </c>
      <c r="D148" s="203" t="s">
        <v>79</v>
      </c>
      <c r="E148" s="190" t="s">
        <v>47</v>
      </c>
      <c r="F148" s="187">
        <f>500+50</f>
        <v>550</v>
      </c>
      <c r="G148" s="186"/>
      <c r="H148" s="186"/>
      <c r="I148" s="186"/>
      <c r="J148" s="186"/>
      <c r="K148" s="186"/>
      <c r="L148" s="186"/>
      <c r="M148" s="186"/>
    </row>
    <row r="149" spans="1:13" ht="31.5" customHeight="1">
      <c r="A149" s="154">
        <f>A148+1</f>
        <v>113</v>
      </c>
      <c r="B149" s="168" t="s">
        <v>732</v>
      </c>
      <c r="C149" s="214" t="s">
        <v>700</v>
      </c>
      <c r="D149" s="203" t="s">
        <v>79</v>
      </c>
      <c r="E149" s="190" t="s">
        <v>47</v>
      </c>
      <c r="F149" s="187">
        <v>500</v>
      </c>
      <c r="G149" s="186"/>
      <c r="H149" s="186"/>
      <c r="I149" s="186"/>
      <c r="J149" s="186"/>
      <c r="K149" s="186"/>
      <c r="L149" s="186"/>
      <c r="M149" s="186"/>
    </row>
    <row r="150" spans="1:13" ht="12.75" customHeight="1">
      <c r="A150" s="123"/>
      <c r="B150" s="188"/>
      <c r="C150" s="214"/>
      <c r="D150" s="204"/>
      <c r="E150" s="214"/>
      <c r="F150" s="167">
        <f>SUM(F144:F149)</f>
        <v>4284</v>
      </c>
      <c r="G150" s="200"/>
      <c r="H150" s="200"/>
      <c r="I150" s="200"/>
      <c r="J150" s="200"/>
      <c r="K150" s="200"/>
      <c r="L150" s="200"/>
      <c r="M150" s="200"/>
    </row>
    <row r="151" spans="1:13" ht="15" customHeight="1">
      <c r="A151" s="132"/>
      <c r="B151" s="151" t="s">
        <v>627</v>
      </c>
      <c r="C151" s="355"/>
      <c r="D151" s="356"/>
      <c r="E151" s="355"/>
      <c r="F151" s="357">
        <f>SUM(F150,F143,F137,F135,F119,F112,F107,F104,F98,F91,F47,F44,F37,F34,F31,F27,F23)</f>
        <v>80801.600000000006</v>
      </c>
      <c r="G151" s="357">
        <f t="shared" ref="G151:M151" si="15">SUM(G150,G143,G137,G135,G119,G112,G107,G104,G98,G91,G47,G44,G37,G34,G31,G27,G23)</f>
        <v>3456.785000000003</v>
      </c>
      <c r="H151" s="357">
        <f t="shared" si="15"/>
        <v>257.04000000000002</v>
      </c>
      <c r="I151" s="357">
        <f t="shared" si="15"/>
        <v>31.160000000000004</v>
      </c>
      <c r="J151" s="357">
        <f t="shared" si="15"/>
        <v>0</v>
      </c>
      <c r="K151" s="357">
        <f t="shared" si="15"/>
        <v>259.28999999999996</v>
      </c>
      <c r="L151" s="357">
        <f t="shared" si="15"/>
        <v>34.71</v>
      </c>
      <c r="M151" s="357">
        <f t="shared" si="15"/>
        <v>4038.9850000000019</v>
      </c>
    </row>
    <row r="152" spans="1:13" ht="22.5" customHeight="1">
      <c r="A152" s="154">
        <f>A149+1</f>
        <v>114</v>
      </c>
      <c r="B152" s="177" t="s">
        <v>762</v>
      </c>
      <c r="C152" s="161" t="s">
        <v>761</v>
      </c>
      <c r="D152" s="203" t="s">
        <v>79</v>
      </c>
      <c r="E152" s="190" t="s">
        <v>209</v>
      </c>
      <c r="F152" s="187">
        <v>1500</v>
      </c>
      <c r="G152" s="230"/>
      <c r="H152" s="230"/>
      <c r="I152" s="186"/>
      <c r="J152" s="186"/>
      <c r="K152" s="186"/>
      <c r="L152" s="186"/>
      <c r="M152" s="186"/>
    </row>
    <row r="153" spans="1:13" ht="22.5" customHeight="1">
      <c r="A153" s="154">
        <f t="shared" ref="A153:A158" si="16">A152+1</f>
        <v>115</v>
      </c>
      <c r="B153" s="176" t="s">
        <v>763</v>
      </c>
      <c r="C153" s="161" t="s">
        <v>761</v>
      </c>
      <c r="D153" s="203" t="s">
        <v>79</v>
      </c>
      <c r="E153" s="190" t="s">
        <v>209</v>
      </c>
      <c r="F153" s="187">
        <v>759.57</v>
      </c>
      <c r="G153" s="186"/>
      <c r="H153" s="186"/>
      <c r="I153" s="186"/>
      <c r="J153" s="186"/>
      <c r="K153" s="186"/>
      <c r="L153" s="186"/>
      <c r="M153" s="186"/>
    </row>
    <row r="154" spans="1:13" ht="22.5" customHeight="1">
      <c r="A154" s="154">
        <f t="shared" si="16"/>
        <v>116</v>
      </c>
      <c r="B154" s="178" t="s">
        <v>713</v>
      </c>
      <c r="C154" s="161" t="s">
        <v>761</v>
      </c>
      <c r="D154" s="203" t="s">
        <v>79</v>
      </c>
      <c r="E154" s="190" t="s">
        <v>209</v>
      </c>
      <c r="F154" s="187">
        <v>727</v>
      </c>
      <c r="G154" s="230"/>
      <c r="H154" s="230"/>
      <c r="I154" s="186"/>
      <c r="J154" s="186"/>
      <c r="K154" s="186"/>
      <c r="L154" s="186"/>
      <c r="M154" s="186"/>
    </row>
    <row r="155" spans="1:13" ht="22.5" customHeight="1">
      <c r="A155" s="154">
        <f t="shared" si="16"/>
        <v>117</v>
      </c>
      <c r="B155" s="178" t="s">
        <v>764</v>
      </c>
      <c r="C155" s="161" t="s">
        <v>761</v>
      </c>
      <c r="D155" s="203" t="s">
        <v>79</v>
      </c>
      <c r="E155" s="190" t="s">
        <v>209</v>
      </c>
      <c r="F155" s="187">
        <v>700</v>
      </c>
      <c r="G155" s="186"/>
      <c r="H155" s="186"/>
      <c r="I155" s="186"/>
      <c r="J155" s="186"/>
      <c r="K155" s="186"/>
      <c r="L155" s="186"/>
      <c r="M155" s="186"/>
    </row>
    <row r="156" spans="1:13" ht="25.5" customHeight="1">
      <c r="A156" s="154">
        <f t="shared" si="16"/>
        <v>118</v>
      </c>
      <c r="B156" s="178" t="s">
        <v>764</v>
      </c>
      <c r="C156" s="161" t="s">
        <v>761</v>
      </c>
      <c r="D156" s="203" t="s">
        <v>79</v>
      </c>
      <c r="E156" s="190" t="s">
        <v>209</v>
      </c>
      <c r="F156" s="187">
        <v>597</v>
      </c>
      <c r="G156" s="186"/>
      <c r="H156" s="186"/>
      <c r="I156" s="186"/>
      <c r="J156" s="186"/>
      <c r="K156" s="186"/>
      <c r="L156" s="186"/>
      <c r="M156" s="186"/>
    </row>
    <row r="157" spans="1:13" ht="21" customHeight="1">
      <c r="A157" s="154">
        <f t="shared" si="16"/>
        <v>119</v>
      </c>
      <c r="B157" s="178" t="s">
        <v>217</v>
      </c>
      <c r="C157" s="161" t="s">
        <v>761</v>
      </c>
      <c r="D157" s="203" t="s">
        <v>79</v>
      </c>
      <c r="E157" s="190" t="s">
        <v>209</v>
      </c>
      <c r="F157" s="187">
        <v>800</v>
      </c>
      <c r="G157" s="230"/>
      <c r="H157" s="230"/>
      <c r="I157" s="186"/>
      <c r="J157" s="186"/>
      <c r="K157" s="186"/>
      <c r="L157" s="186"/>
      <c r="M157" s="186"/>
    </row>
    <row r="158" spans="1:13" ht="22.5" customHeight="1">
      <c r="A158" s="154">
        <f t="shared" si="16"/>
        <v>120</v>
      </c>
      <c r="B158" s="178" t="s">
        <v>219</v>
      </c>
      <c r="C158" s="161" t="s">
        <v>761</v>
      </c>
      <c r="D158" s="203" t="s">
        <v>79</v>
      </c>
      <c r="E158" s="190" t="s">
        <v>209</v>
      </c>
      <c r="F158" s="187">
        <v>547</v>
      </c>
      <c r="G158" s="186"/>
      <c r="H158" s="186"/>
      <c r="I158" s="186"/>
      <c r="J158" s="186"/>
      <c r="K158" s="186"/>
      <c r="L158" s="186"/>
      <c r="M158" s="186"/>
    </row>
    <row r="159" spans="1:13" ht="12.75" customHeight="1">
      <c r="A159" s="132"/>
      <c r="B159" s="341"/>
      <c r="C159" s="189"/>
      <c r="D159" s="203"/>
      <c r="E159" s="190"/>
      <c r="F159" s="167">
        <f>SUM(F152:F158)</f>
        <v>5630.57</v>
      </c>
      <c r="G159" s="200"/>
      <c r="H159" s="200"/>
      <c r="I159" s="200"/>
      <c r="J159" s="200"/>
      <c r="K159" s="200"/>
      <c r="L159" s="200"/>
      <c r="M159" s="200"/>
    </row>
    <row r="160" spans="1:13" ht="23.25" customHeight="1">
      <c r="A160" s="154">
        <f>A158+1</f>
        <v>121</v>
      </c>
      <c r="B160" s="141" t="s">
        <v>222</v>
      </c>
      <c r="C160" s="189" t="s">
        <v>223</v>
      </c>
      <c r="D160" s="203" t="s">
        <v>79</v>
      </c>
      <c r="E160" s="358" t="s">
        <v>209</v>
      </c>
      <c r="F160" s="192">
        <v>1100</v>
      </c>
      <c r="G160" s="186"/>
      <c r="H160" s="186"/>
      <c r="I160" s="186"/>
      <c r="J160" s="186"/>
      <c r="K160" s="186"/>
      <c r="L160" s="186"/>
      <c r="M160" s="186"/>
    </row>
    <row r="161" spans="1:13" ht="23.25" customHeight="1">
      <c r="A161" s="154">
        <f t="shared" ref="A161:A179" si="17">A160+1</f>
        <v>122</v>
      </c>
      <c r="B161" s="141" t="s">
        <v>738</v>
      </c>
      <c r="C161" s="189" t="s">
        <v>223</v>
      </c>
      <c r="D161" s="203" t="s">
        <v>79</v>
      </c>
      <c r="E161" s="190" t="s">
        <v>209</v>
      </c>
      <c r="F161" s="187">
        <v>800</v>
      </c>
      <c r="G161" s="186"/>
      <c r="H161" s="186"/>
      <c r="I161" s="186"/>
      <c r="J161" s="186"/>
      <c r="K161" s="186"/>
      <c r="L161" s="186"/>
      <c r="M161" s="186"/>
    </row>
    <row r="162" spans="1:13" ht="23.25" customHeight="1">
      <c r="A162" s="154">
        <f t="shared" si="17"/>
        <v>123</v>
      </c>
      <c r="B162" s="141" t="s">
        <v>225</v>
      </c>
      <c r="C162" s="189" t="s">
        <v>223</v>
      </c>
      <c r="D162" s="203" t="s">
        <v>79</v>
      </c>
      <c r="E162" s="358" t="s">
        <v>209</v>
      </c>
      <c r="F162" s="192">
        <f>627+50</f>
        <v>677</v>
      </c>
      <c r="G162" s="186"/>
      <c r="H162" s="186"/>
      <c r="I162" s="186"/>
      <c r="J162" s="186"/>
      <c r="K162" s="186"/>
      <c r="L162" s="186"/>
      <c r="M162" s="186"/>
    </row>
    <row r="163" spans="1:13" ht="23.25" customHeight="1">
      <c r="A163" s="154">
        <f t="shared" si="17"/>
        <v>124</v>
      </c>
      <c r="B163" s="141" t="s">
        <v>227</v>
      </c>
      <c r="C163" s="189" t="s">
        <v>223</v>
      </c>
      <c r="D163" s="203" t="s">
        <v>79</v>
      </c>
      <c r="E163" s="358" t="s">
        <v>209</v>
      </c>
      <c r="F163" s="192">
        <f>645+30+50</f>
        <v>725</v>
      </c>
      <c r="G163" s="186"/>
      <c r="H163" s="186"/>
      <c r="I163" s="186"/>
      <c r="J163" s="186"/>
      <c r="K163" s="186"/>
      <c r="L163" s="186"/>
      <c r="M163" s="186"/>
    </row>
    <row r="164" spans="1:13" ht="23.25" customHeight="1">
      <c r="A164" s="154">
        <f t="shared" si="17"/>
        <v>125</v>
      </c>
      <c r="B164" s="141" t="s">
        <v>229</v>
      </c>
      <c r="C164" s="189" t="s">
        <v>223</v>
      </c>
      <c r="D164" s="203" t="s">
        <v>79</v>
      </c>
      <c r="E164" s="358" t="s">
        <v>209</v>
      </c>
      <c r="F164" s="192">
        <v>600</v>
      </c>
      <c r="G164" s="186"/>
      <c r="H164" s="186"/>
      <c r="I164" s="186"/>
      <c r="J164" s="186"/>
      <c r="K164" s="186"/>
      <c r="L164" s="186"/>
      <c r="M164" s="186"/>
    </row>
    <row r="165" spans="1:13" ht="23.25" customHeight="1">
      <c r="A165" s="154">
        <f t="shared" si="17"/>
        <v>126</v>
      </c>
      <c r="B165" s="141" t="s">
        <v>231</v>
      </c>
      <c r="C165" s="189" t="s">
        <v>223</v>
      </c>
      <c r="D165" s="203" t="s">
        <v>79</v>
      </c>
      <c r="E165" s="358" t="s">
        <v>209</v>
      </c>
      <c r="F165" s="192">
        <v>615</v>
      </c>
      <c r="G165" s="186"/>
      <c r="H165" s="186"/>
      <c r="I165" s="186"/>
      <c r="J165" s="186"/>
      <c r="K165" s="186"/>
      <c r="L165" s="186"/>
      <c r="M165" s="186"/>
    </row>
    <row r="166" spans="1:13" ht="23.25" customHeight="1">
      <c r="A166" s="154">
        <f t="shared" si="17"/>
        <v>127</v>
      </c>
      <c r="B166" s="178" t="s">
        <v>739</v>
      </c>
      <c r="C166" s="189" t="s">
        <v>223</v>
      </c>
      <c r="D166" s="203" t="s">
        <v>79</v>
      </c>
      <c r="E166" s="358" t="s">
        <v>209</v>
      </c>
      <c r="F166" s="192">
        <f>572+30+50+50</f>
        <v>702</v>
      </c>
      <c r="G166" s="186"/>
      <c r="H166" s="186"/>
      <c r="I166" s="186"/>
      <c r="J166" s="186"/>
      <c r="K166" s="186"/>
      <c r="L166" s="186"/>
      <c r="M166" s="186"/>
    </row>
    <row r="167" spans="1:13" ht="23.25" customHeight="1">
      <c r="A167" s="154">
        <f t="shared" ref="A167:A172" si="18">A166+1</f>
        <v>128</v>
      </c>
      <c r="B167" s="141" t="s">
        <v>235</v>
      </c>
      <c r="C167" s="189" t="s">
        <v>223</v>
      </c>
      <c r="D167" s="203" t="s">
        <v>79</v>
      </c>
      <c r="E167" s="358" t="s">
        <v>209</v>
      </c>
      <c r="F167" s="192">
        <f>645+30+50+50</f>
        <v>775</v>
      </c>
      <c r="G167" s="186"/>
      <c r="H167" s="186"/>
      <c r="I167" s="186"/>
      <c r="J167" s="186"/>
      <c r="K167" s="186"/>
      <c r="L167" s="186"/>
      <c r="M167" s="186"/>
    </row>
    <row r="168" spans="1:13" ht="23.25" customHeight="1">
      <c r="A168" s="154">
        <f t="shared" si="18"/>
        <v>129</v>
      </c>
      <c r="B168" s="141" t="s">
        <v>237</v>
      </c>
      <c r="C168" s="189" t="s">
        <v>223</v>
      </c>
      <c r="D168" s="203" t="s">
        <v>79</v>
      </c>
      <c r="E168" s="190" t="s">
        <v>209</v>
      </c>
      <c r="F168" s="187">
        <f>647+50</f>
        <v>697</v>
      </c>
      <c r="G168" s="186"/>
      <c r="H168" s="186"/>
      <c r="I168" s="186"/>
      <c r="J168" s="186"/>
      <c r="K168" s="186"/>
      <c r="L168" s="186"/>
      <c r="M168" s="186"/>
    </row>
    <row r="169" spans="1:13" ht="23.25" customHeight="1">
      <c r="A169" s="154">
        <f t="shared" si="18"/>
        <v>130</v>
      </c>
      <c r="B169" s="141" t="s">
        <v>237</v>
      </c>
      <c r="C169" s="189" t="s">
        <v>223</v>
      </c>
      <c r="D169" s="203" t="s">
        <v>79</v>
      </c>
      <c r="E169" s="358" t="s">
        <v>209</v>
      </c>
      <c r="F169" s="192">
        <f>517+50+30</f>
        <v>597</v>
      </c>
      <c r="G169" s="186"/>
      <c r="H169" s="186"/>
      <c r="I169" s="186"/>
      <c r="J169" s="186"/>
      <c r="K169" s="186"/>
      <c r="L169" s="186"/>
      <c r="M169" s="186"/>
    </row>
    <row r="170" spans="1:13" ht="23.25" customHeight="1">
      <c r="A170" s="154">
        <f t="shared" si="18"/>
        <v>131</v>
      </c>
      <c r="B170" s="141" t="s">
        <v>239</v>
      </c>
      <c r="C170" s="189" t="s">
        <v>223</v>
      </c>
      <c r="D170" s="203" t="s">
        <v>79</v>
      </c>
      <c r="E170" s="358" t="s">
        <v>209</v>
      </c>
      <c r="F170" s="192">
        <v>700</v>
      </c>
      <c r="G170" s="186"/>
      <c r="H170" s="186"/>
      <c r="I170" s="186"/>
      <c r="J170" s="186"/>
      <c r="K170" s="186"/>
      <c r="L170" s="186"/>
      <c r="M170" s="186"/>
    </row>
    <row r="171" spans="1:13" ht="23.25" customHeight="1">
      <c r="A171" s="154">
        <f t="shared" si="18"/>
        <v>132</v>
      </c>
      <c r="B171" s="141" t="s">
        <v>241</v>
      </c>
      <c r="C171" s="189" t="s">
        <v>223</v>
      </c>
      <c r="D171" s="203" t="s">
        <v>79</v>
      </c>
      <c r="E171" s="190" t="s">
        <v>209</v>
      </c>
      <c r="F171" s="187">
        <f>417+30+50+50</f>
        <v>547</v>
      </c>
      <c r="G171" s="186"/>
      <c r="H171" s="186"/>
      <c r="I171" s="186"/>
      <c r="J171" s="186"/>
      <c r="K171" s="186"/>
      <c r="L171" s="186"/>
      <c r="M171" s="186"/>
    </row>
    <row r="172" spans="1:13" ht="23.25" customHeight="1">
      <c r="A172" s="154">
        <f t="shared" si="18"/>
        <v>133</v>
      </c>
      <c r="B172" s="141" t="s">
        <v>243</v>
      </c>
      <c r="C172" s="189" t="s">
        <v>223</v>
      </c>
      <c r="D172" s="203" t="s">
        <v>79</v>
      </c>
      <c r="E172" s="190" t="s">
        <v>209</v>
      </c>
      <c r="F172" s="187">
        <v>417</v>
      </c>
      <c r="G172" s="186"/>
      <c r="H172" s="186"/>
      <c r="I172" s="186"/>
      <c r="J172" s="186"/>
      <c r="K172" s="186"/>
      <c r="L172" s="186"/>
      <c r="M172" s="186"/>
    </row>
    <row r="173" spans="1:13" ht="23.4" customHeight="1">
      <c r="A173" s="154">
        <f t="shared" si="17"/>
        <v>134</v>
      </c>
      <c r="B173" s="141" t="s">
        <v>245</v>
      </c>
      <c r="C173" s="189" t="s">
        <v>223</v>
      </c>
      <c r="D173" s="203" t="s">
        <v>79</v>
      </c>
      <c r="E173" s="190" t="s">
        <v>209</v>
      </c>
      <c r="F173" s="187">
        <f>697+30+50+50</f>
        <v>827</v>
      </c>
      <c r="G173" s="186"/>
      <c r="H173" s="186"/>
      <c r="I173" s="186"/>
      <c r="J173" s="186"/>
      <c r="K173" s="186"/>
      <c r="L173" s="186"/>
      <c r="M173" s="186"/>
    </row>
    <row r="174" spans="1:13" ht="22.5" customHeight="1">
      <c r="A174" s="154">
        <f t="shared" si="17"/>
        <v>135</v>
      </c>
      <c r="B174" s="141" t="s">
        <v>247</v>
      </c>
      <c r="C174" s="189" t="s">
        <v>223</v>
      </c>
      <c r="D174" s="203" t="s">
        <v>79</v>
      </c>
      <c r="E174" s="190" t="s">
        <v>209</v>
      </c>
      <c r="F174" s="187">
        <f>567+30+50+50</f>
        <v>697</v>
      </c>
      <c r="G174" s="186"/>
      <c r="H174" s="186"/>
      <c r="I174" s="186"/>
      <c r="J174" s="186"/>
      <c r="K174" s="186"/>
      <c r="L174" s="186"/>
      <c r="M174" s="186"/>
    </row>
    <row r="175" spans="1:13" ht="21" customHeight="1">
      <c r="A175" s="154">
        <f t="shared" si="17"/>
        <v>136</v>
      </c>
      <c r="B175" s="141" t="s">
        <v>249</v>
      </c>
      <c r="C175" s="189" t="s">
        <v>223</v>
      </c>
      <c r="D175" s="203" t="s">
        <v>79</v>
      </c>
      <c r="E175" s="190" t="s">
        <v>209</v>
      </c>
      <c r="F175" s="187">
        <f>547+50</f>
        <v>597</v>
      </c>
      <c r="G175" s="186"/>
      <c r="H175" s="186"/>
      <c r="I175" s="186"/>
      <c r="J175" s="186"/>
      <c r="K175" s="186"/>
      <c r="L175" s="186"/>
      <c r="M175" s="186"/>
    </row>
    <row r="176" spans="1:13" ht="23.25" customHeight="1">
      <c r="A176" s="154">
        <f t="shared" si="17"/>
        <v>137</v>
      </c>
      <c r="B176" s="141" t="s">
        <v>251</v>
      </c>
      <c r="C176" s="189" t="s">
        <v>223</v>
      </c>
      <c r="D176" s="203" t="s">
        <v>79</v>
      </c>
      <c r="E176" s="190" t="s">
        <v>209</v>
      </c>
      <c r="F176" s="187">
        <f>645+30+50+50</f>
        <v>775</v>
      </c>
      <c r="G176" s="186"/>
      <c r="H176" s="186"/>
      <c r="I176" s="186"/>
      <c r="J176" s="186"/>
      <c r="K176" s="186"/>
      <c r="L176" s="186"/>
      <c r="M176" s="186"/>
    </row>
    <row r="177" spans="1:13" ht="28.5" customHeight="1">
      <c r="A177" s="154">
        <f t="shared" si="17"/>
        <v>138</v>
      </c>
      <c r="B177" s="141" t="s">
        <v>253</v>
      </c>
      <c r="C177" s="189" t="s">
        <v>223</v>
      </c>
      <c r="D177" s="203" t="s">
        <v>79</v>
      </c>
      <c r="E177" s="190" t="s">
        <v>209</v>
      </c>
      <c r="F177" s="187">
        <f>467+30+50+50</f>
        <v>597</v>
      </c>
      <c r="G177" s="186"/>
      <c r="H177" s="186"/>
      <c r="I177" s="186"/>
      <c r="J177" s="186"/>
      <c r="K177" s="186"/>
      <c r="L177" s="186"/>
      <c r="M177" s="186"/>
    </row>
    <row r="178" spans="1:13" ht="23.25" customHeight="1">
      <c r="A178" s="154">
        <f t="shared" si="17"/>
        <v>139</v>
      </c>
      <c r="B178" s="141" t="s">
        <v>660</v>
      </c>
      <c r="C178" s="189" t="s">
        <v>223</v>
      </c>
      <c r="D178" s="203" t="s">
        <v>79</v>
      </c>
      <c r="E178" s="190" t="s">
        <v>209</v>
      </c>
      <c r="F178" s="187">
        <v>417</v>
      </c>
      <c r="G178" s="186"/>
      <c r="H178" s="186"/>
      <c r="I178" s="186"/>
      <c r="J178" s="186"/>
      <c r="K178" s="186"/>
      <c r="L178" s="186"/>
      <c r="M178" s="186"/>
    </row>
    <row r="179" spans="1:13" ht="25.5" customHeight="1">
      <c r="A179" s="154">
        <f t="shared" si="17"/>
        <v>140</v>
      </c>
      <c r="B179" s="141" t="s">
        <v>660</v>
      </c>
      <c r="C179" s="189" t="s">
        <v>223</v>
      </c>
      <c r="D179" s="203" t="s">
        <v>79</v>
      </c>
      <c r="E179" s="190" t="s">
        <v>209</v>
      </c>
      <c r="F179" s="187">
        <v>417</v>
      </c>
      <c r="G179" s="200"/>
      <c r="H179" s="200"/>
      <c r="I179" s="200"/>
      <c r="J179" s="200"/>
      <c r="K179" s="200"/>
      <c r="L179" s="200"/>
      <c r="M179" s="200"/>
    </row>
    <row r="180" spans="1:13">
      <c r="A180" s="134"/>
      <c r="B180" s="188"/>
      <c r="C180" s="359"/>
      <c r="D180" s="360"/>
      <c r="E180" s="361"/>
      <c r="F180" s="167">
        <f>SUM(F160:F179)</f>
        <v>13279</v>
      </c>
      <c r="G180" s="200"/>
      <c r="H180" s="200"/>
      <c r="I180" s="200"/>
      <c r="J180" s="200"/>
      <c r="K180" s="200"/>
      <c r="L180" s="200"/>
      <c r="M180" s="200"/>
    </row>
    <row r="181" spans="1:13" ht="42" customHeight="1">
      <c r="A181" s="154">
        <f>A179+1</f>
        <v>141</v>
      </c>
      <c r="B181" s="188" t="s">
        <v>638</v>
      </c>
      <c r="C181" s="214" t="s">
        <v>661</v>
      </c>
      <c r="D181" s="204" t="s">
        <v>79</v>
      </c>
      <c r="E181" s="190" t="s">
        <v>209</v>
      </c>
      <c r="F181" s="187">
        <v>1800</v>
      </c>
      <c r="G181" s="200"/>
      <c r="H181" s="200"/>
      <c r="I181" s="200"/>
      <c r="J181" s="200"/>
      <c r="K181" s="200"/>
      <c r="L181" s="200"/>
      <c r="M181" s="200"/>
    </row>
    <row r="182" spans="1:13" ht="18.75" customHeight="1">
      <c r="A182" s="123"/>
      <c r="B182" s="188"/>
      <c r="C182" s="214"/>
      <c r="D182" s="204"/>
      <c r="E182" s="302"/>
      <c r="F182" s="167">
        <f>SUM(F181)</f>
        <v>1800</v>
      </c>
      <c r="G182" s="200"/>
      <c r="H182" s="200"/>
      <c r="I182" s="200"/>
      <c r="J182" s="200"/>
      <c r="K182" s="200"/>
      <c r="L182" s="200"/>
      <c r="M182" s="200"/>
    </row>
    <row r="183" spans="1:13" ht="23.25" customHeight="1">
      <c r="A183" s="154">
        <f>A181+1</f>
        <v>142</v>
      </c>
      <c r="B183" s="193" t="s">
        <v>295</v>
      </c>
      <c r="C183" s="214" t="s">
        <v>296</v>
      </c>
      <c r="D183" s="203" t="s">
        <v>79</v>
      </c>
      <c r="E183" s="190" t="s">
        <v>209</v>
      </c>
      <c r="F183" s="187">
        <v>1300</v>
      </c>
      <c r="G183" s="200"/>
      <c r="H183" s="200"/>
      <c r="I183" s="200"/>
      <c r="J183" s="200"/>
      <c r="K183" s="200"/>
      <c r="L183" s="200"/>
      <c r="M183" s="200"/>
    </row>
    <row r="184" spans="1:13" ht="23.25" customHeight="1">
      <c r="A184" s="154">
        <f>A183+1</f>
        <v>143</v>
      </c>
      <c r="B184" s="193" t="s">
        <v>298</v>
      </c>
      <c r="C184" s="214" t="s">
        <v>296</v>
      </c>
      <c r="D184" s="203" t="s">
        <v>79</v>
      </c>
      <c r="E184" s="190" t="s">
        <v>209</v>
      </c>
      <c r="F184" s="187">
        <v>727</v>
      </c>
      <c r="G184" s="200"/>
      <c r="H184" s="200"/>
      <c r="I184" s="200"/>
      <c r="J184" s="200"/>
      <c r="K184" s="200"/>
      <c r="L184" s="200"/>
      <c r="M184" s="200"/>
    </row>
    <row r="185" spans="1:13" ht="23.25" customHeight="1">
      <c r="A185" s="154">
        <f>A184+1</f>
        <v>144</v>
      </c>
      <c r="B185" s="193" t="s">
        <v>659</v>
      </c>
      <c r="C185" s="214" t="s">
        <v>296</v>
      </c>
      <c r="D185" s="203" t="s">
        <v>79</v>
      </c>
      <c r="E185" s="190" t="s">
        <v>209</v>
      </c>
      <c r="F185" s="187">
        <v>517</v>
      </c>
      <c r="G185" s="200"/>
      <c r="H185" s="200"/>
      <c r="I185" s="200"/>
      <c r="J185" s="200"/>
      <c r="K185" s="200"/>
      <c r="L185" s="200"/>
      <c r="M185" s="200"/>
    </row>
    <row r="186" spans="1:13" ht="13.5" customHeight="1">
      <c r="A186" s="132"/>
      <c r="B186" s="188"/>
      <c r="C186" s="156"/>
      <c r="D186" s="203"/>
      <c r="E186" s="190"/>
      <c r="F186" s="167">
        <f>SUM(F183:F185)</f>
        <v>2544</v>
      </c>
      <c r="G186" s="186"/>
      <c r="H186" s="186"/>
      <c r="I186" s="186"/>
      <c r="J186" s="186"/>
      <c r="K186" s="186"/>
      <c r="L186" s="186"/>
      <c r="M186" s="186"/>
    </row>
    <row r="187" spans="1:13" ht="24" customHeight="1">
      <c r="A187" s="154">
        <f>A185+1</f>
        <v>145</v>
      </c>
      <c r="B187" s="193" t="s">
        <v>259</v>
      </c>
      <c r="C187" s="189" t="s">
        <v>260</v>
      </c>
      <c r="D187" s="203" t="s">
        <v>79</v>
      </c>
      <c r="E187" s="190" t="s">
        <v>209</v>
      </c>
      <c r="F187" s="187">
        <v>1800</v>
      </c>
      <c r="G187" s="186"/>
      <c r="H187" s="186"/>
      <c r="I187" s="186"/>
      <c r="J187" s="186"/>
      <c r="K187" s="186"/>
      <c r="L187" s="186"/>
      <c r="M187" s="186"/>
    </row>
    <row r="188" spans="1:13" ht="24" customHeight="1">
      <c r="A188" s="154">
        <f>A187+1</f>
        <v>146</v>
      </c>
      <c r="B188" s="168" t="s">
        <v>692</v>
      </c>
      <c r="C188" s="189" t="s">
        <v>260</v>
      </c>
      <c r="D188" s="203" t="s">
        <v>79</v>
      </c>
      <c r="E188" s="190" t="s">
        <v>209</v>
      </c>
      <c r="F188" s="187">
        <f>629.57+30+50+50</f>
        <v>759.57</v>
      </c>
      <c r="G188" s="186"/>
      <c r="H188" s="186"/>
      <c r="I188" s="186"/>
      <c r="J188" s="186"/>
      <c r="K188" s="186"/>
      <c r="L188" s="186"/>
      <c r="M188" s="186"/>
    </row>
    <row r="189" spans="1:13" ht="24" customHeight="1">
      <c r="A189" s="154">
        <f>A188+1</f>
        <v>147</v>
      </c>
      <c r="B189" s="168" t="s">
        <v>265</v>
      </c>
      <c r="C189" s="189" t="s">
        <v>260</v>
      </c>
      <c r="D189" s="203" t="s">
        <v>79</v>
      </c>
      <c r="E189" s="190" t="s">
        <v>209</v>
      </c>
      <c r="F189" s="187">
        <v>800</v>
      </c>
      <c r="G189" s="200"/>
      <c r="H189" s="200"/>
      <c r="I189" s="200"/>
      <c r="J189" s="200"/>
      <c r="K189" s="200"/>
      <c r="L189" s="200"/>
      <c r="M189" s="200"/>
    </row>
    <row r="190" spans="1:13" ht="24" customHeight="1">
      <c r="A190" s="154">
        <f>A189+1</f>
        <v>148</v>
      </c>
      <c r="B190" s="193" t="s">
        <v>702</v>
      </c>
      <c r="C190" s="189" t="s">
        <v>260</v>
      </c>
      <c r="D190" s="203" t="s">
        <v>79</v>
      </c>
      <c r="E190" s="190" t="s">
        <v>209</v>
      </c>
      <c r="F190" s="187">
        <v>600</v>
      </c>
      <c r="G190" s="186"/>
      <c r="H190" s="186"/>
      <c r="I190" s="186"/>
      <c r="J190" s="186"/>
      <c r="K190" s="186"/>
      <c r="L190" s="186"/>
      <c r="M190" s="186"/>
    </row>
    <row r="191" spans="1:13" ht="24" customHeight="1">
      <c r="A191" s="154">
        <f>A190+1</f>
        <v>149</v>
      </c>
      <c r="B191" s="193" t="s">
        <v>702</v>
      </c>
      <c r="C191" s="189" t="s">
        <v>260</v>
      </c>
      <c r="D191" s="203" t="s">
        <v>79</v>
      </c>
      <c r="E191" s="190" t="s">
        <v>209</v>
      </c>
      <c r="F191" s="187">
        <v>600</v>
      </c>
      <c r="G191" s="186"/>
      <c r="H191" s="186"/>
      <c r="I191" s="186"/>
      <c r="J191" s="186"/>
      <c r="K191" s="186"/>
      <c r="L191" s="186"/>
      <c r="M191" s="186"/>
    </row>
    <row r="192" spans="1:13" ht="24" customHeight="1">
      <c r="A192" s="154">
        <f>A191+1</f>
        <v>150</v>
      </c>
      <c r="B192" s="141" t="s">
        <v>715</v>
      </c>
      <c r="C192" s="189" t="s">
        <v>260</v>
      </c>
      <c r="D192" s="203" t="s">
        <v>79</v>
      </c>
      <c r="E192" s="190" t="s">
        <v>47</v>
      </c>
      <c r="F192" s="187">
        <f>945+30+50</f>
        <v>1025</v>
      </c>
      <c r="G192" s="186"/>
      <c r="H192" s="186"/>
      <c r="I192" s="186"/>
      <c r="J192" s="186"/>
      <c r="K192" s="186"/>
      <c r="L192" s="186"/>
      <c r="M192" s="186"/>
    </row>
    <row r="193" spans="1:13" ht="24" customHeight="1">
      <c r="A193" s="154">
        <f t="shared" ref="A193:A199" si="19">A192+1</f>
        <v>151</v>
      </c>
      <c r="B193" s="141" t="s">
        <v>717</v>
      </c>
      <c r="C193" s="189" t="s">
        <v>260</v>
      </c>
      <c r="D193" s="203" t="s">
        <v>79</v>
      </c>
      <c r="E193" s="358" t="s">
        <v>209</v>
      </c>
      <c r="F193" s="192">
        <f>920+30+50</f>
        <v>1000</v>
      </c>
      <c r="G193" s="186"/>
      <c r="H193" s="186"/>
      <c r="I193" s="186"/>
      <c r="J193" s="186"/>
      <c r="K193" s="186"/>
      <c r="L193" s="186"/>
      <c r="M193" s="186"/>
    </row>
    <row r="194" spans="1:13" ht="24" customHeight="1">
      <c r="A194" s="154">
        <f t="shared" si="19"/>
        <v>152</v>
      </c>
      <c r="B194" s="193" t="s">
        <v>271</v>
      </c>
      <c r="C194" s="189" t="s">
        <v>260</v>
      </c>
      <c r="D194" s="203" t="s">
        <v>79</v>
      </c>
      <c r="E194" s="190" t="s">
        <v>209</v>
      </c>
      <c r="F194" s="187">
        <v>800</v>
      </c>
      <c r="G194" s="186"/>
      <c r="H194" s="186"/>
      <c r="I194" s="186"/>
      <c r="J194" s="186"/>
      <c r="K194" s="186"/>
      <c r="L194" s="186"/>
      <c r="M194" s="186"/>
    </row>
    <row r="195" spans="1:13" ht="24" customHeight="1">
      <c r="A195" s="154">
        <f t="shared" si="19"/>
        <v>153</v>
      </c>
      <c r="B195" s="193" t="s">
        <v>271</v>
      </c>
      <c r="C195" s="189" t="s">
        <v>260</v>
      </c>
      <c r="D195" s="203" t="s">
        <v>79</v>
      </c>
      <c r="E195" s="190" t="s">
        <v>209</v>
      </c>
      <c r="F195" s="187">
        <f>597+30+50+50</f>
        <v>727</v>
      </c>
      <c r="G195" s="186"/>
      <c r="H195" s="186"/>
      <c r="I195" s="186"/>
      <c r="J195" s="186"/>
      <c r="K195" s="186"/>
      <c r="L195" s="186"/>
      <c r="M195" s="186"/>
    </row>
    <row r="196" spans="1:13" ht="24" customHeight="1">
      <c r="A196" s="154">
        <f t="shared" si="19"/>
        <v>154</v>
      </c>
      <c r="B196" s="141" t="s">
        <v>275</v>
      </c>
      <c r="C196" s="189" t="s">
        <v>260</v>
      </c>
      <c r="D196" s="203" t="s">
        <v>79</v>
      </c>
      <c r="E196" s="190" t="s">
        <v>209</v>
      </c>
      <c r="F196" s="187">
        <f>567+30+50</f>
        <v>647</v>
      </c>
      <c r="G196" s="186"/>
      <c r="H196" s="186"/>
      <c r="I196" s="186"/>
      <c r="J196" s="186"/>
      <c r="K196" s="186"/>
      <c r="L196" s="186"/>
      <c r="M196" s="186"/>
    </row>
    <row r="197" spans="1:13" ht="24" customHeight="1">
      <c r="A197" s="154">
        <f t="shared" si="19"/>
        <v>155</v>
      </c>
      <c r="B197" s="193" t="s">
        <v>275</v>
      </c>
      <c r="C197" s="189" t="s">
        <v>260</v>
      </c>
      <c r="D197" s="203" t="s">
        <v>79</v>
      </c>
      <c r="E197" s="190" t="s">
        <v>209</v>
      </c>
      <c r="F197" s="187">
        <f>567+30+50+50</f>
        <v>697</v>
      </c>
      <c r="G197" s="186"/>
      <c r="H197" s="186"/>
      <c r="I197" s="186"/>
      <c r="J197" s="186"/>
      <c r="K197" s="186"/>
      <c r="L197" s="186"/>
      <c r="M197" s="186"/>
    </row>
    <row r="198" spans="1:13" ht="24" customHeight="1">
      <c r="A198" s="154">
        <f t="shared" si="19"/>
        <v>156</v>
      </c>
      <c r="B198" s="193" t="s">
        <v>277</v>
      </c>
      <c r="C198" s="189" t="s">
        <v>260</v>
      </c>
      <c r="D198" s="203" t="s">
        <v>79</v>
      </c>
      <c r="E198" s="190" t="s">
        <v>209</v>
      </c>
      <c r="F198" s="187">
        <v>417</v>
      </c>
      <c r="G198" s="186"/>
      <c r="H198" s="186"/>
      <c r="I198" s="186"/>
      <c r="J198" s="186"/>
      <c r="K198" s="186"/>
      <c r="L198" s="186"/>
      <c r="M198" s="186"/>
    </row>
    <row r="199" spans="1:13" ht="24" customHeight="1">
      <c r="A199" s="154">
        <f t="shared" si="19"/>
        <v>157</v>
      </c>
      <c r="B199" s="168" t="s">
        <v>282</v>
      </c>
      <c r="C199" s="189" t="s">
        <v>260</v>
      </c>
      <c r="D199" s="203" t="s">
        <v>79</v>
      </c>
      <c r="E199" s="190" t="s">
        <v>209</v>
      </c>
      <c r="F199" s="187">
        <f>627+50</f>
        <v>677</v>
      </c>
      <c r="G199" s="186"/>
      <c r="H199" s="186"/>
      <c r="I199" s="186"/>
      <c r="J199" s="186"/>
      <c r="K199" s="186"/>
      <c r="L199" s="186"/>
      <c r="M199" s="186"/>
    </row>
    <row r="200" spans="1:13" ht="15" customHeight="1">
      <c r="A200" s="132"/>
      <c r="B200" s="188"/>
      <c r="C200" s="189"/>
      <c r="D200" s="203"/>
      <c r="E200" s="190"/>
      <c r="F200" s="167">
        <f>SUM(F187:F199)</f>
        <v>10549.57</v>
      </c>
      <c r="G200" s="186"/>
      <c r="H200" s="186"/>
      <c r="I200" s="186"/>
      <c r="J200" s="186"/>
      <c r="K200" s="186"/>
      <c r="L200" s="186"/>
      <c r="M200" s="186"/>
    </row>
    <row r="201" spans="1:13" ht="22.5" customHeight="1">
      <c r="A201" s="154">
        <f>A199+1</f>
        <v>158</v>
      </c>
      <c r="B201" s="193" t="s">
        <v>285</v>
      </c>
      <c r="C201" s="189" t="s">
        <v>286</v>
      </c>
      <c r="D201" s="203" t="s">
        <v>79</v>
      </c>
      <c r="E201" s="190" t="s">
        <v>209</v>
      </c>
      <c r="F201" s="187">
        <v>1300</v>
      </c>
      <c r="G201" s="186"/>
      <c r="H201" s="186"/>
      <c r="I201" s="186"/>
      <c r="J201" s="186"/>
      <c r="K201" s="186"/>
      <c r="L201" s="186"/>
      <c r="M201" s="186"/>
    </row>
    <row r="202" spans="1:13" ht="22.5" customHeight="1">
      <c r="A202" s="154">
        <f>A201+1</f>
        <v>159</v>
      </c>
      <c r="B202" s="141" t="s">
        <v>288</v>
      </c>
      <c r="C202" s="189" t="s">
        <v>286</v>
      </c>
      <c r="D202" s="203" t="s">
        <v>79</v>
      </c>
      <c r="E202" s="190" t="s">
        <v>209</v>
      </c>
      <c r="F202" s="187">
        <v>837</v>
      </c>
      <c r="G202" s="230"/>
      <c r="H202" s="230"/>
      <c r="I202" s="186"/>
      <c r="J202" s="186"/>
      <c r="K202" s="186"/>
      <c r="L202" s="186"/>
      <c r="M202" s="186"/>
    </row>
    <row r="203" spans="1:13" ht="22.5" customHeight="1">
      <c r="A203" s="154">
        <f>A202+1</f>
        <v>160</v>
      </c>
      <c r="B203" s="193" t="s">
        <v>290</v>
      </c>
      <c r="C203" s="189" t="s">
        <v>286</v>
      </c>
      <c r="D203" s="203" t="s">
        <v>79</v>
      </c>
      <c r="E203" s="190" t="s">
        <v>209</v>
      </c>
      <c r="F203" s="187">
        <v>797</v>
      </c>
      <c r="G203" s="186"/>
      <c r="H203" s="186"/>
      <c r="I203" s="186"/>
      <c r="J203" s="186"/>
      <c r="K203" s="186"/>
      <c r="L203" s="186"/>
      <c r="M203" s="186"/>
    </row>
    <row r="204" spans="1:13" ht="22.5" customHeight="1">
      <c r="A204" s="154">
        <f>A203+1</f>
        <v>161</v>
      </c>
      <c r="B204" s="193" t="s">
        <v>292</v>
      </c>
      <c r="C204" s="189" t="s">
        <v>286</v>
      </c>
      <c r="D204" s="203" t="s">
        <v>79</v>
      </c>
      <c r="E204" s="190" t="s">
        <v>209</v>
      </c>
      <c r="F204" s="187">
        <v>600</v>
      </c>
      <c r="G204" s="186"/>
      <c r="H204" s="186"/>
      <c r="I204" s="186"/>
      <c r="J204" s="186"/>
      <c r="K204" s="186"/>
      <c r="L204" s="186"/>
      <c r="M204" s="186"/>
    </row>
    <row r="205" spans="1:13" ht="12.75" customHeight="1">
      <c r="A205" s="132"/>
      <c r="B205" s="188"/>
      <c r="C205" s="352"/>
      <c r="D205" s="203"/>
      <c r="E205" s="200"/>
      <c r="F205" s="167">
        <f>SUM(F201:F204)</f>
        <v>3534</v>
      </c>
      <c r="G205" s="186"/>
      <c r="H205" s="186"/>
      <c r="I205" s="186"/>
      <c r="J205" s="186"/>
      <c r="K205" s="186"/>
      <c r="L205" s="186"/>
      <c r="M205" s="186"/>
    </row>
    <row r="206" spans="1:13" ht="12.75" customHeight="1">
      <c r="A206" s="132"/>
      <c r="B206" s="362" t="s">
        <v>733</v>
      </c>
      <c r="C206" s="362"/>
      <c r="D206" s="363"/>
      <c r="E206" s="355"/>
      <c r="F206" s="357">
        <f>SUM(F205,F200,F186,F182,F180,F159)</f>
        <v>37337.14</v>
      </c>
      <c r="G206" s="355"/>
      <c r="H206" s="355"/>
      <c r="I206" s="355"/>
      <c r="J206" s="355"/>
      <c r="K206" s="355"/>
      <c r="L206" s="355"/>
      <c r="M206" s="355"/>
    </row>
    <row r="207" spans="1:13" ht="24.75" customHeight="1">
      <c r="A207" s="154">
        <f>A204+1</f>
        <v>162</v>
      </c>
      <c r="B207" s="141" t="s">
        <v>686</v>
      </c>
      <c r="C207" s="223" t="s">
        <v>639</v>
      </c>
      <c r="D207" s="203" t="s">
        <v>79</v>
      </c>
      <c r="E207" s="190" t="s">
        <v>306</v>
      </c>
      <c r="F207" s="187">
        <v>1000</v>
      </c>
      <c r="G207" s="186"/>
      <c r="H207" s="186"/>
      <c r="I207" s="186"/>
      <c r="J207" s="186"/>
      <c r="K207" s="186"/>
      <c r="L207" s="186"/>
      <c r="M207" s="186"/>
    </row>
    <row r="208" spans="1:13" ht="24" customHeight="1">
      <c r="A208" s="154">
        <f>A207+1</f>
        <v>163</v>
      </c>
      <c r="B208" s="141" t="s">
        <v>110</v>
      </c>
      <c r="C208" s="223" t="s">
        <v>639</v>
      </c>
      <c r="D208" s="203" t="s">
        <v>79</v>
      </c>
      <c r="E208" s="190" t="s">
        <v>306</v>
      </c>
      <c r="F208" s="187">
        <v>500</v>
      </c>
      <c r="G208" s="200"/>
      <c r="H208" s="200"/>
      <c r="I208" s="200"/>
      <c r="J208" s="200"/>
      <c r="K208" s="200"/>
      <c r="L208" s="200"/>
      <c r="M208" s="200"/>
    </row>
    <row r="209" spans="1:13" ht="40.200000000000003" customHeight="1">
      <c r="A209" s="154">
        <f>A208+1</f>
        <v>164</v>
      </c>
      <c r="B209" s="214" t="s">
        <v>756</v>
      </c>
      <c r="C209" s="223" t="s">
        <v>639</v>
      </c>
      <c r="D209" s="203" t="s">
        <v>79</v>
      </c>
      <c r="E209" s="190" t="s">
        <v>306</v>
      </c>
      <c r="F209" s="187">
        <v>700</v>
      </c>
      <c r="G209" s="200"/>
      <c r="H209" s="200"/>
      <c r="I209" s="200"/>
      <c r="J209" s="200"/>
      <c r="K209" s="200"/>
      <c r="L209" s="200"/>
      <c r="M209" s="200"/>
    </row>
    <row r="210" spans="1:13" ht="23.25" customHeight="1">
      <c r="A210" s="154">
        <f>A209+1</f>
        <v>165</v>
      </c>
      <c r="B210" s="141" t="s">
        <v>757</v>
      </c>
      <c r="C210" s="223" t="s">
        <v>639</v>
      </c>
      <c r="D210" s="203" t="s">
        <v>79</v>
      </c>
      <c r="E210" s="302" t="s">
        <v>306</v>
      </c>
      <c r="F210" s="187">
        <v>697</v>
      </c>
      <c r="G210" s="200"/>
      <c r="H210" s="200"/>
      <c r="I210" s="200"/>
      <c r="J210" s="200"/>
      <c r="K210" s="200"/>
      <c r="L210" s="200"/>
      <c r="M210" s="200"/>
    </row>
    <row r="211" spans="1:13" ht="25.5" customHeight="1">
      <c r="A211" s="154">
        <f>A210+1</f>
        <v>166</v>
      </c>
      <c r="B211" s="179" t="s">
        <v>740</v>
      </c>
      <c r="C211" s="223" t="s">
        <v>639</v>
      </c>
      <c r="D211" s="203" t="s">
        <v>79</v>
      </c>
      <c r="E211" s="302" t="s">
        <v>306</v>
      </c>
      <c r="F211" s="187">
        <f>547+30+50+50</f>
        <v>677</v>
      </c>
      <c r="G211" s="200"/>
      <c r="H211" s="200"/>
      <c r="I211" s="200"/>
      <c r="J211" s="200"/>
      <c r="K211" s="200"/>
      <c r="L211" s="200"/>
      <c r="M211" s="200"/>
    </row>
    <row r="212" spans="1:13" ht="15" customHeight="1">
      <c r="A212" s="132"/>
      <c r="B212" s="364"/>
      <c r="C212" s="189"/>
      <c r="D212" s="203"/>
      <c r="E212" s="190"/>
      <c r="F212" s="167">
        <f>SUM(F207:F211)</f>
        <v>3574</v>
      </c>
      <c r="G212" s="200"/>
      <c r="H212" s="200"/>
      <c r="I212" s="200"/>
      <c r="J212" s="200"/>
      <c r="K212" s="200"/>
      <c r="L212" s="200"/>
      <c r="M212" s="200"/>
    </row>
    <row r="213" spans="1:13" ht="22.5" customHeight="1">
      <c r="A213" s="154">
        <f>A211+1</f>
        <v>167</v>
      </c>
      <c r="B213" s="168" t="s">
        <v>354</v>
      </c>
      <c r="C213" s="189" t="s">
        <v>355</v>
      </c>
      <c r="D213" s="203" t="s">
        <v>79</v>
      </c>
      <c r="E213" s="302" t="s">
        <v>306</v>
      </c>
      <c r="F213" s="187">
        <v>1000</v>
      </c>
      <c r="G213" s="230"/>
      <c r="H213" s="230"/>
      <c r="I213" s="186"/>
      <c r="J213" s="186"/>
      <c r="K213" s="186"/>
      <c r="L213" s="186"/>
      <c r="M213" s="186"/>
    </row>
    <row r="214" spans="1:13" ht="27.75" customHeight="1">
      <c r="A214" s="154">
        <f>A213+1</f>
        <v>168</v>
      </c>
      <c r="B214" s="193" t="s">
        <v>358</v>
      </c>
      <c r="C214" s="189" t="s">
        <v>355</v>
      </c>
      <c r="D214" s="203" t="s">
        <v>79</v>
      </c>
      <c r="E214" s="302" t="s">
        <v>306</v>
      </c>
      <c r="F214" s="187">
        <v>700</v>
      </c>
      <c r="G214" s="230"/>
      <c r="H214" s="230"/>
      <c r="I214" s="186"/>
      <c r="J214" s="186"/>
      <c r="K214" s="186"/>
      <c r="L214" s="186"/>
      <c r="M214" s="186"/>
    </row>
    <row r="215" spans="1:13" ht="25.5" customHeight="1">
      <c r="A215" s="154">
        <f t="shared" ref="A215:A228" si="20">A214+1</f>
        <v>169</v>
      </c>
      <c r="B215" s="141" t="s">
        <v>652</v>
      </c>
      <c r="C215" s="189" t="s">
        <v>355</v>
      </c>
      <c r="D215" s="203" t="s">
        <v>79</v>
      </c>
      <c r="E215" s="302" t="s">
        <v>306</v>
      </c>
      <c r="F215" s="187">
        <v>742</v>
      </c>
      <c r="G215" s="186"/>
      <c r="H215" s="186"/>
      <c r="I215" s="186"/>
      <c r="J215" s="186"/>
      <c r="K215" s="186"/>
      <c r="L215" s="186"/>
      <c r="M215" s="186"/>
    </row>
    <row r="216" spans="1:13" ht="25.5" customHeight="1">
      <c r="A216" s="154">
        <f t="shared" si="20"/>
        <v>170</v>
      </c>
      <c r="B216" s="141" t="s">
        <v>652</v>
      </c>
      <c r="C216" s="189" t="s">
        <v>355</v>
      </c>
      <c r="D216" s="203" t="s">
        <v>79</v>
      </c>
      <c r="E216" s="302" t="s">
        <v>306</v>
      </c>
      <c r="F216" s="187">
        <f>567+30+50+50</f>
        <v>697</v>
      </c>
      <c r="G216" s="186"/>
      <c r="H216" s="186"/>
      <c r="I216" s="186"/>
      <c r="J216" s="186"/>
      <c r="K216" s="186"/>
      <c r="L216" s="186"/>
      <c r="M216" s="186"/>
    </row>
    <row r="217" spans="1:13" ht="25.5" customHeight="1">
      <c r="A217" s="154">
        <f t="shared" si="20"/>
        <v>171</v>
      </c>
      <c r="B217" s="141" t="s">
        <v>652</v>
      </c>
      <c r="C217" s="189" t="s">
        <v>355</v>
      </c>
      <c r="D217" s="203" t="s">
        <v>79</v>
      </c>
      <c r="E217" s="302" t="s">
        <v>306</v>
      </c>
      <c r="F217" s="187">
        <f>467+30+50+50</f>
        <v>597</v>
      </c>
      <c r="G217" s="186"/>
      <c r="H217" s="186"/>
      <c r="I217" s="186"/>
      <c r="J217" s="186"/>
      <c r="K217" s="186"/>
      <c r="L217" s="186"/>
      <c r="M217" s="186"/>
    </row>
    <row r="218" spans="1:13" ht="25.5" customHeight="1">
      <c r="A218" s="154">
        <f t="shared" si="20"/>
        <v>172</v>
      </c>
      <c r="B218" s="141" t="s">
        <v>652</v>
      </c>
      <c r="C218" s="189" t="s">
        <v>355</v>
      </c>
      <c r="D218" s="203" t="s">
        <v>79</v>
      </c>
      <c r="E218" s="302" t="s">
        <v>306</v>
      </c>
      <c r="F218" s="187">
        <f>467+30+50+50</f>
        <v>597</v>
      </c>
      <c r="G218" s="200"/>
      <c r="H218" s="200"/>
      <c r="I218" s="200"/>
      <c r="J218" s="200"/>
      <c r="K218" s="200"/>
      <c r="L218" s="200"/>
      <c r="M218" s="200"/>
    </row>
    <row r="219" spans="1:13" ht="19.2" customHeight="1">
      <c r="A219" s="154">
        <f t="shared" si="20"/>
        <v>173</v>
      </c>
      <c r="B219" s="141" t="s">
        <v>368</v>
      </c>
      <c r="C219" s="189" t="s">
        <v>355</v>
      </c>
      <c r="D219" s="203" t="s">
        <v>79</v>
      </c>
      <c r="E219" s="302" t="s">
        <v>306</v>
      </c>
      <c r="F219" s="187">
        <f>417+50+50</f>
        <v>517</v>
      </c>
      <c r="G219" s="200"/>
      <c r="H219" s="200"/>
      <c r="I219" s="200"/>
      <c r="J219" s="200"/>
      <c r="K219" s="200"/>
      <c r="L219" s="200"/>
      <c r="M219" s="200"/>
    </row>
    <row r="220" spans="1:13" ht="23.25" customHeight="1">
      <c r="A220" s="154">
        <f t="shared" si="20"/>
        <v>174</v>
      </c>
      <c r="B220" s="141" t="s">
        <v>368</v>
      </c>
      <c r="C220" s="189" t="s">
        <v>355</v>
      </c>
      <c r="D220" s="203" t="s">
        <v>79</v>
      </c>
      <c r="E220" s="302" t="s">
        <v>306</v>
      </c>
      <c r="F220" s="187">
        <f>417+50+50</f>
        <v>517</v>
      </c>
      <c r="G220" s="187"/>
      <c r="H220" s="186"/>
      <c r="I220" s="186"/>
      <c r="J220" s="186"/>
      <c r="K220" s="186"/>
      <c r="L220" s="186"/>
      <c r="M220" s="186"/>
    </row>
    <row r="221" spans="1:13" ht="23.25" customHeight="1">
      <c r="A221" s="154">
        <f t="shared" si="20"/>
        <v>175</v>
      </c>
      <c r="B221" s="141" t="s">
        <v>368</v>
      </c>
      <c r="C221" s="189" t="s">
        <v>355</v>
      </c>
      <c r="D221" s="203" t="s">
        <v>79</v>
      </c>
      <c r="E221" s="302" t="s">
        <v>306</v>
      </c>
      <c r="F221" s="187">
        <f>417+50+50</f>
        <v>517</v>
      </c>
      <c r="G221" s="186"/>
      <c r="H221" s="186"/>
      <c r="I221" s="186"/>
      <c r="J221" s="186"/>
      <c r="K221" s="186"/>
      <c r="L221" s="186"/>
      <c r="M221" s="186"/>
    </row>
    <row r="222" spans="1:13" ht="23.25" customHeight="1">
      <c r="A222" s="154">
        <f t="shared" si="20"/>
        <v>176</v>
      </c>
      <c r="B222" s="141" t="s">
        <v>368</v>
      </c>
      <c r="C222" s="189" t="s">
        <v>355</v>
      </c>
      <c r="D222" s="203" t="s">
        <v>79</v>
      </c>
      <c r="E222" s="302" t="s">
        <v>306</v>
      </c>
      <c r="F222" s="187">
        <f>417+50+50</f>
        <v>517</v>
      </c>
      <c r="G222" s="186"/>
      <c r="H222" s="186"/>
      <c r="I222" s="186"/>
      <c r="J222" s="186"/>
      <c r="K222" s="186"/>
      <c r="L222" s="186"/>
      <c r="M222" s="186"/>
    </row>
    <row r="223" spans="1:13" ht="23.25" customHeight="1">
      <c r="A223" s="154">
        <f t="shared" si="20"/>
        <v>177</v>
      </c>
      <c r="B223" s="141" t="s">
        <v>368</v>
      </c>
      <c r="C223" s="189" t="s">
        <v>355</v>
      </c>
      <c r="D223" s="203" t="s">
        <v>79</v>
      </c>
      <c r="E223" s="302" t="s">
        <v>306</v>
      </c>
      <c r="F223" s="187">
        <v>567</v>
      </c>
      <c r="G223" s="186"/>
      <c r="H223" s="186"/>
      <c r="I223" s="186"/>
      <c r="J223" s="186"/>
      <c r="K223" s="186"/>
      <c r="L223" s="186"/>
      <c r="M223" s="186"/>
    </row>
    <row r="224" spans="1:13" ht="23.25" customHeight="1">
      <c r="A224" s="154">
        <f t="shared" si="20"/>
        <v>178</v>
      </c>
      <c r="B224" s="141" t="s">
        <v>368</v>
      </c>
      <c r="C224" s="189" t="s">
        <v>355</v>
      </c>
      <c r="D224" s="203" t="s">
        <v>79</v>
      </c>
      <c r="E224" s="302" t="s">
        <v>306</v>
      </c>
      <c r="F224" s="187">
        <v>500</v>
      </c>
      <c r="G224" s="186"/>
      <c r="H224" s="186"/>
      <c r="I224" s="186"/>
      <c r="J224" s="186"/>
      <c r="K224" s="186"/>
      <c r="L224" s="186"/>
      <c r="M224" s="186"/>
    </row>
    <row r="225" spans="1:13" ht="23.25" customHeight="1">
      <c r="A225" s="154">
        <f t="shared" si="20"/>
        <v>179</v>
      </c>
      <c r="B225" s="141" t="s">
        <v>370</v>
      </c>
      <c r="C225" s="189" t="s">
        <v>355</v>
      </c>
      <c r="D225" s="203" t="s">
        <v>79</v>
      </c>
      <c r="E225" s="302" t="s">
        <v>306</v>
      </c>
      <c r="F225" s="187">
        <v>417</v>
      </c>
      <c r="G225" s="187"/>
      <c r="H225" s="186"/>
      <c r="I225" s="186"/>
      <c r="J225" s="186"/>
      <c r="K225" s="186"/>
      <c r="L225" s="186"/>
      <c r="M225" s="186"/>
    </row>
    <row r="226" spans="1:13" ht="23.25" customHeight="1">
      <c r="A226" s="154">
        <f t="shared" si="20"/>
        <v>180</v>
      </c>
      <c r="B226" s="141" t="s">
        <v>370</v>
      </c>
      <c r="C226" s="189" t="s">
        <v>355</v>
      </c>
      <c r="D226" s="203" t="s">
        <v>79</v>
      </c>
      <c r="E226" s="302" t="s">
        <v>306</v>
      </c>
      <c r="F226" s="187">
        <v>417</v>
      </c>
      <c r="G226" s="230"/>
      <c r="H226" s="230"/>
      <c r="I226" s="230"/>
      <c r="J226" s="230"/>
      <c r="K226" s="230"/>
      <c r="L226" s="230"/>
      <c r="M226" s="230"/>
    </row>
    <row r="227" spans="1:13" ht="23.25" customHeight="1">
      <c r="A227" s="154">
        <f t="shared" si="20"/>
        <v>181</v>
      </c>
      <c r="B227" s="141" t="s">
        <v>370</v>
      </c>
      <c r="C227" s="189" t="s">
        <v>355</v>
      </c>
      <c r="D227" s="203" t="s">
        <v>79</v>
      </c>
      <c r="E227" s="302" t="s">
        <v>306</v>
      </c>
      <c r="F227" s="187">
        <v>417</v>
      </c>
      <c r="G227" s="230"/>
      <c r="H227" s="230"/>
      <c r="I227" s="230"/>
      <c r="J227" s="230"/>
      <c r="K227" s="230"/>
      <c r="L227" s="230"/>
      <c r="M227" s="230"/>
    </row>
    <row r="228" spans="1:13" ht="25.5" customHeight="1">
      <c r="A228" s="154">
        <f t="shared" si="20"/>
        <v>182</v>
      </c>
      <c r="B228" s="141" t="s">
        <v>370</v>
      </c>
      <c r="C228" s="189" t="s">
        <v>355</v>
      </c>
      <c r="D228" s="203" t="s">
        <v>79</v>
      </c>
      <c r="E228" s="302" t="s">
        <v>306</v>
      </c>
      <c r="F228" s="187">
        <v>417</v>
      </c>
      <c r="G228" s="186"/>
      <c r="H228" s="186"/>
      <c r="I228" s="186"/>
      <c r="J228" s="186"/>
      <c r="K228" s="186"/>
      <c r="L228" s="186"/>
      <c r="M228" s="186"/>
    </row>
    <row r="229" spans="1:13" ht="13.5" customHeight="1">
      <c r="A229" s="154"/>
      <c r="B229" s="188"/>
      <c r="C229" s="223"/>
      <c r="D229" s="204"/>
      <c r="E229" s="302"/>
      <c r="F229" s="167">
        <f>SUM(F213:F228)</f>
        <v>9136</v>
      </c>
      <c r="G229" s="186"/>
      <c r="H229" s="186"/>
      <c r="I229" s="186"/>
      <c r="J229" s="186"/>
      <c r="K229" s="186"/>
      <c r="L229" s="186"/>
      <c r="M229" s="186"/>
    </row>
    <row r="230" spans="1:13" ht="21" customHeight="1">
      <c r="A230" s="154">
        <f>A228+1</f>
        <v>183</v>
      </c>
      <c r="B230" s="141" t="s">
        <v>642</v>
      </c>
      <c r="C230" s="189" t="s">
        <v>640</v>
      </c>
      <c r="D230" s="203" t="s">
        <v>79</v>
      </c>
      <c r="E230" s="302" t="s">
        <v>306</v>
      </c>
      <c r="F230" s="187">
        <v>777</v>
      </c>
      <c r="G230" s="187"/>
      <c r="H230" s="186"/>
      <c r="I230" s="186"/>
      <c r="J230" s="186"/>
      <c r="K230" s="186"/>
      <c r="L230" s="186"/>
      <c r="M230" s="186"/>
    </row>
    <row r="231" spans="1:13" ht="33.75" customHeight="1">
      <c r="A231" s="154">
        <f>A230+1</f>
        <v>184</v>
      </c>
      <c r="B231" s="141" t="s">
        <v>123</v>
      </c>
      <c r="C231" s="189" t="s">
        <v>640</v>
      </c>
      <c r="D231" s="203" t="s">
        <v>79</v>
      </c>
      <c r="E231" s="302" t="s">
        <v>306</v>
      </c>
      <c r="F231" s="187">
        <v>780</v>
      </c>
      <c r="G231" s="186"/>
      <c r="H231" s="186"/>
      <c r="I231" s="186"/>
      <c r="J231" s="186"/>
      <c r="K231" s="186"/>
      <c r="L231" s="186"/>
      <c r="M231" s="186"/>
    </row>
    <row r="232" spans="1:13" ht="33.75" customHeight="1">
      <c r="A232" s="154">
        <f>A231+1</f>
        <v>185</v>
      </c>
      <c r="B232" s="352" t="s">
        <v>91</v>
      </c>
      <c r="C232" s="189" t="s">
        <v>640</v>
      </c>
      <c r="D232" s="203" t="s">
        <v>79</v>
      </c>
      <c r="E232" s="302" t="s">
        <v>306</v>
      </c>
      <c r="F232" s="187">
        <v>417</v>
      </c>
      <c r="G232" s="187"/>
      <c r="H232" s="186"/>
      <c r="I232" s="186"/>
      <c r="J232" s="186"/>
      <c r="K232" s="186"/>
      <c r="L232" s="186"/>
      <c r="M232" s="186"/>
    </row>
    <row r="233" spans="1:13" ht="33.75" customHeight="1">
      <c r="A233" s="154">
        <f t="shared" ref="A233:A234" si="21">A232+1</f>
        <v>186</v>
      </c>
      <c r="B233" s="141" t="s">
        <v>123</v>
      </c>
      <c r="C233" s="189" t="s">
        <v>640</v>
      </c>
      <c r="D233" s="203" t="s">
        <v>79</v>
      </c>
      <c r="E233" s="302" t="s">
        <v>306</v>
      </c>
      <c r="F233" s="187">
        <v>417</v>
      </c>
      <c r="G233" s="187"/>
      <c r="H233" s="186"/>
      <c r="I233" s="186"/>
      <c r="J233" s="186"/>
      <c r="K233" s="186"/>
      <c r="L233" s="186"/>
      <c r="M233" s="186"/>
    </row>
    <row r="234" spans="1:13" ht="33.75" customHeight="1">
      <c r="A234" s="154">
        <f t="shared" si="21"/>
        <v>187</v>
      </c>
      <c r="B234" s="352" t="s">
        <v>91</v>
      </c>
      <c r="C234" s="189" t="s">
        <v>640</v>
      </c>
      <c r="D234" s="203" t="s">
        <v>79</v>
      </c>
      <c r="E234" s="302" t="s">
        <v>306</v>
      </c>
      <c r="F234" s="187">
        <v>417</v>
      </c>
      <c r="G234" s="186"/>
      <c r="H234" s="186"/>
      <c r="I234" s="186"/>
      <c r="J234" s="186"/>
      <c r="K234" s="186"/>
      <c r="L234" s="186"/>
      <c r="M234" s="186"/>
    </row>
    <row r="235" spans="1:13" ht="21" customHeight="1">
      <c r="A235" s="132"/>
      <c r="B235" s="141"/>
      <c r="C235" s="189"/>
      <c r="D235" s="203"/>
      <c r="E235" s="190"/>
      <c r="F235" s="167">
        <f>SUM(F230:F234)</f>
        <v>2808</v>
      </c>
      <c r="G235" s="186"/>
      <c r="H235" s="186"/>
      <c r="I235" s="186"/>
      <c r="J235" s="186"/>
      <c r="K235" s="186"/>
      <c r="L235" s="186"/>
      <c r="M235" s="186"/>
    </row>
    <row r="236" spans="1:13" ht="44.25" customHeight="1">
      <c r="A236" s="154">
        <f>A234+1</f>
        <v>188</v>
      </c>
      <c r="B236" s="141" t="s">
        <v>663</v>
      </c>
      <c r="C236" s="189" t="s">
        <v>641</v>
      </c>
      <c r="D236" s="203" t="s">
        <v>79</v>
      </c>
      <c r="E236" s="190" t="s">
        <v>306</v>
      </c>
      <c r="F236" s="187">
        <v>700</v>
      </c>
      <c r="G236" s="186"/>
      <c r="H236" s="186"/>
      <c r="I236" s="186"/>
      <c r="J236" s="186"/>
      <c r="K236" s="186"/>
      <c r="L236" s="186"/>
      <c r="M236" s="186"/>
    </row>
    <row r="237" spans="1:13" ht="33.75" customHeight="1">
      <c r="A237" s="154">
        <f>A236+1</f>
        <v>189</v>
      </c>
      <c r="B237" s="141" t="s">
        <v>135</v>
      </c>
      <c r="C237" s="189" t="s">
        <v>641</v>
      </c>
      <c r="D237" s="203" t="s">
        <v>79</v>
      </c>
      <c r="E237" s="190" t="s">
        <v>306</v>
      </c>
      <c r="F237" s="230">
        <v>500</v>
      </c>
      <c r="G237" s="186" t="s">
        <v>595</v>
      </c>
      <c r="H237" s="186"/>
      <c r="I237" s="186"/>
      <c r="J237" s="186"/>
      <c r="K237" s="186"/>
      <c r="L237" s="186"/>
      <c r="M237" s="186"/>
    </row>
    <row r="238" spans="1:13" ht="33.75" customHeight="1">
      <c r="A238" s="154">
        <f>A237+1</f>
        <v>190</v>
      </c>
      <c r="B238" s="141" t="s">
        <v>137</v>
      </c>
      <c r="C238" s="189" t="s">
        <v>641</v>
      </c>
      <c r="D238" s="203" t="s">
        <v>79</v>
      </c>
      <c r="E238" s="190" t="s">
        <v>306</v>
      </c>
      <c r="F238" s="187">
        <v>417</v>
      </c>
      <c r="G238" s="186"/>
      <c r="H238" s="186"/>
      <c r="I238" s="186"/>
      <c r="J238" s="186"/>
      <c r="K238" s="186"/>
      <c r="L238" s="186"/>
      <c r="M238" s="186"/>
    </row>
    <row r="239" spans="1:13">
      <c r="A239" s="132"/>
      <c r="B239" s="140"/>
      <c r="C239" s="341"/>
      <c r="D239" s="203"/>
      <c r="E239" s="190"/>
      <c r="F239" s="167">
        <f>SUM(F236:F238)</f>
        <v>1617</v>
      </c>
      <c r="G239" s="200"/>
      <c r="H239" s="200"/>
      <c r="I239" s="200"/>
      <c r="J239" s="200"/>
      <c r="K239" s="200"/>
      <c r="L239" s="200"/>
      <c r="M239" s="200"/>
    </row>
    <row r="240" spans="1:13" ht="22.8" customHeight="1">
      <c r="A240" s="154">
        <f>A238+1</f>
        <v>191</v>
      </c>
      <c r="B240" s="141" t="s">
        <v>339</v>
      </c>
      <c r="C240" s="189" t="s">
        <v>340</v>
      </c>
      <c r="D240" s="203" t="s">
        <v>79</v>
      </c>
      <c r="E240" s="190" t="s">
        <v>306</v>
      </c>
      <c r="F240" s="187">
        <v>1200</v>
      </c>
      <c r="G240" s="200"/>
      <c r="H240" s="200"/>
      <c r="I240" s="200"/>
      <c r="J240" s="200"/>
      <c r="K240" s="200"/>
      <c r="L240" s="200"/>
      <c r="M240" s="200"/>
    </row>
    <row r="241" spans="1:13" ht="25.5" customHeight="1">
      <c r="A241" s="154">
        <f>A240+1</f>
        <v>192</v>
      </c>
      <c r="B241" s="141" t="s">
        <v>342</v>
      </c>
      <c r="C241" s="189" t="s">
        <v>340</v>
      </c>
      <c r="D241" s="203" t="s">
        <v>79</v>
      </c>
      <c r="E241" s="190" t="s">
        <v>306</v>
      </c>
      <c r="F241" s="187">
        <f>845+30+50</f>
        <v>925</v>
      </c>
      <c r="G241" s="200"/>
      <c r="H241" s="200"/>
      <c r="I241" s="200"/>
      <c r="J241" s="200"/>
      <c r="K241" s="200"/>
      <c r="L241" s="200"/>
      <c r="M241" s="200"/>
    </row>
    <row r="242" spans="1:13" ht="24" customHeight="1">
      <c r="A242" s="154">
        <f>A241+1</f>
        <v>193</v>
      </c>
      <c r="B242" s="141" t="s">
        <v>656</v>
      </c>
      <c r="C242" s="189" t="s">
        <v>340</v>
      </c>
      <c r="D242" s="203" t="s">
        <v>79</v>
      </c>
      <c r="E242" s="190" t="s">
        <v>306</v>
      </c>
      <c r="F242" s="187">
        <v>700</v>
      </c>
      <c r="G242" s="200"/>
      <c r="H242" s="200"/>
      <c r="I242" s="200"/>
      <c r="J242" s="200"/>
      <c r="K242" s="200"/>
      <c r="L242" s="200"/>
      <c r="M242" s="200"/>
    </row>
    <row r="243" spans="1:13" ht="24" customHeight="1">
      <c r="A243" s="154">
        <f>A242+1</f>
        <v>194</v>
      </c>
      <c r="B243" s="179" t="s">
        <v>143</v>
      </c>
      <c r="C243" s="189" t="s">
        <v>340</v>
      </c>
      <c r="D243" s="203" t="s">
        <v>79</v>
      </c>
      <c r="E243" s="302" t="s">
        <v>306</v>
      </c>
      <c r="F243" s="187">
        <f>417+30+50+50</f>
        <v>547</v>
      </c>
      <c r="G243" s="200"/>
      <c r="H243" s="200"/>
      <c r="I243" s="200"/>
      <c r="J243" s="200"/>
      <c r="K243" s="200"/>
      <c r="L243" s="200"/>
      <c r="M243" s="200"/>
    </row>
    <row r="244" spans="1:13" ht="22.5" customHeight="1">
      <c r="A244" s="154">
        <f>A243+1</f>
        <v>195</v>
      </c>
      <c r="B244" s="141" t="s">
        <v>349</v>
      </c>
      <c r="C244" s="189" t="s">
        <v>340</v>
      </c>
      <c r="D244" s="203" t="s">
        <v>79</v>
      </c>
      <c r="E244" s="190" t="s">
        <v>306</v>
      </c>
      <c r="F244" s="187">
        <v>750</v>
      </c>
      <c r="G244" s="186"/>
      <c r="H244" s="186"/>
      <c r="I244" s="186"/>
      <c r="J244" s="186"/>
      <c r="K244" s="186"/>
      <c r="L244" s="186"/>
      <c r="M244" s="186"/>
    </row>
    <row r="245" spans="1:13" ht="15" customHeight="1">
      <c r="A245" s="132"/>
      <c r="B245" s="140"/>
      <c r="C245" s="189"/>
      <c r="D245" s="203"/>
      <c r="E245" s="190"/>
      <c r="F245" s="167">
        <f>SUM(F240:F244)</f>
        <v>4122</v>
      </c>
      <c r="G245" s="186"/>
      <c r="H245" s="186"/>
      <c r="I245" s="186"/>
      <c r="J245" s="186"/>
      <c r="K245" s="186"/>
      <c r="L245" s="186"/>
      <c r="M245" s="186"/>
    </row>
    <row r="246" spans="1:13" ht="43.5" customHeight="1">
      <c r="A246" s="154">
        <f>A244+1</f>
        <v>196</v>
      </c>
      <c r="B246" s="193" t="s">
        <v>644</v>
      </c>
      <c r="C246" s="189" t="s">
        <v>664</v>
      </c>
      <c r="D246" s="203" t="s">
        <v>79</v>
      </c>
      <c r="E246" s="190" t="s">
        <v>306</v>
      </c>
      <c r="F246" s="187">
        <v>700</v>
      </c>
      <c r="G246" s="200"/>
      <c r="H246" s="200"/>
      <c r="I246" s="200"/>
      <c r="J246" s="200"/>
      <c r="K246" s="200"/>
      <c r="L246" s="200"/>
      <c r="M246" s="200"/>
    </row>
    <row r="247" spans="1:13" ht="43.5" customHeight="1">
      <c r="A247" s="154">
        <f>A246+1</f>
        <v>197</v>
      </c>
      <c r="B247" s="141" t="s">
        <v>665</v>
      </c>
      <c r="C247" s="189" t="s">
        <v>664</v>
      </c>
      <c r="D247" s="203" t="s">
        <v>79</v>
      </c>
      <c r="E247" s="190" t="s">
        <v>306</v>
      </c>
      <c r="F247" s="187">
        <v>417</v>
      </c>
      <c r="G247" s="200"/>
      <c r="H247" s="200"/>
      <c r="I247" s="200"/>
      <c r="J247" s="200"/>
      <c r="K247" s="200"/>
      <c r="L247" s="200"/>
      <c r="M247" s="200"/>
    </row>
    <row r="248" spans="1:13" ht="43.5" customHeight="1">
      <c r="A248" s="154">
        <f>A247+1</f>
        <v>198</v>
      </c>
      <c r="B248" s="141" t="s">
        <v>665</v>
      </c>
      <c r="C248" s="189" t="s">
        <v>664</v>
      </c>
      <c r="D248" s="203" t="s">
        <v>79</v>
      </c>
      <c r="E248" s="190" t="s">
        <v>306</v>
      </c>
      <c r="F248" s="187">
        <v>417</v>
      </c>
      <c r="G248" s="200"/>
      <c r="H248" s="200"/>
      <c r="I248" s="200"/>
      <c r="J248" s="200"/>
      <c r="K248" s="200"/>
      <c r="L248" s="200"/>
      <c r="M248" s="200"/>
    </row>
    <row r="249" spans="1:13" ht="45.75" customHeight="1">
      <c r="A249" s="154">
        <f>A248+1</f>
        <v>199</v>
      </c>
      <c r="B249" s="193" t="s">
        <v>676</v>
      </c>
      <c r="C249" s="189" t="s">
        <v>664</v>
      </c>
      <c r="D249" s="203" t="s">
        <v>79</v>
      </c>
      <c r="E249" s="190" t="s">
        <v>306</v>
      </c>
      <c r="F249" s="187">
        <v>417</v>
      </c>
      <c r="G249" s="186"/>
      <c r="H249" s="186"/>
      <c r="I249" s="186"/>
      <c r="J249" s="186"/>
      <c r="K249" s="186"/>
      <c r="L249" s="186"/>
      <c r="M249" s="186"/>
    </row>
    <row r="250" spans="1:13" ht="21" customHeight="1">
      <c r="A250" s="132"/>
      <c r="B250" s="141"/>
      <c r="C250" s="214"/>
      <c r="D250" s="204"/>
      <c r="E250" s="214"/>
      <c r="F250" s="167">
        <f>SUM(F246:F249)</f>
        <v>1951</v>
      </c>
      <c r="G250" s="186"/>
      <c r="H250" s="186"/>
      <c r="I250" s="186"/>
      <c r="J250" s="186"/>
      <c r="K250" s="186"/>
      <c r="L250" s="186"/>
      <c r="M250" s="186"/>
    </row>
    <row r="251" spans="1:13" ht="36" customHeight="1">
      <c r="A251" s="154">
        <f>A249+1</f>
        <v>200</v>
      </c>
      <c r="B251" s="214" t="s">
        <v>703</v>
      </c>
      <c r="C251" s="189" t="s">
        <v>643</v>
      </c>
      <c r="D251" s="203" t="s">
        <v>79</v>
      </c>
      <c r="E251" s="190" t="s">
        <v>306</v>
      </c>
      <c r="F251" s="187">
        <v>547</v>
      </c>
      <c r="G251" s="186"/>
      <c r="H251" s="186"/>
      <c r="I251" s="186"/>
      <c r="J251" s="186"/>
      <c r="K251" s="186"/>
      <c r="L251" s="186"/>
      <c r="M251" s="186"/>
    </row>
    <row r="252" spans="1:13" ht="21.75" customHeight="1">
      <c r="A252" s="154">
        <f>A251+1</f>
        <v>201</v>
      </c>
      <c r="B252" s="214" t="s">
        <v>91</v>
      </c>
      <c r="C252" s="189" t="s">
        <v>643</v>
      </c>
      <c r="D252" s="203" t="s">
        <v>79</v>
      </c>
      <c r="E252" s="190" t="s">
        <v>306</v>
      </c>
      <c r="F252" s="187">
        <v>417</v>
      </c>
      <c r="G252" s="186"/>
      <c r="H252" s="186"/>
      <c r="I252" s="186"/>
      <c r="J252" s="186"/>
      <c r="K252" s="186"/>
      <c r="L252" s="186"/>
      <c r="M252" s="186"/>
    </row>
    <row r="253" spans="1:13" ht="18.75" customHeight="1">
      <c r="A253" s="132"/>
      <c r="B253" s="341"/>
      <c r="C253" s="189"/>
      <c r="D253" s="203"/>
      <c r="E253" s="190"/>
      <c r="F253" s="167">
        <f>SUM(F251:F252)</f>
        <v>964</v>
      </c>
      <c r="G253" s="186"/>
      <c r="H253" s="186"/>
      <c r="I253" s="186"/>
      <c r="J253" s="186"/>
      <c r="K253" s="186"/>
      <c r="L253" s="186"/>
      <c r="M253" s="186"/>
    </row>
    <row r="254" spans="1:13" ht="25.5" customHeight="1">
      <c r="A254" s="154">
        <f>A252+1</f>
        <v>202</v>
      </c>
      <c r="B254" s="193" t="s">
        <v>714</v>
      </c>
      <c r="C254" s="189" t="s">
        <v>666</v>
      </c>
      <c r="D254" s="203" t="s">
        <v>79</v>
      </c>
      <c r="E254" s="190" t="s">
        <v>306</v>
      </c>
      <c r="F254" s="187">
        <v>600</v>
      </c>
      <c r="G254" s="186"/>
      <c r="H254" s="186"/>
      <c r="I254" s="186"/>
      <c r="J254" s="186"/>
      <c r="K254" s="186"/>
      <c r="L254" s="186"/>
      <c r="M254" s="186"/>
    </row>
    <row r="255" spans="1:13" ht="27" customHeight="1">
      <c r="A255" s="154">
        <f>A254+1</f>
        <v>203</v>
      </c>
      <c r="B255" s="193" t="s">
        <v>650</v>
      </c>
      <c r="C255" s="189" t="s">
        <v>666</v>
      </c>
      <c r="D255" s="203" t="s">
        <v>79</v>
      </c>
      <c r="E255" s="190" t="s">
        <v>306</v>
      </c>
      <c r="F255" s="187">
        <v>597</v>
      </c>
      <c r="G255" s="186"/>
      <c r="H255" s="186"/>
      <c r="I255" s="186"/>
      <c r="J255" s="186"/>
      <c r="K255" s="186"/>
      <c r="L255" s="186"/>
      <c r="M255" s="186"/>
    </row>
    <row r="256" spans="1:13" ht="15" customHeight="1">
      <c r="A256" s="132"/>
      <c r="B256" s="341"/>
      <c r="C256" s="189"/>
      <c r="D256" s="203"/>
      <c r="E256" s="190"/>
      <c r="F256" s="167">
        <f>SUM(F254:F255)</f>
        <v>1197</v>
      </c>
      <c r="G256" s="186"/>
      <c r="H256" s="186"/>
      <c r="I256" s="186"/>
      <c r="J256" s="186"/>
      <c r="K256" s="186"/>
      <c r="L256" s="186"/>
      <c r="M256" s="186"/>
    </row>
    <row r="257" spans="1:13" ht="23.25" customHeight="1">
      <c r="A257" s="154">
        <f>A255+1</f>
        <v>204</v>
      </c>
      <c r="B257" s="193" t="s">
        <v>704</v>
      </c>
      <c r="C257" s="189" t="s">
        <v>649</v>
      </c>
      <c r="D257" s="203" t="s">
        <v>79</v>
      </c>
      <c r="E257" s="190" t="s">
        <v>306</v>
      </c>
      <c r="F257" s="187">
        <v>700</v>
      </c>
      <c r="G257" s="186"/>
      <c r="H257" s="186"/>
      <c r="I257" s="186"/>
      <c r="J257" s="186"/>
      <c r="K257" s="186"/>
      <c r="L257" s="186"/>
      <c r="M257" s="186"/>
    </row>
    <row r="258" spans="1:13" ht="19.5" customHeight="1">
      <c r="A258" s="154">
        <f>A257+1</f>
        <v>205</v>
      </c>
      <c r="B258" s="193" t="s">
        <v>162</v>
      </c>
      <c r="C258" s="189" t="s">
        <v>649</v>
      </c>
      <c r="D258" s="203" t="s">
        <v>79</v>
      </c>
      <c r="E258" s="190" t="s">
        <v>306</v>
      </c>
      <c r="F258" s="187">
        <f>497+50</f>
        <v>547</v>
      </c>
      <c r="G258" s="186"/>
      <c r="H258" s="186"/>
      <c r="I258" s="186"/>
      <c r="J258" s="186"/>
      <c r="K258" s="186"/>
      <c r="L258" s="186"/>
      <c r="M258" s="186"/>
    </row>
    <row r="259" spans="1:13" ht="25.5" customHeight="1">
      <c r="A259" s="154">
        <f>A258+1</f>
        <v>206</v>
      </c>
      <c r="B259" s="193" t="s">
        <v>123</v>
      </c>
      <c r="C259" s="189" t="s">
        <v>649</v>
      </c>
      <c r="D259" s="203" t="s">
        <v>79</v>
      </c>
      <c r="E259" s="190" t="s">
        <v>306</v>
      </c>
      <c r="F259" s="187">
        <v>417</v>
      </c>
      <c r="G259" s="186"/>
      <c r="H259" s="186"/>
      <c r="I259" s="186"/>
      <c r="J259" s="186"/>
      <c r="K259" s="186"/>
      <c r="L259" s="186"/>
      <c r="M259" s="186"/>
    </row>
    <row r="260" spans="1:13" ht="15.75" customHeight="1">
      <c r="A260" s="132"/>
      <c r="B260" s="140"/>
      <c r="C260" s="189"/>
      <c r="D260" s="203"/>
      <c r="E260" s="190"/>
      <c r="F260" s="167">
        <f>SUM(F257:F259)</f>
        <v>1664</v>
      </c>
      <c r="G260" s="230"/>
      <c r="H260" s="230"/>
      <c r="I260" s="230"/>
      <c r="J260" s="230"/>
      <c r="K260" s="230"/>
      <c r="L260" s="230"/>
      <c r="M260" s="230"/>
    </row>
    <row r="261" spans="1:13" ht="21.75" customHeight="1">
      <c r="A261" s="154">
        <f>A259+1</f>
        <v>207</v>
      </c>
      <c r="B261" s="141" t="s">
        <v>646</v>
      </c>
      <c r="C261" s="189" t="s">
        <v>645</v>
      </c>
      <c r="D261" s="203" t="s">
        <v>79</v>
      </c>
      <c r="E261" s="190" t="s">
        <v>306</v>
      </c>
      <c r="F261" s="187">
        <v>700</v>
      </c>
      <c r="G261" s="230"/>
      <c r="H261" s="230"/>
      <c r="I261" s="230"/>
      <c r="J261" s="230"/>
      <c r="K261" s="230"/>
      <c r="L261" s="230"/>
      <c r="M261" s="230"/>
    </row>
    <row r="262" spans="1:13" ht="22.5" customHeight="1">
      <c r="A262" s="154">
        <f t="shared" ref="A262:A267" si="22">A261+1</f>
        <v>208</v>
      </c>
      <c r="B262" s="141" t="s">
        <v>758</v>
      </c>
      <c r="C262" s="189" t="s">
        <v>645</v>
      </c>
      <c r="D262" s="203" t="s">
        <v>79</v>
      </c>
      <c r="E262" s="190" t="s">
        <v>306</v>
      </c>
      <c r="F262" s="187">
        <v>700</v>
      </c>
      <c r="G262" s="230"/>
      <c r="H262" s="230"/>
      <c r="I262" s="230"/>
      <c r="J262" s="230"/>
      <c r="K262" s="230"/>
      <c r="L262" s="230"/>
      <c r="M262" s="230"/>
    </row>
    <row r="263" spans="1:13" ht="24" customHeight="1">
      <c r="A263" s="154">
        <f t="shared" si="22"/>
        <v>209</v>
      </c>
      <c r="B263" s="141" t="s">
        <v>366</v>
      </c>
      <c r="C263" s="189" t="s">
        <v>645</v>
      </c>
      <c r="D263" s="203" t="s">
        <v>79</v>
      </c>
      <c r="E263" s="190" t="s">
        <v>306</v>
      </c>
      <c r="F263" s="187">
        <v>417</v>
      </c>
      <c r="G263" s="186"/>
      <c r="H263" s="186"/>
      <c r="I263" s="186"/>
      <c r="J263" s="186"/>
      <c r="K263" s="186"/>
      <c r="L263" s="186"/>
      <c r="M263" s="186"/>
    </row>
    <row r="264" spans="1:13" ht="21" customHeight="1">
      <c r="A264" s="154">
        <f t="shared" si="22"/>
        <v>210</v>
      </c>
      <c r="B264" s="141" t="s">
        <v>366</v>
      </c>
      <c r="C264" s="189" t="s">
        <v>645</v>
      </c>
      <c r="D264" s="203" t="s">
        <v>79</v>
      </c>
      <c r="E264" s="190" t="s">
        <v>306</v>
      </c>
      <c r="F264" s="187">
        <v>417</v>
      </c>
      <c r="G264" s="186"/>
      <c r="H264" s="186"/>
      <c r="I264" s="186"/>
      <c r="J264" s="186"/>
      <c r="K264" s="186"/>
      <c r="L264" s="186"/>
      <c r="M264" s="186"/>
    </row>
    <row r="265" spans="1:13" ht="21" customHeight="1">
      <c r="A265" s="154">
        <f t="shared" si="22"/>
        <v>211</v>
      </c>
      <c r="B265" s="141" t="s">
        <v>366</v>
      </c>
      <c r="C265" s="189" t="s">
        <v>645</v>
      </c>
      <c r="D265" s="203" t="s">
        <v>79</v>
      </c>
      <c r="E265" s="190" t="s">
        <v>306</v>
      </c>
      <c r="F265" s="187">
        <v>417</v>
      </c>
      <c r="G265" s="186"/>
      <c r="H265" s="186"/>
      <c r="I265" s="186"/>
      <c r="J265" s="186"/>
      <c r="K265" s="186"/>
      <c r="L265" s="186"/>
      <c r="M265" s="186"/>
    </row>
    <row r="266" spans="1:13" ht="21.75" customHeight="1">
      <c r="A266" s="154">
        <f t="shared" si="22"/>
        <v>212</v>
      </c>
      <c r="B266" s="141" t="s">
        <v>366</v>
      </c>
      <c r="C266" s="189" t="s">
        <v>645</v>
      </c>
      <c r="D266" s="203" t="s">
        <v>79</v>
      </c>
      <c r="E266" s="190" t="s">
        <v>306</v>
      </c>
      <c r="F266" s="187">
        <v>417</v>
      </c>
      <c r="G266" s="186"/>
      <c r="H266" s="186"/>
      <c r="I266" s="186"/>
      <c r="J266" s="186"/>
      <c r="K266" s="186"/>
      <c r="L266" s="186"/>
      <c r="M266" s="186"/>
    </row>
    <row r="267" spans="1:13" ht="21.75" customHeight="1">
      <c r="A267" s="154">
        <f t="shared" si="22"/>
        <v>213</v>
      </c>
      <c r="B267" s="141" t="s">
        <v>366</v>
      </c>
      <c r="C267" s="189" t="s">
        <v>645</v>
      </c>
      <c r="D267" s="203" t="s">
        <v>79</v>
      </c>
      <c r="E267" s="190" t="s">
        <v>306</v>
      </c>
      <c r="F267" s="187">
        <v>597</v>
      </c>
      <c r="G267" s="186"/>
      <c r="H267" s="186"/>
      <c r="I267" s="186"/>
      <c r="J267" s="186"/>
      <c r="K267" s="186"/>
      <c r="L267" s="186"/>
      <c r="M267" s="186"/>
    </row>
    <row r="268" spans="1:13" ht="12" customHeight="1">
      <c r="A268" s="136"/>
      <c r="B268" s="140"/>
      <c r="C268" s="189"/>
      <c r="D268" s="203"/>
      <c r="E268" s="190"/>
      <c r="F268" s="167">
        <f>SUM(F261:F267)</f>
        <v>3665</v>
      </c>
      <c r="G268" s="186"/>
      <c r="H268" s="186"/>
      <c r="I268" s="186"/>
      <c r="J268" s="186"/>
      <c r="K268" s="186"/>
      <c r="L268" s="186"/>
      <c r="M268" s="186"/>
    </row>
    <row r="269" spans="1:13" ht="22.5" customHeight="1">
      <c r="A269" s="154">
        <f>A267+1</f>
        <v>214</v>
      </c>
      <c r="B269" s="141" t="s">
        <v>96</v>
      </c>
      <c r="C269" s="189" t="s">
        <v>696</v>
      </c>
      <c r="D269" s="203" t="s">
        <v>79</v>
      </c>
      <c r="E269" s="190" t="s">
        <v>306</v>
      </c>
      <c r="F269" s="187">
        <f>467+30+50+50</f>
        <v>597</v>
      </c>
      <c r="G269" s="186"/>
      <c r="H269" s="186"/>
      <c r="I269" s="186"/>
      <c r="J269" s="186"/>
      <c r="K269" s="186"/>
      <c r="L269" s="186"/>
      <c r="M269" s="186"/>
    </row>
    <row r="270" spans="1:13" ht="12.75" customHeight="1">
      <c r="A270" s="132"/>
      <c r="B270" s="140"/>
      <c r="C270" s="189"/>
      <c r="D270" s="203"/>
      <c r="E270" s="190"/>
      <c r="F270" s="167">
        <f>SUM(F269)</f>
        <v>597</v>
      </c>
      <c r="G270" s="186"/>
      <c r="H270" s="186"/>
      <c r="I270" s="186"/>
      <c r="J270" s="186"/>
      <c r="K270" s="186"/>
      <c r="L270" s="186"/>
      <c r="M270" s="186"/>
    </row>
    <row r="271" spans="1:13" ht="19.5" customHeight="1">
      <c r="A271" s="365"/>
      <c r="B271" s="362" t="s">
        <v>735</v>
      </c>
      <c r="C271" s="366"/>
      <c r="D271" s="367"/>
      <c r="E271" s="366"/>
      <c r="F271" s="368">
        <f>SUM(F270,F268,F260,F256,F253,F250,F245,F239,F235,F229,F212)</f>
        <v>31295</v>
      </c>
      <c r="G271" s="366"/>
      <c r="H271" s="366"/>
      <c r="I271" s="366"/>
      <c r="J271" s="366"/>
      <c r="K271" s="366"/>
      <c r="L271" s="366"/>
      <c r="M271" s="366"/>
    </row>
    <row r="272" spans="1:13" ht="34.5" customHeight="1">
      <c r="A272" s="154">
        <f>A269+1</f>
        <v>215</v>
      </c>
      <c r="B272" s="141" t="s">
        <v>323</v>
      </c>
      <c r="C272" s="189" t="s">
        <v>324</v>
      </c>
      <c r="D272" s="203" t="s">
        <v>79</v>
      </c>
      <c r="E272" s="190" t="s">
        <v>351</v>
      </c>
      <c r="F272" s="187">
        <v>1500</v>
      </c>
      <c r="G272" s="186"/>
      <c r="H272" s="186"/>
      <c r="I272" s="186"/>
      <c r="J272" s="186"/>
      <c r="K272" s="186"/>
      <c r="L272" s="186"/>
      <c r="M272" s="186"/>
    </row>
    <row r="273" spans="1:13" ht="22.5" customHeight="1">
      <c r="A273" s="154">
        <f>A272+1</f>
        <v>216</v>
      </c>
      <c r="B273" s="141" t="s">
        <v>342</v>
      </c>
      <c r="C273" s="189" t="s">
        <v>324</v>
      </c>
      <c r="D273" s="203" t="s">
        <v>79</v>
      </c>
      <c r="E273" s="190" t="s">
        <v>351</v>
      </c>
      <c r="F273" s="187">
        <v>1000</v>
      </c>
      <c r="G273" s="186"/>
      <c r="H273" s="186"/>
      <c r="I273" s="186"/>
      <c r="J273" s="186"/>
      <c r="K273" s="186"/>
      <c r="L273" s="186"/>
      <c r="M273" s="186"/>
    </row>
    <row r="274" spans="1:13" ht="24.75" customHeight="1">
      <c r="A274" s="154">
        <f>A273+1</f>
        <v>217</v>
      </c>
      <c r="B274" s="141" t="s">
        <v>328</v>
      </c>
      <c r="C274" s="189" t="s">
        <v>324</v>
      </c>
      <c r="D274" s="203" t="s">
        <v>79</v>
      </c>
      <c r="E274" s="190" t="s">
        <v>351</v>
      </c>
      <c r="F274" s="187">
        <f>612+30+50+50</f>
        <v>742</v>
      </c>
      <c r="G274" s="186"/>
      <c r="H274" s="186"/>
      <c r="I274" s="186"/>
      <c r="J274" s="186"/>
      <c r="K274" s="186"/>
      <c r="L274" s="186"/>
      <c r="M274" s="186"/>
    </row>
    <row r="275" spans="1:13" ht="21.75" customHeight="1">
      <c r="A275" s="154">
        <f>A274+1</f>
        <v>218</v>
      </c>
      <c r="B275" s="141" t="s">
        <v>135</v>
      </c>
      <c r="C275" s="189" t="s">
        <v>324</v>
      </c>
      <c r="D275" s="203" t="s">
        <v>79</v>
      </c>
      <c r="E275" s="190" t="s">
        <v>351</v>
      </c>
      <c r="F275" s="187">
        <f>617.72+30+50+50</f>
        <v>747.72</v>
      </c>
      <c r="G275" s="186"/>
      <c r="H275" s="186"/>
      <c r="I275" s="186"/>
      <c r="J275" s="186"/>
      <c r="K275" s="186"/>
      <c r="L275" s="186"/>
      <c r="M275" s="186"/>
    </row>
    <row r="276" spans="1:13" ht="21.75" customHeight="1">
      <c r="A276" s="154">
        <f>A275+1</f>
        <v>219</v>
      </c>
      <c r="B276" s="193" t="s">
        <v>629</v>
      </c>
      <c r="C276" s="189" t="s">
        <v>324</v>
      </c>
      <c r="D276" s="203" t="s">
        <v>79</v>
      </c>
      <c r="E276" s="190" t="s">
        <v>351</v>
      </c>
      <c r="F276" s="187">
        <f>667+50</f>
        <v>717</v>
      </c>
      <c r="G276" s="186"/>
      <c r="H276" s="186"/>
      <c r="I276" s="186"/>
      <c r="J276" s="186"/>
      <c r="K276" s="186"/>
      <c r="L276" s="186"/>
      <c r="M276" s="186"/>
    </row>
    <row r="277" spans="1:13" ht="23.25" customHeight="1">
      <c r="A277" s="154">
        <f>A276+1</f>
        <v>220</v>
      </c>
      <c r="B277" s="141" t="s">
        <v>630</v>
      </c>
      <c r="C277" s="189" t="s">
        <v>324</v>
      </c>
      <c r="D277" s="203" t="s">
        <v>79</v>
      </c>
      <c r="E277" s="190" t="s">
        <v>351</v>
      </c>
      <c r="F277" s="187">
        <f>567+30+50+50</f>
        <v>697</v>
      </c>
      <c r="G277" s="186"/>
      <c r="H277" s="186"/>
      <c r="I277" s="186"/>
      <c r="J277" s="186"/>
      <c r="K277" s="186"/>
      <c r="L277" s="186"/>
      <c r="M277" s="186"/>
    </row>
    <row r="278" spans="1:13" ht="21.75" customHeight="1">
      <c r="A278" s="132"/>
      <c r="B278" s="140"/>
      <c r="C278" s="156"/>
      <c r="D278" s="203"/>
      <c r="E278" s="190"/>
      <c r="F278" s="167">
        <f>SUM(F272:F277)</f>
        <v>5403.72</v>
      </c>
      <c r="G278" s="186"/>
      <c r="H278" s="186"/>
      <c r="I278" s="186"/>
      <c r="J278" s="186"/>
      <c r="K278" s="186"/>
      <c r="L278" s="186"/>
      <c r="M278" s="186"/>
    </row>
    <row r="279" spans="1:13" ht="21.75" customHeight="1">
      <c r="A279" s="154">
        <f>A277+1</f>
        <v>221</v>
      </c>
      <c r="B279" s="141" t="s">
        <v>697</v>
      </c>
      <c r="C279" s="189" t="s">
        <v>693</v>
      </c>
      <c r="D279" s="203" t="s">
        <v>79</v>
      </c>
      <c r="E279" s="190" t="s">
        <v>351</v>
      </c>
      <c r="F279" s="187">
        <v>1000</v>
      </c>
      <c r="G279" s="186"/>
      <c r="H279" s="186"/>
      <c r="I279" s="186"/>
      <c r="J279" s="186"/>
      <c r="K279" s="186"/>
      <c r="L279" s="186"/>
      <c r="M279" s="186"/>
    </row>
    <row r="280" spans="1:13" ht="24" customHeight="1">
      <c r="A280" s="154">
        <f t="shared" ref="A280:A289" si="23">A279+1</f>
        <v>222</v>
      </c>
      <c r="B280" s="141" t="s">
        <v>342</v>
      </c>
      <c r="C280" s="189" t="s">
        <v>693</v>
      </c>
      <c r="D280" s="203" t="s">
        <v>79</v>
      </c>
      <c r="E280" s="190" t="s">
        <v>351</v>
      </c>
      <c r="F280" s="187">
        <v>850</v>
      </c>
      <c r="G280" s="186"/>
      <c r="H280" s="186"/>
      <c r="I280" s="186"/>
      <c r="J280" s="186"/>
      <c r="K280" s="186"/>
      <c r="L280" s="186"/>
      <c r="M280" s="186"/>
    </row>
    <row r="281" spans="1:13" ht="21.75" customHeight="1">
      <c r="A281" s="154">
        <f t="shared" si="23"/>
        <v>223</v>
      </c>
      <c r="B281" s="141" t="s">
        <v>308</v>
      </c>
      <c r="C281" s="189" t="s">
        <v>693</v>
      </c>
      <c r="D281" s="203" t="s">
        <v>79</v>
      </c>
      <c r="E281" s="190" t="s">
        <v>351</v>
      </c>
      <c r="F281" s="187">
        <v>600</v>
      </c>
      <c r="G281" s="186"/>
      <c r="H281" s="186"/>
      <c r="I281" s="186"/>
      <c r="J281" s="186"/>
      <c r="K281" s="186"/>
      <c r="L281" s="186"/>
      <c r="M281" s="186"/>
    </row>
    <row r="282" spans="1:13" ht="21" customHeight="1">
      <c r="A282" s="154">
        <f t="shared" si="23"/>
        <v>224</v>
      </c>
      <c r="B282" s="141" t="s">
        <v>657</v>
      </c>
      <c r="C282" s="189" t="s">
        <v>693</v>
      </c>
      <c r="D282" s="203" t="s">
        <v>79</v>
      </c>
      <c r="E282" s="190" t="s">
        <v>351</v>
      </c>
      <c r="F282" s="187">
        <f>547+50</f>
        <v>597</v>
      </c>
      <c r="G282" s="200"/>
      <c r="H282" s="200"/>
      <c r="I282" s="200"/>
      <c r="J282" s="200"/>
      <c r="K282" s="200"/>
      <c r="L282" s="200"/>
      <c r="M282" s="200"/>
    </row>
    <row r="283" spans="1:13" ht="20.25" customHeight="1">
      <c r="A283" s="154">
        <f t="shared" si="23"/>
        <v>225</v>
      </c>
      <c r="B283" s="141" t="s">
        <v>312</v>
      </c>
      <c r="C283" s="189" t="s">
        <v>693</v>
      </c>
      <c r="D283" s="203" t="s">
        <v>79</v>
      </c>
      <c r="E283" s="190" t="s">
        <v>351</v>
      </c>
      <c r="F283" s="187">
        <v>817</v>
      </c>
      <c r="G283" s="186"/>
      <c r="H283" s="186"/>
      <c r="I283" s="186"/>
      <c r="J283" s="186"/>
      <c r="K283" s="186"/>
      <c r="L283" s="186"/>
      <c r="M283" s="186"/>
    </row>
    <row r="284" spans="1:13" ht="26.25" customHeight="1">
      <c r="A284" s="154">
        <f t="shared" si="23"/>
        <v>226</v>
      </c>
      <c r="B284" s="141" t="s">
        <v>315</v>
      </c>
      <c r="C284" s="189" t="s">
        <v>693</v>
      </c>
      <c r="D284" s="203" t="s">
        <v>79</v>
      </c>
      <c r="E284" s="190" t="s">
        <v>351</v>
      </c>
      <c r="F284" s="187">
        <f>600+50</f>
        <v>650</v>
      </c>
      <c r="G284" s="186"/>
      <c r="H284" s="186"/>
      <c r="I284" s="186"/>
      <c r="J284" s="186"/>
      <c r="K284" s="186"/>
      <c r="L284" s="186"/>
      <c r="M284" s="186"/>
    </row>
    <row r="285" spans="1:13" ht="21.75" customHeight="1">
      <c r="A285" s="154">
        <f t="shared" si="23"/>
        <v>227</v>
      </c>
      <c r="B285" s="141" t="s">
        <v>317</v>
      </c>
      <c r="C285" s="189" t="s">
        <v>693</v>
      </c>
      <c r="D285" s="203" t="s">
        <v>79</v>
      </c>
      <c r="E285" s="190" t="s">
        <v>351</v>
      </c>
      <c r="F285" s="187">
        <v>497</v>
      </c>
      <c r="G285" s="200"/>
      <c r="H285" s="200"/>
      <c r="I285" s="200"/>
      <c r="J285" s="200"/>
      <c r="K285" s="200"/>
      <c r="L285" s="200"/>
      <c r="M285" s="200"/>
    </row>
    <row r="286" spans="1:13" ht="21.75" customHeight="1">
      <c r="A286" s="154">
        <f t="shared" si="23"/>
        <v>228</v>
      </c>
      <c r="B286" s="141" t="s">
        <v>317</v>
      </c>
      <c r="C286" s="189" t="s">
        <v>693</v>
      </c>
      <c r="D286" s="203" t="s">
        <v>79</v>
      </c>
      <c r="E286" s="190" t="s">
        <v>351</v>
      </c>
      <c r="F286" s="187">
        <f>497+20</f>
        <v>517</v>
      </c>
      <c r="G286" s="200"/>
      <c r="H286" s="200"/>
      <c r="I286" s="200"/>
      <c r="J286" s="200"/>
      <c r="K286" s="200"/>
      <c r="L286" s="200"/>
      <c r="M286" s="200"/>
    </row>
    <row r="287" spans="1:13" ht="21.75" customHeight="1">
      <c r="A287" s="154">
        <f t="shared" si="23"/>
        <v>229</v>
      </c>
      <c r="B287" s="141" t="s">
        <v>319</v>
      </c>
      <c r="C287" s="189" t="s">
        <v>693</v>
      </c>
      <c r="D287" s="203" t="s">
        <v>79</v>
      </c>
      <c r="E287" s="190" t="s">
        <v>351</v>
      </c>
      <c r="F287" s="187">
        <v>417</v>
      </c>
      <c r="G287" s="200"/>
      <c r="H287" s="200"/>
      <c r="I287" s="200"/>
      <c r="J287" s="200"/>
      <c r="K287" s="200"/>
      <c r="L287" s="200"/>
      <c r="M287" s="200"/>
    </row>
    <row r="288" spans="1:13" ht="21.75" customHeight="1">
      <c r="A288" s="154">
        <f t="shared" si="23"/>
        <v>230</v>
      </c>
      <c r="B288" s="141" t="s">
        <v>319</v>
      </c>
      <c r="C288" s="189" t="s">
        <v>693</v>
      </c>
      <c r="D288" s="203" t="s">
        <v>79</v>
      </c>
      <c r="E288" s="190" t="s">
        <v>351</v>
      </c>
      <c r="F288" s="187">
        <v>417</v>
      </c>
      <c r="G288" s="200"/>
      <c r="H288" s="200"/>
      <c r="I288" s="200"/>
      <c r="J288" s="200"/>
      <c r="K288" s="200"/>
      <c r="L288" s="200"/>
      <c r="M288" s="200"/>
    </row>
    <row r="289" spans="1:14" ht="25.5" customHeight="1">
      <c r="A289" s="154">
        <f t="shared" si="23"/>
        <v>231</v>
      </c>
      <c r="B289" s="141" t="s">
        <v>319</v>
      </c>
      <c r="C289" s="189" t="s">
        <v>693</v>
      </c>
      <c r="D289" s="203" t="s">
        <v>79</v>
      </c>
      <c r="E289" s="190" t="s">
        <v>351</v>
      </c>
      <c r="F289" s="187">
        <v>417</v>
      </c>
      <c r="G289" s="186"/>
      <c r="H289" s="186"/>
      <c r="I289" s="186"/>
      <c r="J289" s="186"/>
      <c r="K289" s="186"/>
      <c r="L289" s="186"/>
      <c r="M289" s="186"/>
    </row>
    <row r="290" spans="1:14" ht="17.25" customHeight="1">
      <c r="A290" s="132"/>
      <c r="B290" s="140"/>
      <c r="C290" s="189"/>
      <c r="D290" s="203"/>
      <c r="E290" s="190"/>
      <c r="F290" s="167">
        <f>SUM(F279:F289)</f>
        <v>6779</v>
      </c>
      <c r="G290" s="186"/>
      <c r="H290" s="186"/>
      <c r="I290" s="186"/>
      <c r="J290" s="186"/>
      <c r="K290" s="186"/>
      <c r="L290" s="186"/>
      <c r="M290" s="186"/>
    </row>
    <row r="291" spans="1:14" ht="17.25" customHeight="1">
      <c r="A291" s="136"/>
      <c r="B291" s="362" t="s">
        <v>616</v>
      </c>
      <c r="C291" s="362"/>
      <c r="D291" s="363"/>
      <c r="E291" s="362"/>
      <c r="F291" s="369">
        <f>SUM(F290,F278)</f>
        <v>12182.720000000001</v>
      </c>
      <c r="G291" s="355"/>
      <c r="H291" s="355"/>
      <c r="I291" s="355"/>
      <c r="J291" s="355"/>
      <c r="K291" s="355"/>
      <c r="L291" s="355"/>
      <c r="M291" s="355"/>
    </row>
    <row r="292" spans="1:14" ht="24" customHeight="1">
      <c r="A292" s="154">
        <f>A289+1</f>
        <v>232</v>
      </c>
      <c r="B292" s="168" t="s">
        <v>451</v>
      </c>
      <c r="C292" s="189" t="s">
        <v>452</v>
      </c>
      <c r="D292" s="203" t="s">
        <v>79</v>
      </c>
      <c r="E292" s="190" t="s">
        <v>668</v>
      </c>
      <c r="F292" s="187">
        <v>1000</v>
      </c>
      <c r="G292" s="230">
        <f>F292/2*0.3</f>
        <v>150</v>
      </c>
      <c r="H292" s="230">
        <f>ROUND(G292*8.75%,2)</f>
        <v>13.13</v>
      </c>
      <c r="I292" s="230"/>
      <c r="J292" s="230"/>
      <c r="K292" s="230">
        <f>ROUND(G292*0.075,2)</f>
        <v>11.25</v>
      </c>
      <c r="L292" s="230">
        <f>ROUND(G292*0.01,2)</f>
        <v>1.5</v>
      </c>
      <c r="M292" s="370">
        <f>SUM(G292:L292)</f>
        <v>175.88</v>
      </c>
      <c r="N292" s="199"/>
    </row>
    <row r="293" spans="1:14" ht="21.75" customHeight="1">
      <c r="A293" s="154">
        <f t="shared" ref="A293:A315" si="24">A292+1</f>
        <v>233</v>
      </c>
      <c r="B293" s="168" t="s">
        <v>454</v>
      </c>
      <c r="C293" s="189" t="s">
        <v>452</v>
      </c>
      <c r="D293" s="203" t="s">
        <v>79</v>
      </c>
      <c r="E293" s="190" t="s">
        <v>668</v>
      </c>
      <c r="F293" s="187">
        <v>925</v>
      </c>
      <c r="G293" s="230">
        <f>F293/2*0.3</f>
        <v>138.75</v>
      </c>
      <c r="H293" s="230">
        <f>ROUND(G293*8.75%,2)</f>
        <v>12.14</v>
      </c>
      <c r="I293" s="230"/>
      <c r="J293" s="230"/>
      <c r="K293" s="230">
        <f>ROUND(G293*0.075,2)</f>
        <v>10.41</v>
      </c>
      <c r="L293" s="230">
        <f>ROUND(G293*0.01,2)</f>
        <v>1.39</v>
      </c>
      <c r="M293" s="370">
        <f>SUM(G293:L293)</f>
        <v>162.68999999999997</v>
      </c>
    </row>
    <row r="294" spans="1:14" ht="24" customHeight="1">
      <c r="A294" s="154">
        <f>A293+1</f>
        <v>234</v>
      </c>
      <c r="B294" s="194" t="s">
        <v>162</v>
      </c>
      <c r="C294" s="189" t="s">
        <v>452</v>
      </c>
      <c r="D294" s="203" t="s">
        <v>79</v>
      </c>
      <c r="E294" s="190" t="s">
        <v>668</v>
      </c>
      <c r="F294" s="187">
        <v>500</v>
      </c>
      <c r="G294" s="200"/>
      <c r="H294" s="200"/>
      <c r="I294" s="200"/>
      <c r="J294" s="200"/>
      <c r="K294" s="200"/>
      <c r="L294" s="200"/>
      <c r="M294" s="200"/>
    </row>
    <row r="295" spans="1:14" ht="21.75" customHeight="1">
      <c r="A295" s="154">
        <f>A294+1</f>
        <v>235</v>
      </c>
      <c r="B295" s="168" t="s">
        <v>83</v>
      </c>
      <c r="C295" s="189" t="s">
        <v>452</v>
      </c>
      <c r="D295" s="203" t="s">
        <v>79</v>
      </c>
      <c r="E295" s="190" t="s">
        <v>668</v>
      </c>
      <c r="F295" s="187">
        <v>597</v>
      </c>
      <c r="G295" s="200"/>
      <c r="H295" s="200"/>
      <c r="I295" s="200"/>
      <c r="J295" s="200"/>
      <c r="K295" s="200"/>
      <c r="L295" s="200"/>
      <c r="M295" s="200"/>
    </row>
    <row r="296" spans="1:14" ht="21" customHeight="1">
      <c r="A296" s="154">
        <f>A295+1</f>
        <v>236</v>
      </c>
      <c r="B296" s="168" t="s">
        <v>682</v>
      </c>
      <c r="C296" s="189" t="s">
        <v>452</v>
      </c>
      <c r="D296" s="203" t="s">
        <v>79</v>
      </c>
      <c r="E296" s="190" t="s">
        <v>668</v>
      </c>
      <c r="F296" s="187">
        <f>497+50</f>
        <v>547</v>
      </c>
      <c r="G296" s="200"/>
      <c r="H296" s="200"/>
      <c r="I296" s="200"/>
      <c r="J296" s="200"/>
      <c r="K296" s="200"/>
      <c r="L296" s="200"/>
      <c r="M296" s="200"/>
    </row>
    <row r="297" spans="1:14" ht="14.25" customHeight="1">
      <c r="A297" s="154"/>
      <c r="B297" s="371" t="s">
        <v>457</v>
      </c>
      <c r="C297" s="189"/>
      <c r="D297" s="203"/>
      <c r="E297" s="190"/>
      <c r="F297" s="167"/>
      <c r="G297" s="200"/>
      <c r="H297" s="200"/>
      <c r="I297" s="200"/>
      <c r="J297" s="200"/>
      <c r="K297" s="200"/>
      <c r="L297" s="200"/>
      <c r="M297" s="200"/>
    </row>
    <row r="298" spans="1:14" ht="21.75" customHeight="1">
      <c r="A298" s="154">
        <f>A296+1</f>
        <v>237</v>
      </c>
      <c r="B298" s="168" t="s">
        <v>459</v>
      </c>
      <c r="C298" s="189" t="s">
        <v>452</v>
      </c>
      <c r="D298" s="203" t="s">
        <v>79</v>
      </c>
      <c r="E298" s="190" t="s">
        <v>668</v>
      </c>
      <c r="F298" s="187">
        <v>700</v>
      </c>
      <c r="G298" s="230">
        <f>F298/2*0.3</f>
        <v>105</v>
      </c>
      <c r="H298" s="230">
        <f>ROUND(G298*8.75%,2)</f>
        <v>9.19</v>
      </c>
      <c r="I298" s="230"/>
      <c r="J298" s="230"/>
      <c r="K298" s="230">
        <f t="shared" ref="K298:K315" si="25">ROUND(G298*0.075,2)</f>
        <v>7.88</v>
      </c>
      <c r="L298" s="230">
        <f t="shared" ref="L298:L315" si="26">ROUND(G298*0.01,2)</f>
        <v>1.05</v>
      </c>
      <c r="M298" s="370">
        <f>SUM(G298:L298)</f>
        <v>123.11999999999999</v>
      </c>
    </row>
    <row r="299" spans="1:14" ht="20.25" customHeight="1">
      <c r="A299" s="154">
        <f t="shared" si="24"/>
        <v>238</v>
      </c>
      <c r="B299" s="168" t="s">
        <v>461</v>
      </c>
      <c r="C299" s="189" t="s">
        <v>452</v>
      </c>
      <c r="D299" s="203" t="s">
        <v>79</v>
      </c>
      <c r="E299" s="190" t="s">
        <v>668</v>
      </c>
      <c r="F299" s="187">
        <f>712+30+50+50</f>
        <v>842</v>
      </c>
      <c r="G299" s="230">
        <f t="shared" ref="G299:G315" si="27">F299/2*0.3</f>
        <v>126.3</v>
      </c>
      <c r="H299" s="230">
        <f t="shared" ref="H299:H315" si="28">ROUND(G299*8.75%,2)</f>
        <v>11.05</v>
      </c>
      <c r="I299" s="230"/>
      <c r="J299" s="230"/>
      <c r="K299" s="230">
        <f t="shared" si="25"/>
        <v>9.4700000000000006</v>
      </c>
      <c r="L299" s="230">
        <f t="shared" si="26"/>
        <v>1.26</v>
      </c>
      <c r="M299" s="370">
        <f t="shared" ref="M299:M362" si="29">SUM(G299:L299)</f>
        <v>148.07999999999998</v>
      </c>
    </row>
    <row r="300" spans="1:14" ht="25.5" customHeight="1">
      <c r="A300" s="154">
        <f t="shared" si="24"/>
        <v>239</v>
      </c>
      <c r="B300" s="168" t="s">
        <v>461</v>
      </c>
      <c r="C300" s="189" t="s">
        <v>452</v>
      </c>
      <c r="D300" s="203" t="s">
        <v>79</v>
      </c>
      <c r="E300" s="190" t="s">
        <v>668</v>
      </c>
      <c r="F300" s="187">
        <f>694.29+30+50+50</f>
        <v>824.29</v>
      </c>
      <c r="G300" s="230">
        <f t="shared" si="27"/>
        <v>123.64349999999999</v>
      </c>
      <c r="H300" s="230">
        <f t="shared" si="28"/>
        <v>10.82</v>
      </c>
      <c r="I300" s="230"/>
      <c r="J300" s="230"/>
      <c r="K300" s="230">
        <f t="shared" si="25"/>
        <v>9.27</v>
      </c>
      <c r="L300" s="230">
        <f t="shared" si="26"/>
        <v>1.24</v>
      </c>
      <c r="M300" s="370">
        <f t="shared" si="29"/>
        <v>144.9735</v>
      </c>
    </row>
    <row r="301" spans="1:14" ht="21" customHeight="1">
      <c r="A301" s="154">
        <f t="shared" si="24"/>
        <v>240</v>
      </c>
      <c r="B301" s="168" t="s">
        <v>464</v>
      </c>
      <c r="C301" s="189" t="s">
        <v>452</v>
      </c>
      <c r="D301" s="203" t="s">
        <v>79</v>
      </c>
      <c r="E301" s="190" t="s">
        <v>668</v>
      </c>
      <c r="F301" s="187">
        <f>547+30+50+50</f>
        <v>677</v>
      </c>
      <c r="G301" s="230">
        <f t="shared" si="27"/>
        <v>101.55</v>
      </c>
      <c r="H301" s="230">
        <f t="shared" si="28"/>
        <v>8.89</v>
      </c>
      <c r="I301" s="230"/>
      <c r="J301" s="230"/>
      <c r="K301" s="230">
        <f t="shared" si="25"/>
        <v>7.62</v>
      </c>
      <c r="L301" s="230">
        <f t="shared" si="26"/>
        <v>1.02</v>
      </c>
      <c r="M301" s="370">
        <f t="shared" si="29"/>
        <v>119.08</v>
      </c>
    </row>
    <row r="302" spans="1:14" ht="25.5" customHeight="1">
      <c r="A302" s="154">
        <f t="shared" si="24"/>
        <v>241</v>
      </c>
      <c r="B302" s="168" t="s">
        <v>464</v>
      </c>
      <c r="C302" s="189" t="s">
        <v>452</v>
      </c>
      <c r="D302" s="203" t="s">
        <v>79</v>
      </c>
      <c r="E302" s="190" t="s">
        <v>668</v>
      </c>
      <c r="F302" s="187">
        <f>547+30+50+50</f>
        <v>677</v>
      </c>
      <c r="G302" s="230">
        <f t="shared" si="27"/>
        <v>101.55</v>
      </c>
      <c r="H302" s="230">
        <f t="shared" si="28"/>
        <v>8.89</v>
      </c>
      <c r="I302" s="230"/>
      <c r="J302" s="230"/>
      <c r="K302" s="230">
        <f t="shared" si="25"/>
        <v>7.62</v>
      </c>
      <c r="L302" s="230">
        <f t="shared" si="26"/>
        <v>1.02</v>
      </c>
      <c r="M302" s="370">
        <f t="shared" si="29"/>
        <v>119.08</v>
      </c>
    </row>
    <row r="303" spans="1:14" ht="22.5" customHeight="1">
      <c r="A303" s="154">
        <f t="shared" si="24"/>
        <v>242</v>
      </c>
      <c r="B303" s="168" t="s">
        <v>632</v>
      </c>
      <c r="C303" s="189" t="s">
        <v>452</v>
      </c>
      <c r="D303" s="203" t="s">
        <v>79</v>
      </c>
      <c r="E303" s="190" t="s">
        <v>668</v>
      </c>
      <c r="F303" s="187">
        <f>467+30+50+50</f>
        <v>597</v>
      </c>
      <c r="G303" s="230">
        <f t="shared" si="27"/>
        <v>89.55</v>
      </c>
      <c r="H303" s="230">
        <f t="shared" si="28"/>
        <v>7.84</v>
      </c>
      <c r="I303" s="230"/>
      <c r="J303" s="230"/>
      <c r="K303" s="230">
        <f t="shared" si="25"/>
        <v>6.72</v>
      </c>
      <c r="L303" s="230">
        <f t="shared" si="26"/>
        <v>0.9</v>
      </c>
      <c r="M303" s="370">
        <f t="shared" si="29"/>
        <v>105.01</v>
      </c>
    </row>
    <row r="304" spans="1:14" ht="27" customHeight="1">
      <c r="A304" s="154">
        <f t="shared" si="24"/>
        <v>243</v>
      </c>
      <c r="B304" s="168" t="s">
        <v>632</v>
      </c>
      <c r="C304" s="189" t="s">
        <v>452</v>
      </c>
      <c r="D304" s="203" t="s">
        <v>79</v>
      </c>
      <c r="E304" s="190" t="s">
        <v>668</v>
      </c>
      <c r="F304" s="187">
        <f>417+30+50</f>
        <v>497</v>
      </c>
      <c r="G304" s="230">
        <f t="shared" si="27"/>
        <v>74.55</v>
      </c>
      <c r="H304" s="230">
        <f t="shared" si="28"/>
        <v>6.52</v>
      </c>
      <c r="I304" s="230"/>
      <c r="J304" s="230"/>
      <c r="K304" s="230">
        <f t="shared" si="25"/>
        <v>5.59</v>
      </c>
      <c r="L304" s="230">
        <f t="shared" si="26"/>
        <v>0.75</v>
      </c>
      <c r="M304" s="370">
        <f t="shared" si="29"/>
        <v>87.41</v>
      </c>
    </row>
    <row r="305" spans="1:13" ht="23.25" customHeight="1">
      <c r="A305" s="154">
        <f t="shared" si="24"/>
        <v>244</v>
      </c>
      <c r="B305" s="168" t="s">
        <v>683</v>
      </c>
      <c r="C305" s="189" t="s">
        <v>452</v>
      </c>
      <c r="D305" s="203" t="s">
        <v>79</v>
      </c>
      <c r="E305" s="190" t="s">
        <v>668</v>
      </c>
      <c r="F305" s="187">
        <f>669.15+30+50+50</f>
        <v>799.15</v>
      </c>
      <c r="G305" s="230">
        <f t="shared" si="27"/>
        <v>119.87249999999999</v>
      </c>
      <c r="H305" s="230">
        <f t="shared" si="28"/>
        <v>10.49</v>
      </c>
      <c r="I305" s="230"/>
      <c r="J305" s="230"/>
      <c r="K305" s="230">
        <f t="shared" si="25"/>
        <v>8.99</v>
      </c>
      <c r="L305" s="230">
        <f t="shared" si="26"/>
        <v>1.2</v>
      </c>
      <c r="M305" s="370">
        <f t="shared" si="29"/>
        <v>140.55249999999998</v>
      </c>
    </row>
    <row r="306" spans="1:13" ht="22.5" customHeight="1">
      <c r="A306" s="154">
        <f t="shared" si="24"/>
        <v>245</v>
      </c>
      <c r="B306" s="168" t="s">
        <v>683</v>
      </c>
      <c r="C306" s="189" t="s">
        <v>452</v>
      </c>
      <c r="D306" s="203" t="s">
        <v>79</v>
      </c>
      <c r="E306" s="190" t="s">
        <v>668</v>
      </c>
      <c r="F306" s="187">
        <f>669.15+30+50+50</f>
        <v>799.15</v>
      </c>
      <c r="G306" s="230">
        <f t="shared" si="27"/>
        <v>119.87249999999999</v>
      </c>
      <c r="H306" s="230">
        <f t="shared" si="28"/>
        <v>10.49</v>
      </c>
      <c r="I306" s="230"/>
      <c r="J306" s="230"/>
      <c r="K306" s="230">
        <f t="shared" si="25"/>
        <v>8.99</v>
      </c>
      <c r="L306" s="230">
        <f t="shared" si="26"/>
        <v>1.2</v>
      </c>
      <c r="M306" s="370">
        <f t="shared" si="29"/>
        <v>140.55249999999998</v>
      </c>
    </row>
    <row r="307" spans="1:13" ht="22.5" customHeight="1">
      <c r="A307" s="154">
        <f t="shared" si="24"/>
        <v>246</v>
      </c>
      <c r="B307" s="168" t="s">
        <v>470</v>
      </c>
      <c r="C307" s="189" t="s">
        <v>452</v>
      </c>
      <c r="D307" s="203" t="s">
        <v>79</v>
      </c>
      <c r="E307" s="190" t="s">
        <v>668</v>
      </c>
      <c r="F307" s="187">
        <f>621.72+30+50+50</f>
        <v>751.72</v>
      </c>
      <c r="G307" s="230">
        <f t="shared" si="27"/>
        <v>112.758</v>
      </c>
      <c r="H307" s="230">
        <f t="shared" si="28"/>
        <v>9.8699999999999992</v>
      </c>
      <c r="I307" s="230"/>
      <c r="J307" s="230"/>
      <c r="K307" s="230">
        <f t="shared" si="25"/>
        <v>8.4600000000000009</v>
      </c>
      <c r="L307" s="230">
        <f t="shared" si="26"/>
        <v>1.1299999999999999</v>
      </c>
      <c r="M307" s="370">
        <f t="shared" si="29"/>
        <v>132.21799999999999</v>
      </c>
    </row>
    <row r="308" spans="1:13" ht="24" customHeight="1">
      <c r="A308" s="154">
        <f t="shared" si="24"/>
        <v>247</v>
      </c>
      <c r="B308" s="168" t="s">
        <v>473</v>
      </c>
      <c r="C308" s="189" t="s">
        <v>452</v>
      </c>
      <c r="D308" s="203" t="s">
        <v>79</v>
      </c>
      <c r="E308" s="190" t="s">
        <v>668</v>
      </c>
      <c r="F308" s="187">
        <f>547+50</f>
        <v>597</v>
      </c>
      <c r="G308" s="230">
        <f t="shared" si="27"/>
        <v>89.55</v>
      </c>
      <c r="H308" s="230">
        <f t="shared" si="28"/>
        <v>7.84</v>
      </c>
      <c r="I308" s="230"/>
      <c r="J308" s="230"/>
      <c r="K308" s="230">
        <f t="shared" si="25"/>
        <v>6.72</v>
      </c>
      <c r="L308" s="230">
        <f t="shared" si="26"/>
        <v>0.9</v>
      </c>
      <c r="M308" s="370">
        <f t="shared" si="29"/>
        <v>105.01</v>
      </c>
    </row>
    <row r="309" spans="1:13" ht="23.25" customHeight="1">
      <c r="A309" s="154">
        <f t="shared" si="24"/>
        <v>248</v>
      </c>
      <c r="B309" s="168" t="s">
        <v>473</v>
      </c>
      <c r="C309" s="189" t="s">
        <v>452</v>
      </c>
      <c r="D309" s="203" t="s">
        <v>79</v>
      </c>
      <c r="E309" s="190" t="s">
        <v>648</v>
      </c>
      <c r="F309" s="187">
        <v>597</v>
      </c>
      <c r="G309" s="230">
        <f t="shared" si="27"/>
        <v>89.55</v>
      </c>
      <c r="H309" s="230">
        <f t="shared" si="28"/>
        <v>7.84</v>
      </c>
      <c r="I309" s="230"/>
      <c r="J309" s="230"/>
      <c r="K309" s="230">
        <f t="shared" si="25"/>
        <v>6.72</v>
      </c>
      <c r="L309" s="230">
        <f t="shared" si="26"/>
        <v>0.9</v>
      </c>
      <c r="M309" s="370">
        <f t="shared" si="29"/>
        <v>105.01</v>
      </c>
    </row>
    <row r="310" spans="1:13" ht="20.25" customHeight="1">
      <c r="A310" s="154">
        <f t="shared" si="24"/>
        <v>249</v>
      </c>
      <c r="B310" s="168" t="s">
        <v>473</v>
      </c>
      <c r="C310" s="189" t="s">
        <v>452</v>
      </c>
      <c r="D310" s="203" t="s">
        <v>79</v>
      </c>
      <c r="E310" s="190" t="s">
        <v>668</v>
      </c>
      <c r="F310" s="187">
        <f>614.86+30+50+50</f>
        <v>744.86</v>
      </c>
      <c r="G310" s="230">
        <f t="shared" si="27"/>
        <v>111.729</v>
      </c>
      <c r="H310" s="230">
        <f t="shared" si="28"/>
        <v>9.7799999999999994</v>
      </c>
      <c r="I310" s="230"/>
      <c r="J310" s="230"/>
      <c r="K310" s="230">
        <f t="shared" si="25"/>
        <v>8.3800000000000008</v>
      </c>
      <c r="L310" s="230">
        <f t="shared" si="26"/>
        <v>1.1200000000000001</v>
      </c>
      <c r="M310" s="370">
        <f t="shared" si="29"/>
        <v>131.00900000000001</v>
      </c>
    </row>
    <row r="311" spans="1:13" ht="20.25" customHeight="1">
      <c r="A311" s="154">
        <f t="shared" si="24"/>
        <v>250</v>
      </c>
      <c r="B311" s="168" t="s">
        <v>475</v>
      </c>
      <c r="C311" s="189" t="s">
        <v>452</v>
      </c>
      <c r="D311" s="203" t="s">
        <v>79</v>
      </c>
      <c r="E311" s="190" t="s">
        <v>668</v>
      </c>
      <c r="F311" s="187">
        <f>517+30+50+50</f>
        <v>647</v>
      </c>
      <c r="G311" s="230">
        <f t="shared" si="27"/>
        <v>97.05</v>
      </c>
      <c r="H311" s="230">
        <f t="shared" si="28"/>
        <v>8.49</v>
      </c>
      <c r="I311" s="230"/>
      <c r="J311" s="230"/>
      <c r="K311" s="230">
        <f t="shared" si="25"/>
        <v>7.28</v>
      </c>
      <c r="L311" s="230">
        <f t="shared" si="26"/>
        <v>0.97</v>
      </c>
      <c r="M311" s="370">
        <f t="shared" si="29"/>
        <v>113.78999999999999</v>
      </c>
    </row>
    <row r="312" spans="1:13" ht="20.25" customHeight="1">
      <c r="A312" s="154">
        <f t="shared" si="24"/>
        <v>251</v>
      </c>
      <c r="B312" s="168" t="s">
        <v>651</v>
      </c>
      <c r="C312" s="189" t="s">
        <v>452</v>
      </c>
      <c r="D312" s="203" t="s">
        <v>79</v>
      </c>
      <c r="E312" s="190" t="s">
        <v>668</v>
      </c>
      <c r="F312" s="187">
        <v>497</v>
      </c>
      <c r="G312" s="230">
        <f t="shared" si="27"/>
        <v>74.55</v>
      </c>
      <c r="H312" s="230">
        <f t="shared" si="28"/>
        <v>6.52</v>
      </c>
      <c r="I312" s="230"/>
      <c r="J312" s="230"/>
      <c r="K312" s="230">
        <f t="shared" si="25"/>
        <v>5.59</v>
      </c>
      <c r="L312" s="230">
        <f t="shared" si="26"/>
        <v>0.75</v>
      </c>
      <c r="M312" s="370">
        <f t="shared" si="29"/>
        <v>87.41</v>
      </c>
    </row>
    <row r="313" spans="1:13" ht="20.25" customHeight="1">
      <c r="A313" s="154">
        <f t="shared" si="24"/>
        <v>252</v>
      </c>
      <c r="B313" s="168" t="s">
        <v>651</v>
      </c>
      <c r="C313" s="189" t="s">
        <v>452</v>
      </c>
      <c r="D313" s="203" t="s">
        <v>79</v>
      </c>
      <c r="E313" s="190" t="s">
        <v>668</v>
      </c>
      <c r="F313" s="187">
        <f>417+50+50</f>
        <v>517</v>
      </c>
      <c r="G313" s="230">
        <f t="shared" si="27"/>
        <v>77.55</v>
      </c>
      <c r="H313" s="230">
        <f t="shared" si="28"/>
        <v>6.79</v>
      </c>
      <c r="I313" s="230"/>
      <c r="J313" s="230"/>
      <c r="K313" s="230">
        <f t="shared" si="25"/>
        <v>5.82</v>
      </c>
      <c r="L313" s="230">
        <f t="shared" si="26"/>
        <v>0.78</v>
      </c>
      <c r="M313" s="370">
        <f t="shared" si="29"/>
        <v>90.94</v>
      </c>
    </row>
    <row r="314" spans="1:13" ht="20.25" customHeight="1">
      <c r="A314" s="154">
        <f t="shared" si="24"/>
        <v>253</v>
      </c>
      <c r="B314" s="168" t="s">
        <v>651</v>
      </c>
      <c r="C314" s="189" t="s">
        <v>452</v>
      </c>
      <c r="D314" s="203" t="s">
        <v>79</v>
      </c>
      <c r="E314" s="190" t="s">
        <v>668</v>
      </c>
      <c r="F314" s="187">
        <f>417</f>
        <v>417</v>
      </c>
      <c r="G314" s="230">
        <f t="shared" si="27"/>
        <v>62.55</v>
      </c>
      <c r="H314" s="230">
        <f t="shared" si="28"/>
        <v>5.47</v>
      </c>
      <c r="I314" s="230"/>
      <c r="J314" s="230"/>
      <c r="K314" s="230">
        <f t="shared" si="25"/>
        <v>4.6900000000000004</v>
      </c>
      <c r="L314" s="230">
        <f t="shared" si="26"/>
        <v>0.63</v>
      </c>
      <c r="M314" s="370">
        <f t="shared" si="29"/>
        <v>73.339999999999989</v>
      </c>
    </row>
    <row r="315" spans="1:13" ht="20.25" customHeight="1">
      <c r="A315" s="154">
        <f t="shared" si="24"/>
        <v>254</v>
      </c>
      <c r="B315" s="168" t="s">
        <v>485</v>
      </c>
      <c r="C315" s="189" t="s">
        <v>452</v>
      </c>
      <c r="D315" s="203" t="s">
        <v>79</v>
      </c>
      <c r="E315" s="190" t="s">
        <v>668</v>
      </c>
      <c r="F315" s="187">
        <f>547+30+50+50</f>
        <v>677</v>
      </c>
      <c r="G315" s="230">
        <f t="shared" si="27"/>
        <v>101.55</v>
      </c>
      <c r="H315" s="230">
        <f t="shared" si="28"/>
        <v>8.89</v>
      </c>
      <c r="I315" s="230"/>
      <c r="J315" s="230"/>
      <c r="K315" s="230">
        <f t="shared" si="25"/>
        <v>7.62</v>
      </c>
      <c r="L315" s="230">
        <f t="shared" si="26"/>
        <v>1.02</v>
      </c>
      <c r="M315" s="370">
        <f t="shared" si="29"/>
        <v>119.08</v>
      </c>
    </row>
    <row r="316" spans="1:13" ht="15.75" customHeight="1">
      <c r="A316" s="154"/>
      <c r="B316" s="371" t="s">
        <v>486</v>
      </c>
      <c r="C316" s="189"/>
      <c r="D316" s="203"/>
      <c r="E316" s="190"/>
      <c r="F316" s="187"/>
      <c r="G316" s="230"/>
      <c r="H316" s="230"/>
      <c r="I316" s="230"/>
      <c r="J316" s="230"/>
      <c r="K316" s="230"/>
      <c r="L316" s="230"/>
      <c r="M316" s="370"/>
    </row>
    <row r="317" spans="1:13" ht="22.5" customHeight="1">
      <c r="A317" s="154">
        <f>A315+1</f>
        <v>255</v>
      </c>
      <c r="B317" s="194" t="s">
        <v>488</v>
      </c>
      <c r="C317" s="189" t="s">
        <v>452</v>
      </c>
      <c r="D317" s="203" t="s">
        <v>79</v>
      </c>
      <c r="E317" s="190" t="s">
        <v>668</v>
      </c>
      <c r="F317" s="187">
        <v>700</v>
      </c>
      <c r="G317" s="230">
        <f>F317/2*0.3</f>
        <v>105</v>
      </c>
      <c r="H317" s="230">
        <f t="shared" ref="H317:H377" si="30">ROUND(G317*8.75%,2)</f>
        <v>9.19</v>
      </c>
      <c r="I317" s="372"/>
      <c r="J317" s="372"/>
      <c r="K317" s="230">
        <f t="shared" ref="K317:K377" si="31">ROUND(G317*0.075,2)</f>
        <v>7.88</v>
      </c>
      <c r="L317" s="230">
        <f t="shared" ref="L317:L379" si="32">ROUND(G317*0.01,2)</f>
        <v>1.05</v>
      </c>
      <c r="M317" s="370">
        <f t="shared" si="29"/>
        <v>123.11999999999999</v>
      </c>
    </row>
    <row r="318" spans="1:13" ht="21" customHeight="1">
      <c r="A318" s="154">
        <f>A317+1</f>
        <v>256</v>
      </c>
      <c r="B318" s="194" t="s">
        <v>490</v>
      </c>
      <c r="C318" s="189" t="s">
        <v>452</v>
      </c>
      <c r="D318" s="203" t="s">
        <v>79</v>
      </c>
      <c r="E318" s="190" t="s">
        <v>668</v>
      </c>
      <c r="F318" s="187">
        <f>614.86+30+50+50</f>
        <v>744.86</v>
      </c>
      <c r="G318" s="230">
        <f>F318/2*0.3</f>
        <v>111.729</v>
      </c>
      <c r="H318" s="230">
        <f t="shared" si="30"/>
        <v>9.7799999999999994</v>
      </c>
      <c r="I318" s="230"/>
      <c r="J318" s="230"/>
      <c r="K318" s="230">
        <f t="shared" si="31"/>
        <v>8.3800000000000008</v>
      </c>
      <c r="L318" s="230">
        <f t="shared" si="32"/>
        <v>1.1200000000000001</v>
      </c>
      <c r="M318" s="370">
        <f t="shared" si="29"/>
        <v>131.00900000000001</v>
      </c>
    </row>
    <row r="319" spans="1:13" ht="20.25" customHeight="1">
      <c r="A319" s="154">
        <f>A318+1</f>
        <v>257</v>
      </c>
      <c r="B319" s="194" t="s">
        <v>490</v>
      </c>
      <c r="C319" s="189" t="s">
        <v>452</v>
      </c>
      <c r="D319" s="203" t="s">
        <v>79</v>
      </c>
      <c r="E319" s="190" t="s">
        <v>668</v>
      </c>
      <c r="F319" s="187">
        <f>614.86+30+50+50</f>
        <v>744.86</v>
      </c>
      <c r="G319" s="230">
        <f t="shared" ref="G319:G376" si="33">F319/2*0.3</f>
        <v>111.729</v>
      </c>
      <c r="H319" s="230">
        <f t="shared" si="30"/>
        <v>9.7799999999999994</v>
      </c>
      <c r="I319" s="230"/>
      <c r="J319" s="230"/>
      <c r="K319" s="230">
        <f t="shared" si="31"/>
        <v>8.3800000000000008</v>
      </c>
      <c r="L319" s="230">
        <f t="shared" si="32"/>
        <v>1.1200000000000001</v>
      </c>
      <c r="M319" s="370">
        <f t="shared" si="29"/>
        <v>131.00900000000001</v>
      </c>
    </row>
    <row r="320" spans="1:13" ht="20.25" customHeight="1">
      <c r="A320" s="154">
        <f>A319+1</f>
        <v>258</v>
      </c>
      <c r="B320" s="194" t="s">
        <v>490</v>
      </c>
      <c r="C320" s="189" t="s">
        <v>452</v>
      </c>
      <c r="D320" s="203" t="s">
        <v>79</v>
      </c>
      <c r="E320" s="190" t="s">
        <v>668</v>
      </c>
      <c r="F320" s="187">
        <f>614.86+30+50+50</f>
        <v>744.86</v>
      </c>
      <c r="G320" s="230">
        <f t="shared" si="33"/>
        <v>111.729</v>
      </c>
      <c r="H320" s="230">
        <f t="shared" si="30"/>
        <v>9.7799999999999994</v>
      </c>
      <c r="I320" s="230"/>
      <c r="J320" s="230"/>
      <c r="K320" s="230">
        <f t="shared" si="31"/>
        <v>8.3800000000000008</v>
      </c>
      <c r="L320" s="230">
        <f t="shared" si="32"/>
        <v>1.1200000000000001</v>
      </c>
      <c r="M320" s="370">
        <f t="shared" si="29"/>
        <v>131.00900000000001</v>
      </c>
    </row>
    <row r="321" spans="1:13" ht="20.25" customHeight="1">
      <c r="A321" s="154">
        <f t="shared" ref="A321:A377" si="34">A320+1</f>
        <v>259</v>
      </c>
      <c r="B321" s="194" t="s">
        <v>494</v>
      </c>
      <c r="C321" s="189" t="s">
        <v>452</v>
      </c>
      <c r="D321" s="203" t="s">
        <v>79</v>
      </c>
      <c r="E321" s="190" t="s">
        <v>668</v>
      </c>
      <c r="F321" s="187">
        <f>547+30+50+50</f>
        <v>677</v>
      </c>
      <c r="G321" s="230">
        <f t="shared" si="33"/>
        <v>101.55</v>
      </c>
      <c r="H321" s="230">
        <f t="shared" si="30"/>
        <v>8.89</v>
      </c>
      <c r="I321" s="230"/>
      <c r="J321" s="230"/>
      <c r="K321" s="230">
        <f t="shared" si="31"/>
        <v>7.62</v>
      </c>
      <c r="L321" s="230">
        <f t="shared" si="32"/>
        <v>1.02</v>
      </c>
      <c r="M321" s="370">
        <f t="shared" si="29"/>
        <v>119.08</v>
      </c>
    </row>
    <row r="322" spans="1:13" ht="15.75" customHeight="1">
      <c r="A322" s="154">
        <f t="shared" si="34"/>
        <v>260</v>
      </c>
      <c r="B322" s="194" t="s">
        <v>494</v>
      </c>
      <c r="C322" s="189" t="s">
        <v>452</v>
      </c>
      <c r="D322" s="203" t="s">
        <v>79</v>
      </c>
      <c r="E322" s="190" t="s">
        <v>668</v>
      </c>
      <c r="F322" s="187">
        <f>547+30+50+50</f>
        <v>677</v>
      </c>
      <c r="G322" s="230">
        <f t="shared" si="33"/>
        <v>101.55</v>
      </c>
      <c r="H322" s="230">
        <f t="shared" si="30"/>
        <v>8.89</v>
      </c>
      <c r="I322" s="230"/>
      <c r="J322" s="230"/>
      <c r="K322" s="230">
        <f t="shared" si="31"/>
        <v>7.62</v>
      </c>
      <c r="L322" s="230">
        <f t="shared" si="32"/>
        <v>1.02</v>
      </c>
      <c r="M322" s="370">
        <f t="shared" si="29"/>
        <v>119.08</v>
      </c>
    </row>
    <row r="323" spans="1:13" ht="23.25" customHeight="1">
      <c r="A323" s="154">
        <f t="shared" si="34"/>
        <v>261</v>
      </c>
      <c r="B323" s="194" t="s">
        <v>499</v>
      </c>
      <c r="C323" s="189" t="s">
        <v>452</v>
      </c>
      <c r="D323" s="203" t="s">
        <v>79</v>
      </c>
      <c r="E323" s="190" t="s">
        <v>668</v>
      </c>
      <c r="F323" s="187">
        <f>467+30+50+50</f>
        <v>597</v>
      </c>
      <c r="G323" s="230">
        <f>F323/2*0.3</f>
        <v>89.55</v>
      </c>
      <c r="H323" s="230">
        <f>ROUND(G323*8.75%,2)</f>
        <v>7.84</v>
      </c>
      <c r="I323" s="186"/>
      <c r="J323" s="186"/>
      <c r="K323" s="230">
        <f>ROUND(G323*0.075,2)</f>
        <v>6.72</v>
      </c>
      <c r="L323" s="230">
        <f>ROUND(G323*0.01,2)</f>
        <v>0.9</v>
      </c>
      <c r="M323" s="370">
        <f>SUM(G323:L323)</f>
        <v>105.01</v>
      </c>
    </row>
    <row r="324" spans="1:13" ht="21.75" customHeight="1">
      <c r="A324" s="154">
        <f t="shared" si="34"/>
        <v>262</v>
      </c>
      <c r="B324" s="194" t="s">
        <v>499</v>
      </c>
      <c r="C324" s="189" t="s">
        <v>452</v>
      </c>
      <c r="D324" s="203" t="s">
        <v>79</v>
      </c>
      <c r="E324" s="190" t="s">
        <v>668</v>
      </c>
      <c r="F324" s="187">
        <f>467+30+50+50</f>
        <v>597</v>
      </c>
      <c r="G324" s="230">
        <f t="shared" si="33"/>
        <v>89.55</v>
      </c>
      <c r="H324" s="230">
        <f t="shared" si="30"/>
        <v>7.84</v>
      </c>
      <c r="I324" s="230"/>
      <c r="J324" s="230"/>
      <c r="K324" s="230">
        <f t="shared" si="31"/>
        <v>6.72</v>
      </c>
      <c r="L324" s="230">
        <f t="shared" si="32"/>
        <v>0.9</v>
      </c>
      <c r="M324" s="370">
        <f t="shared" si="29"/>
        <v>105.01</v>
      </c>
    </row>
    <row r="325" spans="1:13" ht="15.75" customHeight="1">
      <c r="A325" s="154">
        <f t="shared" si="34"/>
        <v>263</v>
      </c>
      <c r="B325" s="194" t="s">
        <v>501</v>
      </c>
      <c r="C325" s="189" t="s">
        <v>452</v>
      </c>
      <c r="D325" s="203" t="s">
        <v>79</v>
      </c>
      <c r="E325" s="190" t="s">
        <v>668</v>
      </c>
      <c r="F325" s="187">
        <f>467+30+50+50</f>
        <v>597</v>
      </c>
      <c r="G325" s="230">
        <f t="shared" si="33"/>
        <v>89.55</v>
      </c>
      <c r="H325" s="230">
        <f t="shared" si="30"/>
        <v>7.84</v>
      </c>
      <c r="I325" s="186"/>
      <c r="J325" s="186"/>
      <c r="K325" s="230">
        <f t="shared" si="31"/>
        <v>6.72</v>
      </c>
      <c r="L325" s="230">
        <f t="shared" si="32"/>
        <v>0.9</v>
      </c>
      <c r="M325" s="370">
        <f t="shared" si="29"/>
        <v>105.01</v>
      </c>
    </row>
    <row r="326" spans="1:13" ht="23.25" customHeight="1">
      <c r="A326" s="154">
        <f t="shared" si="34"/>
        <v>264</v>
      </c>
      <c r="B326" s="194" t="s">
        <v>501</v>
      </c>
      <c r="C326" s="189" t="s">
        <v>452</v>
      </c>
      <c r="D326" s="203" t="s">
        <v>79</v>
      </c>
      <c r="E326" s="190" t="s">
        <v>668</v>
      </c>
      <c r="F326" s="187">
        <f>467+30+50+50</f>
        <v>597</v>
      </c>
      <c r="G326" s="230">
        <f t="shared" si="33"/>
        <v>89.55</v>
      </c>
      <c r="H326" s="230">
        <f t="shared" si="30"/>
        <v>7.84</v>
      </c>
      <c r="I326" s="186"/>
      <c r="J326" s="186"/>
      <c r="K326" s="230">
        <f t="shared" si="31"/>
        <v>6.72</v>
      </c>
      <c r="L326" s="230">
        <f t="shared" si="32"/>
        <v>0.9</v>
      </c>
      <c r="M326" s="370">
        <f t="shared" si="29"/>
        <v>105.01</v>
      </c>
    </row>
    <row r="327" spans="1:13" ht="21.75" customHeight="1">
      <c r="A327" s="154">
        <f t="shared" si="34"/>
        <v>265</v>
      </c>
      <c r="B327" s="194" t="s">
        <v>501</v>
      </c>
      <c r="C327" s="189" t="s">
        <v>452</v>
      </c>
      <c r="D327" s="203" t="s">
        <v>79</v>
      </c>
      <c r="E327" s="190" t="s">
        <v>668</v>
      </c>
      <c r="F327" s="187">
        <f>467+30+50+50</f>
        <v>597</v>
      </c>
      <c r="G327" s="230">
        <f t="shared" si="33"/>
        <v>89.55</v>
      </c>
      <c r="H327" s="230">
        <f t="shared" si="30"/>
        <v>7.84</v>
      </c>
      <c r="I327" s="230"/>
      <c r="J327" s="230"/>
      <c r="K327" s="230">
        <f t="shared" si="31"/>
        <v>6.72</v>
      </c>
      <c r="L327" s="230">
        <f t="shared" si="32"/>
        <v>0.9</v>
      </c>
      <c r="M327" s="370">
        <f t="shared" si="29"/>
        <v>105.01</v>
      </c>
    </row>
    <row r="328" spans="1:13" ht="21.75" customHeight="1">
      <c r="A328" s="154">
        <f t="shared" si="34"/>
        <v>266</v>
      </c>
      <c r="B328" s="194" t="s">
        <v>507</v>
      </c>
      <c r="C328" s="189" t="s">
        <v>452</v>
      </c>
      <c r="D328" s="203" t="s">
        <v>79</v>
      </c>
      <c r="E328" s="190" t="s">
        <v>668</v>
      </c>
      <c r="F328" s="187">
        <f>417+30+50+50</f>
        <v>547</v>
      </c>
      <c r="G328" s="230">
        <f t="shared" si="33"/>
        <v>82.05</v>
      </c>
      <c r="H328" s="230">
        <f t="shared" si="30"/>
        <v>7.18</v>
      </c>
      <c r="I328" s="230"/>
      <c r="J328" s="230"/>
      <c r="K328" s="230">
        <f t="shared" si="31"/>
        <v>6.15</v>
      </c>
      <c r="L328" s="230">
        <f t="shared" si="32"/>
        <v>0.82</v>
      </c>
      <c r="M328" s="370">
        <f t="shared" si="29"/>
        <v>96.199999999999989</v>
      </c>
    </row>
    <row r="329" spans="1:13" ht="15" customHeight="1">
      <c r="A329" s="154">
        <f t="shared" si="34"/>
        <v>267</v>
      </c>
      <c r="B329" s="194" t="s">
        <v>507</v>
      </c>
      <c r="C329" s="189" t="s">
        <v>452</v>
      </c>
      <c r="D329" s="203" t="s">
        <v>79</v>
      </c>
      <c r="E329" s="190" t="s">
        <v>668</v>
      </c>
      <c r="F329" s="187">
        <f>417+50+50</f>
        <v>517</v>
      </c>
      <c r="G329" s="230">
        <f t="shared" si="33"/>
        <v>77.55</v>
      </c>
      <c r="H329" s="230">
        <f t="shared" si="30"/>
        <v>6.79</v>
      </c>
      <c r="I329" s="230"/>
      <c r="J329" s="230"/>
      <c r="K329" s="230">
        <f t="shared" si="31"/>
        <v>5.82</v>
      </c>
      <c r="L329" s="230">
        <f t="shared" si="32"/>
        <v>0.78</v>
      </c>
      <c r="M329" s="370">
        <f t="shared" si="29"/>
        <v>90.94</v>
      </c>
    </row>
    <row r="330" spans="1:13" ht="23.25" customHeight="1">
      <c r="A330" s="154">
        <f t="shared" si="34"/>
        <v>268</v>
      </c>
      <c r="B330" s="194" t="s">
        <v>507</v>
      </c>
      <c r="C330" s="189" t="s">
        <v>452</v>
      </c>
      <c r="D330" s="203" t="s">
        <v>79</v>
      </c>
      <c r="E330" s="190" t="s">
        <v>668</v>
      </c>
      <c r="F330" s="187">
        <f>417+50+50</f>
        <v>517</v>
      </c>
      <c r="G330" s="230">
        <f t="shared" si="33"/>
        <v>77.55</v>
      </c>
      <c r="H330" s="230">
        <f t="shared" si="30"/>
        <v>6.79</v>
      </c>
      <c r="I330" s="230"/>
      <c r="J330" s="230"/>
      <c r="K330" s="230">
        <f t="shared" si="31"/>
        <v>5.82</v>
      </c>
      <c r="L330" s="230">
        <f t="shared" si="32"/>
        <v>0.78</v>
      </c>
      <c r="M330" s="370">
        <f t="shared" si="29"/>
        <v>90.94</v>
      </c>
    </row>
    <row r="331" spans="1:13" ht="15" customHeight="1">
      <c r="A331" s="154">
        <f t="shared" si="34"/>
        <v>269</v>
      </c>
      <c r="B331" s="194" t="s">
        <v>507</v>
      </c>
      <c r="C331" s="189" t="s">
        <v>452</v>
      </c>
      <c r="D331" s="203" t="s">
        <v>79</v>
      </c>
      <c r="E331" s="190" t="s">
        <v>668</v>
      </c>
      <c r="F331" s="187">
        <f>417+50+50</f>
        <v>517</v>
      </c>
      <c r="G331" s="230">
        <f t="shared" si="33"/>
        <v>77.55</v>
      </c>
      <c r="H331" s="230">
        <f t="shared" si="30"/>
        <v>6.79</v>
      </c>
      <c r="I331" s="230"/>
      <c r="J331" s="230"/>
      <c r="K331" s="230">
        <f t="shared" si="31"/>
        <v>5.82</v>
      </c>
      <c r="L331" s="230">
        <f t="shared" si="32"/>
        <v>0.78</v>
      </c>
      <c r="M331" s="370">
        <f t="shared" si="29"/>
        <v>90.94</v>
      </c>
    </row>
    <row r="332" spans="1:13" ht="16.5" customHeight="1">
      <c r="A332" s="154">
        <f t="shared" si="34"/>
        <v>270</v>
      </c>
      <c r="B332" s="194" t="s">
        <v>507</v>
      </c>
      <c r="C332" s="189" t="s">
        <v>452</v>
      </c>
      <c r="D332" s="203" t="s">
        <v>79</v>
      </c>
      <c r="E332" s="190" t="s">
        <v>668</v>
      </c>
      <c r="F332" s="187">
        <f>417+50+50</f>
        <v>517</v>
      </c>
      <c r="G332" s="230">
        <f t="shared" si="33"/>
        <v>77.55</v>
      </c>
      <c r="H332" s="230">
        <f t="shared" si="30"/>
        <v>6.79</v>
      </c>
      <c r="I332" s="230"/>
      <c r="J332" s="230"/>
      <c r="K332" s="230">
        <f t="shared" si="31"/>
        <v>5.82</v>
      </c>
      <c r="L332" s="230">
        <f t="shared" si="32"/>
        <v>0.78</v>
      </c>
      <c r="M332" s="370">
        <f t="shared" si="29"/>
        <v>90.94</v>
      </c>
    </row>
    <row r="333" spans="1:13" ht="23.25" customHeight="1">
      <c r="A333" s="154">
        <f t="shared" si="34"/>
        <v>271</v>
      </c>
      <c r="B333" s="194" t="s">
        <v>507</v>
      </c>
      <c r="C333" s="189" t="s">
        <v>452</v>
      </c>
      <c r="D333" s="203" t="s">
        <v>79</v>
      </c>
      <c r="E333" s="190" t="s">
        <v>668</v>
      </c>
      <c r="F333" s="187">
        <f>417+50+50</f>
        <v>517</v>
      </c>
      <c r="G333" s="230">
        <f t="shared" si="33"/>
        <v>77.55</v>
      </c>
      <c r="H333" s="230">
        <f t="shared" si="30"/>
        <v>6.79</v>
      </c>
      <c r="I333" s="230"/>
      <c r="J333" s="230"/>
      <c r="K333" s="230">
        <f t="shared" si="31"/>
        <v>5.82</v>
      </c>
      <c r="L333" s="230">
        <f t="shared" si="32"/>
        <v>0.78</v>
      </c>
      <c r="M333" s="370">
        <f t="shared" si="29"/>
        <v>90.94</v>
      </c>
    </row>
    <row r="334" spans="1:13" ht="22.5" customHeight="1">
      <c r="A334" s="154">
        <f t="shared" si="34"/>
        <v>272</v>
      </c>
      <c r="B334" s="168" t="s">
        <v>507</v>
      </c>
      <c r="C334" s="189" t="s">
        <v>452</v>
      </c>
      <c r="D334" s="203" t="s">
        <v>79</v>
      </c>
      <c r="E334" s="190" t="s">
        <v>668</v>
      </c>
      <c r="F334" s="187">
        <f>417+50</f>
        <v>467</v>
      </c>
      <c r="G334" s="230">
        <f t="shared" si="33"/>
        <v>70.05</v>
      </c>
      <c r="H334" s="230">
        <f t="shared" si="30"/>
        <v>6.13</v>
      </c>
      <c r="I334" s="230"/>
      <c r="J334" s="230"/>
      <c r="K334" s="230">
        <f t="shared" si="31"/>
        <v>5.25</v>
      </c>
      <c r="L334" s="230">
        <f t="shared" si="32"/>
        <v>0.7</v>
      </c>
      <c r="M334" s="370">
        <f t="shared" si="29"/>
        <v>82.13</v>
      </c>
    </row>
    <row r="335" spans="1:13" ht="22.5" customHeight="1">
      <c r="A335" s="154">
        <f t="shared" si="34"/>
        <v>273</v>
      </c>
      <c r="B335" s="194" t="s">
        <v>718</v>
      </c>
      <c r="C335" s="189" t="s">
        <v>452</v>
      </c>
      <c r="D335" s="203" t="s">
        <v>79</v>
      </c>
      <c r="E335" s="190" t="s">
        <v>668</v>
      </c>
      <c r="F335" s="187">
        <v>417</v>
      </c>
      <c r="G335" s="230">
        <f t="shared" si="33"/>
        <v>62.55</v>
      </c>
      <c r="H335" s="230">
        <f t="shared" si="30"/>
        <v>5.47</v>
      </c>
      <c r="I335" s="230"/>
      <c r="J335" s="230"/>
      <c r="K335" s="230">
        <f t="shared" si="31"/>
        <v>4.6900000000000004</v>
      </c>
      <c r="L335" s="230">
        <f t="shared" si="32"/>
        <v>0.63</v>
      </c>
      <c r="M335" s="370">
        <f t="shared" si="29"/>
        <v>73.339999999999989</v>
      </c>
    </row>
    <row r="336" spans="1:13" ht="22.5" customHeight="1">
      <c r="A336" s="154">
        <f t="shared" si="34"/>
        <v>274</v>
      </c>
      <c r="B336" s="168" t="s">
        <v>673</v>
      </c>
      <c r="C336" s="214" t="s">
        <v>452</v>
      </c>
      <c r="D336" s="204" t="s">
        <v>79</v>
      </c>
      <c r="E336" s="373" t="s">
        <v>648</v>
      </c>
      <c r="F336" s="187">
        <f>417</f>
        <v>417</v>
      </c>
      <c r="G336" s="230">
        <f t="shared" si="33"/>
        <v>62.55</v>
      </c>
      <c r="H336" s="230">
        <f t="shared" si="30"/>
        <v>5.47</v>
      </c>
      <c r="I336" s="230"/>
      <c r="J336" s="230"/>
      <c r="K336" s="230">
        <f t="shared" si="31"/>
        <v>4.6900000000000004</v>
      </c>
      <c r="L336" s="230">
        <f t="shared" si="32"/>
        <v>0.63</v>
      </c>
      <c r="M336" s="370">
        <f t="shared" si="29"/>
        <v>73.339999999999989</v>
      </c>
    </row>
    <row r="337" spans="1:13" ht="22.5" customHeight="1">
      <c r="A337" s="154">
        <f t="shared" si="34"/>
        <v>275</v>
      </c>
      <c r="B337" s="168" t="s">
        <v>673</v>
      </c>
      <c r="C337" s="214" t="s">
        <v>452</v>
      </c>
      <c r="D337" s="204" t="s">
        <v>79</v>
      </c>
      <c r="E337" s="373" t="s">
        <v>648</v>
      </c>
      <c r="F337" s="187">
        <f>417</f>
        <v>417</v>
      </c>
      <c r="G337" s="230">
        <f t="shared" si="33"/>
        <v>62.55</v>
      </c>
      <c r="H337" s="230">
        <f t="shared" si="30"/>
        <v>5.47</v>
      </c>
      <c r="I337" s="230"/>
      <c r="J337" s="230"/>
      <c r="K337" s="230">
        <f t="shared" si="31"/>
        <v>4.6900000000000004</v>
      </c>
      <c r="L337" s="230">
        <f t="shared" si="32"/>
        <v>0.63</v>
      </c>
      <c r="M337" s="370">
        <f t="shared" si="29"/>
        <v>73.339999999999989</v>
      </c>
    </row>
    <row r="338" spans="1:13" ht="15" customHeight="1">
      <c r="A338" s="154">
        <f t="shared" si="34"/>
        <v>276</v>
      </c>
      <c r="B338" s="168" t="s">
        <v>673</v>
      </c>
      <c r="C338" s="214" t="s">
        <v>452</v>
      </c>
      <c r="D338" s="204" t="s">
        <v>79</v>
      </c>
      <c r="E338" s="373" t="s">
        <v>648</v>
      </c>
      <c r="F338" s="187">
        <f>417</f>
        <v>417</v>
      </c>
      <c r="G338" s="230">
        <f t="shared" si="33"/>
        <v>62.55</v>
      </c>
      <c r="H338" s="230">
        <f t="shared" si="30"/>
        <v>5.47</v>
      </c>
      <c r="I338" s="230"/>
      <c r="J338" s="230"/>
      <c r="K338" s="230">
        <f t="shared" si="31"/>
        <v>4.6900000000000004</v>
      </c>
      <c r="L338" s="230">
        <f t="shared" si="32"/>
        <v>0.63</v>
      </c>
      <c r="M338" s="370">
        <f t="shared" si="29"/>
        <v>73.339999999999989</v>
      </c>
    </row>
    <row r="339" spans="1:13" ht="22.5" customHeight="1">
      <c r="A339" s="154">
        <f t="shared" si="34"/>
        <v>277</v>
      </c>
      <c r="B339" s="168" t="s">
        <v>673</v>
      </c>
      <c r="C339" s="214" t="s">
        <v>452</v>
      </c>
      <c r="D339" s="204" t="s">
        <v>79</v>
      </c>
      <c r="E339" s="373" t="s">
        <v>648</v>
      </c>
      <c r="F339" s="187">
        <f>417</f>
        <v>417</v>
      </c>
      <c r="G339" s="230">
        <f t="shared" si="33"/>
        <v>62.55</v>
      </c>
      <c r="H339" s="230">
        <f t="shared" si="30"/>
        <v>5.47</v>
      </c>
      <c r="I339" s="230"/>
      <c r="J339" s="230"/>
      <c r="K339" s="230">
        <f t="shared" si="31"/>
        <v>4.6900000000000004</v>
      </c>
      <c r="L339" s="230">
        <f t="shared" si="32"/>
        <v>0.63</v>
      </c>
      <c r="M339" s="370">
        <f t="shared" si="29"/>
        <v>73.339999999999989</v>
      </c>
    </row>
    <row r="340" spans="1:13" ht="22.5" customHeight="1">
      <c r="A340" s="154">
        <f t="shared" si="34"/>
        <v>278</v>
      </c>
      <c r="B340" s="168" t="s">
        <v>673</v>
      </c>
      <c r="C340" s="214" t="s">
        <v>452</v>
      </c>
      <c r="D340" s="204" t="s">
        <v>79</v>
      </c>
      <c r="E340" s="373" t="s">
        <v>648</v>
      </c>
      <c r="F340" s="187">
        <f>417</f>
        <v>417</v>
      </c>
      <c r="G340" s="230">
        <f t="shared" si="33"/>
        <v>62.55</v>
      </c>
      <c r="H340" s="230">
        <f t="shared" si="30"/>
        <v>5.47</v>
      </c>
      <c r="I340" s="230"/>
      <c r="J340" s="230"/>
      <c r="K340" s="230">
        <f t="shared" si="31"/>
        <v>4.6900000000000004</v>
      </c>
      <c r="L340" s="230">
        <f t="shared" si="32"/>
        <v>0.63</v>
      </c>
      <c r="M340" s="370">
        <f t="shared" si="29"/>
        <v>73.339999999999989</v>
      </c>
    </row>
    <row r="341" spans="1:13" ht="22.5" customHeight="1">
      <c r="A341" s="154">
        <f t="shared" si="34"/>
        <v>279</v>
      </c>
      <c r="B341" s="168" t="s">
        <v>673</v>
      </c>
      <c r="C341" s="214" t="s">
        <v>452</v>
      </c>
      <c r="D341" s="204" t="s">
        <v>79</v>
      </c>
      <c r="E341" s="373" t="s">
        <v>648</v>
      </c>
      <c r="F341" s="187">
        <f>417</f>
        <v>417</v>
      </c>
      <c r="G341" s="230">
        <f t="shared" si="33"/>
        <v>62.55</v>
      </c>
      <c r="H341" s="230">
        <f t="shared" si="30"/>
        <v>5.47</v>
      </c>
      <c r="I341" s="230"/>
      <c r="J341" s="230"/>
      <c r="K341" s="230">
        <f t="shared" si="31"/>
        <v>4.6900000000000004</v>
      </c>
      <c r="L341" s="230">
        <f t="shared" si="32"/>
        <v>0.63</v>
      </c>
      <c r="M341" s="370">
        <f t="shared" si="29"/>
        <v>73.339999999999989</v>
      </c>
    </row>
    <row r="342" spans="1:13" ht="22.5" customHeight="1">
      <c r="A342" s="154">
        <f t="shared" si="34"/>
        <v>280</v>
      </c>
      <c r="B342" s="168" t="s">
        <v>673</v>
      </c>
      <c r="C342" s="214" t="s">
        <v>452</v>
      </c>
      <c r="D342" s="204" t="s">
        <v>79</v>
      </c>
      <c r="E342" s="373" t="s">
        <v>648</v>
      </c>
      <c r="F342" s="187">
        <f>417</f>
        <v>417</v>
      </c>
      <c r="G342" s="230">
        <f t="shared" si="33"/>
        <v>62.55</v>
      </c>
      <c r="H342" s="230">
        <f t="shared" si="30"/>
        <v>5.47</v>
      </c>
      <c r="I342" s="349"/>
      <c r="J342" s="214"/>
      <c r="K342" s="230">
        <f t="shared" si="31"/>
        <v>4.6900000000000004</v>
      </c>
      <c r="L342" s="230">
        <f t="shared" si="32"/>
        <v>0.63</v>
      </c>
      <c r="M342" s="370">
        <f t="shared" si="29"/>
        <v>73.339999999999989</v>
      </c>
    </row>
    <row r="343" spans="1:13" ht="22.5" customHeight="1">
      <c r="A343" s="154">
        <f t="shared" si="34"/>
        <v>281</v>
      </c>
      <c r="B343" s="168" t="s">
        <v>673</v>
      </c>
      <c r="C343" s="214" t="s">
        <v>452</v>
      </c>
      <c r="D343" s="204" t="s">
        <v>79</v>
      </c>
      <c r="E343" s="373" t="s">
        <v>648</v>
      </c>
      <c r="F343" s="187">
        <f>417</f>
        <v>417</v>
      </c>
      <c r="G343" s="230">
        <f t="shared" si="33"/>
        <v>62.55</v>
      </c>
      <c r="H343" s="230">
        <f t="shared" si="30"/>
        <v>5.47</v>
      </c>
      <c r="I343" s="230"/>
      <c r="J343" s="230"/>
      <c r="K343" s="230">
        <f t="shared" si="31"/>
        <v>4.6900000000000004</v>
      </c>
      <c r="L343" s="230">
        <f t="shared" si="32"/>
        <v>0.63</v>
      </c>
      <c r="M343" s="370">
        <f t="shared" si="29"/>
        <v>73.339999999999989</v>
      </c>
    </row>
    <row r="344" spans="1:13" ht="22.5" customHeight="1">
      <c r="A344" s="154">
        <f t="shared" si="34"/>
        <v>282</v>
      </c>
      <c r="B344" s="168" t="s">
        <v>673</v>
      </c>
      <c r="C344" s="214" t="s">
        <v>452</v>
      </c>
      <c r="D344" s="204" t="s">
        <v>79</v>
      </c>
      <c r="E344" s="373" t="s">
        <v>648</v>
      </c>
      <c r="F344" s="187">
        <f>417</f>
        <v>417</v>
      </c>
      <c r="G344" s="230">
        <f t="shared" si="33"/>
        <v>62.55</v>
      </c>
      <c r="H344" s="230">
        <f t="shared" si="30"/>
        <v>5.47</v>
      </c>
      <c r="I344" s="230"/>
      <c r="J344" s="230"/>
      <c r="K344" s="230">
        <f t="shared" si="31"/>
        <v>4.6900000000000004</v>
      </c>
      <c r="L344" s="230">
        <f t="shared" si="32"/>
        <v>0.63</v>
      </c>
      <c r="M344" s="370">
        <f t="shared" si="29"/>
        <v>73.339999999999989</v>
      </c>
    </row>
    <row r="345" spans="1:13" ht="21.75" customHeight="1">
      <c r="A345" s="154">
        <f t="shared" si="34"/>
        <v>283</v>
      </c>
      <c r="B345" s="168" t="s">
        <v>673</v>
      </c>
      <c r="C345" s="214" t="s">
        <v>452</v>
      </c>
      <c r="D345" s="204" t="s">
        <v>79</v>
      </c>
      <c r="E345" s="373" t="s">
        <v>648</v>
      </c>
      <c r="F345" s="187">
        <f>417</f>
        <v>417</v>
      </c>
      <c r="G345" s="230">
        <f t="shared" si="33"/>
        <v>62.55</v>
      </c>
      <c r="H345" s="230">
        <f t="shared" si="30"/>
        <v>5.47</v>
      </c>
      <c r="I345" s="230"/>
      <c r="J345" s="230"/>
      <c r="K345" s="230">
        <f t="shared" si="31"/>
        <v>4.6900000000000004</v>
      </c>
      <c r="L345" s="230">
        <f t="shared" si="32"/>
        <v>0.63</v>
      </c>
      <c r="M345" s="370">
        <f t="shared" si="29"/>
        <v>73.339999999999989</v>
      </c>
    </row>
    <row r="346" spans="1:13" ht="21.75" customHeight="1">
      <c r="A346" s="154">
        <f t="shared" si="34"/>
        <v>284</v>
      </c>
      <c r="B346" s="168" t="s">
        <v>673</v>
      </c>
      <c r="C346" s="214" t="s">
        <v>452</v>
      </c>
      <c r="D346" s="204" t="s">
        <v>79</v>
      </c>
      <c r="E346" s="373" t="s">
        <v>648</v>
      </c>
      <c r="F346" s="187">
        <f>417</f>
        <v>417</v>
      </c>
      <c r="G346" s="230">
        <f>F346/2*0.3</f>
        <v>62.55</v>
      </c>
      <c r="H346" s="230">
        <f>ROUND(G346*8.75%,2)</f>
        <v>5.47</v>
      </c>
      <c r="I346" s="230"/>
      <c r="J346" s="230"/>
      <c r="K346" s="230">
        <f>ROUND(G346*0.075,2)</f>
        <v>4.6900000000000004</v>
      </c>
      <c r="L346" s="230">
        <f>ROUND(G346*0.01,2)</f>
        <v>0.63</v>
      </c>
      <c r="M346" s="370">
        <f>SUM(G346:L346)</f>
        <v>73.339999999999989</v>
      </c>
    </row>
    <row r="347" spans="1:13" ht="21.75" customHeight="1">
      <c r="A347" s="154">
        <f t="shared" si="34"/>
        <v>285</v>
      </c>
      <c r="B347" s="168" t="s">
        <v>673</v>
      </c>
      <c r="C347" s="214" t="s">
        <v>452</v>
      </c>
      <c r="D347" s="204" t="s">
        <v>79</v>
      </c>
      <c r="E347" s="373" t="s">
        <v>648</v>
      </c>
      <c r="F347" s="187">
        <f>417</f>
        <v>417</v>
      </c>
      <c r="G347" s="230">
        <f t="shared" si="33"/>
        <v>62.55</v>
      </c>
      <c r="H347" s="230">
        <f t="shared" si="30"/>
        <v>5.47</v>
      </c>
      <c r="I347" s="230"/>
      <c r="J347" s="230"/>
      <c r="K347" s="230">
        <f t="shared" si="31"/>
        <v>4.6900000000000004</v>
      </c>
      <c r="L347" s="230">
        <f t="shared" si="32"/>
        <v>0.63</v>
      </c>
      <c r="M347" s="370">
        <f t="shared" si="29"/>
        <v>73.339999999999989</v>
      </c>
    </row>
    <row r="348" spans="1:13" ht="22.5" customHeight="1">
      <c r="A348" s="154">
        <f t="shared" si="34"/>
        <v>286</v>
      </c>
      <c r="B348" s="168" t="s">
        <v>633</v>
      </c>
      <c r="C348" s="189" t="s">
        <v>452</v>
      </c>
      <c r="D348" s="203" t="s">
        <v>79</v>
      </c>
      <c r="E348" s="190" t="s">
        <v>668</v>
      </c>
      <c r="F348" s="187">
        <v>800</v>
      </c>
      <c r="G348" s="230">
        <f t="shared" si="33"/>
        <v>120</v>
      </c>
      <c r="H348" s="230">
        <f t="shared" si="30"/>
        <v>10.5</v>
      </c>
      <c r="I348" s="230"/>
      <c r="J348" s="230"/>
      <c r="K348" s="230">
        <f t="shared" si="31"/>
        <v>9</v>
      </c>
      <c r="L348" s="230">
        <f t="shared" si="32"/>
        <v>1.2</v>
      </c>
      <c r="M348" s="370">
        <f t="shared" si="29"/>
        <v>140.69999999999999</v>
      </c>
    </row>
    <row r="349" spans="1:13" ht="22.5" customHeight="1">
      <c r="A349" s="154">
        <f t="shared" si="34"/>
        <v>287</v>
      </c>
      <c r="B349" s="194" t="s">
        <v>520</v>
      </c>
      <c r="C349" s="189" t="s">
        <v>452</v>
      </c>
      <c r="D349" s="203" t="s">
        <v>79</v>
      </c>
      <c r="E349" s="190" t="s">
        <v>668</v>
      </c>
      <c r="F349" s="187">
        <f>614.86+30+50+50</f>
        <v>744.86</v>
      </c>
      <c r="G349" s="230">
        <f t="shared" si="33"/>
        <v>111.729</v>
      </c>
      <c r="H349" s="230">
        <f t="shared" si="30"/>
        <v>9.7799999999999994</v>
      </c>
      <c r="I349" s="230"/>
      <c r="J349" s="230"/>
      <c r="K349" s="230">
        <f t="shared" si="31"/>
        <v>8.3800000000000008</v>
      </c>
      <c r="L349" s="230">
        <f t="shared" si="32"/>
        <v>1.1200000000000001</v>
      </c>
      <c r="M349" s="370">
        <f t="shared" si="29"/>
        <v>131.00900000000001</v>
      </c>
    </row>
    <row r="350" spans="1:13" ht="22.5" customHeight="1">
      <c r="A350" s="154">
        <f t="shared" si="34"/>
        <v>288</v>
      </c>
      <c r="B350" s="194" t="s">
        <v>520</v>
      </c>
      <c r="C350" s="189" t="s">
        <v>452</v>
      </c>
      <c r="D350" s="203" t="s">
        <v>79</v>
      </c>
      <c r="E350" s="190" t="s">
        <v>668</v>
      </c>
      <c r="F350" s="187">
        <f>614.86+30+50+50</f>
        <v>744.86</v>
      </c>
      <c r="G350" s="230">
        <f t="shared" si="33"/>
        <v>111.729</v>
      </c>
      <c r="H350" s="230">
        <f t="shared" si="30"/>
        <v>9.7799999999999994</v>
      </c>
      <c r="I350" s="230"/>
      <c r="J350" s="230"/>
      <c r="K350" s="230">
        <f t="shared" si="31"/>
        <v>8.3800000000000008</v>
      </c>
      <c r="L350" s="230">
        <f t="shared" si="32"/>
        <v>1.1200000000000001</v>
      </c>
      <c r="M350" s="370">
        <f t="shared" si="29"/>
        <v>131.00900000000001</v>
      </c>
    </row>
    <row r="351" spans="1:13" ht="22.5" customHeight="1">
      <c r="A351" s="154">
        <f t="shared" si="34"/>
        <v>289</v>
      </c>
      <c r="B351" s="194" t="s">
        <v>520</v>
      </c>
      <c r="C351" s="189" t="s">
        <v>452</v>
      </c>
      <c r="D351" s="203" t="s">
        <v>79</v>
      </c>
      <c r="E351" s="190" t="s">
        <v>668</v>
      </c>
      <c r="F351" s="187">
        <f>601.72+30+50+50</f>
        <v>731.72</v>
      </c>
      <c r="G351" s="230">
        <f t="shared" si="33"/>
        <v>109.758</v>
      </c>
      <c r="H351" s="230">
        <f t="shared" si="30"/>
        <v>9.6</v>
      </c>
      <c r="I351" s="230"/>
      <c r="J351" s="230"/>
      <c r="K351" s="230">
        <f t="shared" si="31"/>
        <v>8.23</v>
      </c>
      <c r="L351" s="230">
        <f t="shared" si="32"/>
        <v>1.1000000000000001</v>
      </c>
      <c r="M351" s="370">
        <f t="shared" si="29"/>
        <v>128.68799999999999</v>
      </c>
    </row>
    <row r="352" spans="1:13" ht="22.5" customHeight="1">
      <c r="A352" s="154">
        <f t="shared" si="34"/>
        <v>290</v>
      </c>
      <c r="B352" s="194" t="s">
        <v>527</v>
      </c>
      <c r="C352" s="189" t="s">
        <v>452</v>
      </c>
      <c r="D352" s="203" t="s">
        <v>79</v>
      </c>
      <c r="E352" s="190" t="s">
        <v>668</v>
      </c>
      <c r="F352" s="187">
        <f t="shared" ref="F352:F359" si="35">547+30+50+50</f>
        <v>677</v>
      </c>
      <c r="G352" s="230">
        <f t="shared" si="33"/>
        <v>101.55</v>
      </c>
      <c r="H352" s="230">
        <f t="shared" si="30"/>
        <v>8.89</v>
      </c>
      <c r="I352" s="230"/>
      <c r="J352" s="230"/>
      <c r="K352" s="230">
        <f t="shared" si="31"/>
        <v>7.62</v>
      </c>
      <c r="L352" s="230">
        <f t="shared" si="32"/>
        <v>1.02</v>
      </c>
      <c r="M352" s="370">
        <f t="shared" si="29"/>
        <v>119.08</v>
      </c>
    </row>
    <row r="353" spans="1:13" ht="22.5" customHeight="1">
      <c r="A353" s="154">
        <f t="shared" si="34"/>
        <v>291</v>
      </c>
      <c r="B353" s="194" t="s">
        <v>527</v>
      </c>
      <c r="C353" s="189" t="s">
        <v>452</v>
      </c>
      <c r="D353" s="203" t="s">
        <v>79</v>
      </c>
      <c r="E353" s="190" t="s">
        <v>668</v>
      </c>
      <c r="F353" s="187">
        <f t="shared" si="35"/>
        <v>677</v>
      </c>
      <c r="G353" s="230">
        <f t="shared" si="33"/>
        <v>101.55</v>
      </c>
      <c r="H353" s="230">
        <f t="shared" si="30"/>
        <v>8.89</v>
      </c>
      <c r="I353" s="230"/>
      <c r="J353" s="230"/>
      <c r="K353" s="230">
        <f t="shared" si="31"/>
        <v>7.62</v>
      </c>
      <c r="L353" s="230">
        <f t="shared" si="32"/>
        <v>1.02</v>
      </c>
      <c r="M353" s="370">
        <f t="shared" si="29"/>
        <v>119.08</v>
      </c>
    </row>
    <row r="354" spans="1:13" ht="22.5" customHeight="1">
      <c r="A354" s="154">
        <f t="shared" si="34"/>
        <v>292</v>
      </c>
      <c r="B354" s="194" t="s">
        <v>527</v>
      </c>
      <c r="C354" s="189" t="s">
        <v>452</v>
      </c>
      <c r="D354" s="203" t="s">
        <v>79</v>
      </c>
      <c r="E354" s="190" t="s">
        <v>668</v>
      </c>
      <c r="F354" s="187">
        <f t="shared" si="35"/>
        <v>677</v>
      </c>
      <c r="G354" s="230">
        <f t="shared" si="33"/>
        <v>101.55</v>
      </c>
      <c r="H354" s="230">
        <f t="shared" si="30"/>
        <v>8.89</v>
      </c>
      <c r="I354" s="230"/>
      <c r="J354" s="230"/>
      <c r="K354" s="230">
        <f t="shared" si="31"/>
        <v>7.62</v>
      </c>
      <c r="L354" s="230">
        <f t="shared" si="32"/>
        <v>1.02</v>
      </c>
      <c r="M354" s="370">
        <f t="shared" si="29"/>
        <v>119.08</v>
      </c>
    </row>
    <row r="355" spans="1:13" ht="22.5" customHeight="1">
      <c r="A355" s="154">
        <f t="shared" si="34"/>
        <v>293</v>
      </c>
      <c r="B355" s="194" t="s">
        <v>527</v>
      </c>
      <c r="C355" s="189" t="s">
        <v>452</v>
      </c>
      <c r="D355" s="203" t="s">
        <v>79</v>
      </c>
      <c r="E355" s="190" t="s">
        <v>668</v>
      </c>
      <c r="F355" s="187">
        <f t="shared" si="35"/>
        <v>677</v>
      </c>
      <c r="G355" s="230">
        <f t="shared" si="33"/>
        <v>101.55</v>
      </c>
      <c r="H355" s="230">
        <f t="shared" si="30"/>
        <v>8.89</v>
      </c>
      <c r="I355" s="230"/>
      <c r="J355" s="230"/>
      <c r="K355" s="230">
        <f t="shared" si="31"/>
        <v>7.62</v>
      </c>
      <c r="L355" s="230">
        <f t="shared" si="32"/>
        <v>1.02</v>
      </c>
      <c r="M355" s="370">
        <f t="shared" si="29"/>
        <v>119.08</v>
      </c>
    </row>
    <row r="356" spans="1:13" ht="22.5" customHeight="1">
      <c r="A356" s="154">
        <f t="shared" si="34"/>
        <v>294</v>
      </c>
      <c r="B356" s="194" t="s">
        <v>527</v>
      </c>
      <c r="C356" s="189" t="s">
        <v>452</v>
      </c>
      <c r="D356" s="203" t="s">
        <v>79</v>
      </c>
      <c r="E356" s="190" t="s">
        <v>668</v>
      </c>
      <c r="F356" s="187">
        <f t="shared" si="35"/>
        <v>677</v>
      </c>
      <c r="G356" s="230">
        <f t="shared" si="33"/>
        <v>101.55</v>
      </c>
      <c r="H356" s="230">
        <f t="shared" si="30"/>
        <v>8.89</v>
      </c>
      <c r="I356" s="230"/>
      <c r="J356" s="230"/>
      <c r="K356" s="230">
        <f t="shared" si="31"/>
        <v>7.62</v>
      </c>
      <c r="L356" s="230">
        <f t="shared" si="32"/>
        <v>1.02</v>
      </c>
      <c r="M356" s="370">
        <f t="shared" si="29"/>
        <v>119.08</v>
      </c>
    </row>
    <row r="357" spans="1:13" ht="22.5" customHeight="1">
      <c r="A357" s="154">
        <f t="shared" si="34"/>
        <v>295</v>
      </c>
      <c r="B357" s="194" t="s">
        <v>527</v>
      </c>
      <c r="C357" s="189" t="s">
        <v>452</v>
      </c>
      <c r="D357" s="203" t="s">
        <v>79</v>
      </c>
      <c r="E357" s="190" t="s">
        <v>668</v>
      </c>
      <c r="F357" s="187">
        <f t="shared" si="35"/>
        <v>677</v>
      </c>
      <c r="G357" s="230">
        <f t="shared" si="33"/>
        <v>101.55</v>
      </c>
      <c r="H357" s="230">
        <f t="shared" si="30"/>
        <v>8.89</v>
      </c>
      <c r="I357" s="230"/>
      <c r="J357" s="230"/>
      <c r="K357" s="230">
        <f t="shared" si="31"/>
        <v>7.62</v>
      </c>
      <c r="L357" s="230">
        <f t="shared" si="32"/>
        <v>1.02</v>
      </c>
      <c r="M357" s="370">
        <f t="shared" si="29"/>
        <v>119.08</v>
      </c>
    </row>
    <row r="358" spans="1:13" ht="22.5" customHeight="1">
      <c r="A358" s="154">
        <f t="shared" si="34"/>
        <v>296</v>
      </c>
      <c r="B358" s="194" t="s">
        <v>527</v>
      </c>
      <c r="C358" s="189" t="s">
        <v>452</v>
      </c>
      <c r="D358" s="203" t="s">
        <v>79</v>
      </c>
      <c r="E358" s="190" t="s">
        <v>668</v>
      </c>
      <c r="F358" s="187">
        <f t="shared" si="35"/>
        <v>677</v>
      </c>
      <c r="G358" s="230">
        <f t="shared" si="33"/>
        <v>101.55</v>
      </c>
      <c r="H358" s="230">
        <f t="shared" si="30"/>
        <v>8.89</v>
      </c>
      <c r="I358" s="230"/>
      <c r="J358" s="230"/>
      <c r="K358" s="230">
        <f t="shared" si="31"/>
        <v>7.62</v>
      </c>
      <c r="L358" s="230">
        <f t="shared" si="32"/>
        <v>1.02</v>
      </c>
      <c r="M358" s="370">
        <f t="shared" si="29"/>
        <v>119.08</v>
      </c>
    </row>
    <row r="359" spans="1:13" ht="25.5" customHeight="1">
      <c r="A359" s="154">
        <f t="shared" si="34"/>
        <v>297</v>
      </c>
      <c r="B359" s="194" t="s">
        <v>527</v>
      </c>
      <c r="C359" s="189" t="s">
        <v>452</v>
      </c>
      <c r="D359" s="203" t="s">
        <v>79</v>
      </c>
      <c r="E359" s="190" t="s">
        <v>668</v>
      </c>
      <c r="F359" s="187">
        <f t="shared" si="35"/>
        <v>677</v>
      </c>
      <c r="G359" s="230">
        <f t="shared" si="33"/>
        <v>101.55</v>
      </c>
      <c r="H359" s="230">
        <f t="shared" si="30"/>
        <v>8.89</v>
      </c>
      <c r="I359" s="230"/>
      <c r="J359" s="230"/>
      <c r="K359" s="230">
        <f t="shared" si="31"/>
        <v>7.62</v>
      </c>
      <c r="L359" s="230">
        <f t="shared" si="32"/>
        <v>1.02</v>
      </c>
      <c r="M359" s="370">
        <f t="shared" si="29"/>
        <v>119.08</v>
      </c>
    </row>
    <row r="360" spans="1:13" ht="23.25" customHeight="1">
      <c r="A360" s="154">
        <f t="shared" si="34"/>
        <v>298</v>
      </c>
      <c r="B360" s="194" t="s">
        <v>536</v>
      </c>
      <c r="C360" s="189" t="s">
        <v>452</v>
      </c>
      <c r="D360" s="203" t="s">
        <v>79</v>
      </c>
      <c r="E360" s="190" t="s">
        <v>668</v>
      </c>
      <c r="F360" s="187">
        <f>467+30+50+50</f>
        <v>597</v>
      </c>
      <c r="G360" s="230">
        <f t="shared" si="33"/>
        <v>89.55</v>
      </c>
      <c r="H360" s="230">
        <f t="shared" si="30"/>
        <v>7.84</v>
      </c>
      <c r="I360" s="230"/>
      <c r="J360" s="230"/>
      <c r="K360" s="230">
        <f t="shared" si="31"/>
        <v>6.72</v>
      </c>
      <c r="L360" s="230">
        <f t="shared" si="32"/>
        <v>0.9</v>
      </c>
      <c r="M360" s="370">
        <f t="shared" si="29"/>
        <v>105.01</v>
      </c>
    </row>
    <row r="361" spans="1:13" ht="23.25" customHeight="1">
      <c r="A361" s="154">
        <f t="shared" si="34"/>
        <v>299</v>
      </c>
      <c r="B361" s="194" t="s">
        <v>536</v>
      </c>
      <c r="C361" s="189" t="s">
        <v>452</v>
      </c>
      <c r="D361" s="203" t="s">
        <v>79</v>
      </c>
      <c r="E361" s="190" t="s">
        <v>668</v>
      </c>
      <c r="F361" s="187">
        <f>467+30+50+50</f>
        <v>597</v>
      </c>
      <c r="G361" s="230">
        <f t="shared" si="33"/>
        <v>89.55</v>
      </c>
      <c r="H361" s="230">
        <f t="shared" si="30"/>
        <v>7.84</v>
      </c>
      <c r="I361" s="230"/>
      <c r="J361" s="230"/>
      <c r="K361" s="230">
        <f t="shared" si="31"/>
        <v>6.72</v>
      </c>
      <c r="L361" s="230">
        <f t="shared" si="32"/>
        <v>0.9</v>
      </c>
      <c r="M361" s="370">
        <f t="shared" si="29"/>
        <v>105.01</v>
      </c>
    </row>
    <row r="362" spans="1:13" ht="23.25" customHeight="1">
      <c r="A362" s="154">
        <f t="shared" si="34"/>
        <v>300</v>
      </c>
      <c r="B362" s="194" t="s">
        <v>536</v>
      </c>
      <c r="C362" s="189" t="s">
        <v>452</v>
      </c>
      <c r="D362" s="203" t="s">
        <v>79</v>
      </c>
      <c r="E362" s="190" t="s">
        <v>668</v>
      </c>
      <c r="F362" s="187">
        <f>467+30+50+50</f>
        <v>597</v>
      </c>
      <c r="G362" s="230">
        <f t="shared" si="33"/>
        <v>89.55</v>
      </c>
      <c r="H362" s="230">
        <f t="shared" si="30"/>
        <v>7.84</v>
      </c>
      <c r="I362" s="230"/>
      <c r="J362" s="230"/>
      <c r="K362" s="230">
        <f t="shared" si="31"/>
        <v>6.72</v>
      </c>
      <c r="L362" s="230">
        <f t="shared" si="32"/>
        <v>0.9</v>
      </c>
      <c r="M362" s="370">
        <f t="shared" si="29"/>
        <v>105.01</v>
      </c>
    </row>
    <row r="363" spans="1:13" ht="23.25" customHeight="1">
      <c r="A363" s="154">
        <f t="shared" si="34"/>
        <v>301</v>
      </c>
      <c r="B363" s="194" t="s">
        <v>711</v>
      </c>
      <c r="C363" s="189" t="s">
        <v>452</v>
      </c>
      <c r="D363" s="203" t="s">
        <v>79</v>
      </c>
      <c r="E363" s="190" t="s">
        <v>668</v>
      </c>
      <c r="F363" s="187">
        <f>497+50</f>
        <v>547</v>
      </c>
      <c r="G363" s="230">
        <f t="shared" si="33"/>
        <v>82.05</v>
      </c>
      <c r="H363" s="230">
        <f t="shared" si="30"/>
        <v>7.18</v>
      </c>
      <c r="I363" s="230"/>
      <c r="J363" s="230"/>
      <c r="K363" s="230">
        <f t="shared" si="31"/>
        <v>6.15</v>
      </c>
      <c r="L363" s="230">
        <f t="shared" si="32"/>
        <v>0.82</v>
      </c>
      <c r="M363" s="370">
        <f t="shared" ref="M363:M377" si="36">SUM(G363:L363)</f>
        <v>96.199999999999989</v>
      </c>
    </row>
    <row r="364" spans="1:13" ht="23.25" customHeight="1">
      <c r="A364" s="154">
        <f t="shared" si="34"/>
        <v>302</v>
      </c>
      <c r="B364" s="168" t="s">
        <v>536</v>
      </c>
      <c r="C364" s="189" t="s">
        <v>452</v>
      </c>
      <c r="D364" s="203" t="s">
        <v>79</v>
      </c>
      <c r="E364" s="190" t="s">
        <v>668</v>
      </c>
      <c r="F364" s="187">
        <f>467+30+50+50</f>
        <v>597</v>
      </c>
      <c r="G364" s="230">
        <f t="shared" si="33"/>
        <v>89.55</v>
      </c>
      <c r="H364" s="230">
        <f t="shared" si="30"/>
        <v>7.84</v>
      </c>
      <c r="I364" s="230"/>
      <c r="J364" s="230"/>
      <c r="K364" s="230">
        <f t="shared" si="31"/>
        <v>6.72</v>
      </c>
      <c r="L364" s="230">
        <f t="shared" si="32"/>
        <v>0.9</v>
      </c>
      <c r="M364" s="370">
        <f t="shared" si="36"/>
        <v>105.01</v>
      </c>
    </row>
    <row r="365" spans="1:13" ht="23.25" customHeight="1">
      <c r="A365" s="154">
        <f t="shared" si="34"/>
        <v>303</v>
      </c>
      <c r="B365" s="168" t="s">
        <v>536</v>
      </c>
      <c r="C365" s="189" t="s">
        <v>452</v>
      </c>
      <c r="D365" s="203" t="s">
        <v>79</v>
      </c>
      <c r="E365" s="190" t="s">
        <v>668</v>
      </c>
      <c r="F365" s="187">
        <f>467+30+50+50</f>
        <v>597</v>
      </c>
      <c r="G365" s="230">
        <f t="shared" si="33"/>
        <v>89.55</v>
      </c>
      <c r="H365" s="230">
        <f t="shared" si="30"/>
        <v>7.84</v>
      </c>
      <c r="I365" s="230"/>
      <c r="J365" s="230"/>
      <c r="K365" s="230">
        <f t="shared" si="31"/>
        <v>6.72</v>
      </c>
      <c r="L365" s="230">
        <f t="shared" si="32"/>
        <v>0.9</v>
      </c>
      <c r="M365" s="370">
        <f t="shared" si="36"/>
        <v>105.01</v>
      </c>
    </row>
    <row r="366" spans="1:13" ht="23.25" customHeight="1">
      <c r="A366" s="154">
        <f t="shared" si="34"/>
        <v>304</v>
      </c>
      <c r="B366" s="194" t="s">
        <v>542</v>
      </c>
      <c r="C366" s="189" t="s">
        <v>452</v>
      </c>
      <c r="D366" s="203" t="s">
        <v>79</v>
      </c>
      <c r="E366" s="190" t="s">
        <v>668</v>
      </c>
      <c r="F366" s="187">
        <f>417+50+50</f>
        <v>517</v>
      </c>
      <c r="G366" s="230">
        <f t="shared" si="33"/>
        <v>77.55</v>
      </c>
      <c r="H366" s="230">
        <f t="shared" si="30"/>
        <v>6.79</v>
      </c>
      <c r="I366" s="230"/>
      <c r="J366" s="230"/>
      <c r="K366" s="230">
        <f t="shared" si="31"/>
        <v>5.82</v>
      </c>
      <c r="L366" s="230">
        <f t="shared" si="32"/>
        <v>0.78</v>
      </c>
      <c r="M366" s="370">
        <f t="shared" si="36"/>
        <v>90.94</v>
      </c>
    </row>
    <row r="367" spans="1:13" ht="23.25" customHeight="1">
      <c r="A367" s="154">
        <f t="shared" si="34"/>
        <v>305</v>
      </c>
      <c r="B367" s="194" t="s">
        <v>542</v>
      </c>
      <c r="C367" s="189" t="s">
        <v>452</v>
      </c>
      <c r="D367" s="203" t="s">
        <v>79</v>
      </c>
      <c r="E367" s="190" t="s">
        <v>668</v>
      </c>
      <c r="F367" s="187">
        <f>417+50+50</f>
        <v>517</v>
      </c>
      <c r="G367" s="230">
        <f t="shared" si="33"/>
        <v>77.55</v>
      </c>
      <c r="H367" s="230">
        <f t="shared" si="30"/>
        <v>6.79</v>
      </c>
      <c r="I367" s="230"/>
      <c r="J367" s="230"/>
      <c r="K367" s="230">
        <f t="shared" si="31"/>
        <v>5.82</v>
      </c>
      <c r="L367" s="230">
        <f t="shared" si="32"/>
        <v>0.78</v>
      </c>
      <c r="M367" s="370">
        <f t="shared" si="36"/>
        <v>90.94</v>
      </c>
    </row>
    <row r="368" spans="1:13" ht="23.25" customHeight="1">
      <c r="A368" s="154">
        <f t="shared" si="34"/>
        <v>306</v>
      </c>
      <c r="B368" s="194" t="s">
        <v>542</v>
      </c>
      <c r="C368" s="189" t="s">
        <v>452</v>
      </c>
      <c r="D368" s="203" t="s">
        <v>79</v>
      </c>
      <c r="E368" s="190" t="s">
        <v>668</v>
      </c>
      <c r="F368" s="187">
        <f>417+50+50</f>
        <v>517</v>
      </c>
      <c r="G368" s="230">
        <f>F368/2*0.3</f>
        <v>77.55</v>
      </c>
      <c r="H368" s="230">
        <f>ROUND(G368*8.75%,2)</f>
        <v>6.79</v>
      </c>
      <c r="I368" s="230"/>
      <c r="J368" s="230"/>
      <c r="K368" s="230">
        <f>ROUND(G368*0.075,2)</f>
        <v>5.82</v>
      </c>
      <c r="L368" s="230">
        <f>ROUND(G368*0.01,2)</f>
        <v>0.78</v>
      </c>
      <c r="M368" s="370">
        <f>SUM(G368:L368)</f>
        <v>90.94</v>
      </c>
    </row>
    <row r="369" spans="1:13" ht="23.25" customHeight="1">
      <c r="A369" s="154">
        <f t="shared" si="34"/>
        <v>307</v>
      </c>
      <c r="B369" s="194" t="s">
        <v>547</v>
      </c>
      <c r="C369" s="189" t="s">
        <v>452</v>
      </c>
      <c r="D369" s="203" t="s">
        <v>79</v>
      </c>
      <c r="E369" s="190" t="s">
        <v>668</v>
      </c>
      <c r="F369" s="187">
        <v>417</v>
      </c>
      <c r="G369" s="230">
        <f>F369/2*0.3</f>
        <v>62.55</v>
      </c>
      <c r="H369" s="230">
        <f>ROUND(G369*8.75%,2)</f>
        <v>5.47</v>
      </c>
      <c r="I369" s="186"/>
      <c r="J369" s="186"/>
      <c r="K369" s="230">
        <f>ROUND(G369*0.075,2)</f>
        <v>4.6900000000000004</v>
      </c>
      <c r="L369" s="230">
        <f>ROUND(G369*0.01,2)</f>
        <v>0.63</v>
      </c>
      <c r="M369" s="370">
        <f>SUM(G369:L369)</f>
        <v>73.339999999999989</v>
      </c>
    </row>
    <row r="370" spans="1:13" ht="23.25" customHeight="1">
      <c r="A370" s="154">
        <f t="shared" si="34"/>
        <v>308</v>
      </c>
      <c r="B370" s="194" t="s">
        <v>547</v>
      </c>
      <c r="C370" s="189" t="s">
        <v>452</v>
      </c>
      <c r="D370" s="203" t="s">
        <v>79</v>
      </c>
      <c r="E370" s="190" t="s">
        <v>668</v>
      </c>
      <c r="F370" s="187">
        <v>417</v>
      </c>
      <c r="G370" s="230">
        <f t="shared" si="33"/>
        <v>62.55</v>
      </c>
      <c r="H370" s="230">
        <f t="shared" si="30"/>
        <v>5.47</v>
      </c>
      <c r="I370" s="230"/>
      <c r="J370" s="230"/>
      <c r="K370" s="230">
        <f t="shared" si="31"/>
        <v>4.6900000000000004</v>
      </c>
      <c r="L370" s="230">
        <f t="shared" si="32"/>
        <v>0.63</v>
      </c>
      <c r="M370" s="370">
        <f t="shared" si="36"/>
        <v>73.339999999999989</v>
      </c>
    </row>
    <row r="371" spans="1:13" ht="23.25" customHeight="1">
      <c r="A371" s="154">
        <f t="shared" si="34"/>
        <v>309</v>
      </c>
      <c r="B371" s="194" t="s">
        <v>547</v>
      </c>
      <c r="C371" s="189" t="s">
        <v>452</v>
      </c>
      <c r="D371" s="203" t="s">
        <v>79</v>
      </c>
      <c r="E371" s="190" t="s">
        <v>668</v>
      </c>
      <c r="F371" s="187">
        <f>417</f>
        <v>417</v>
      </c>
      <c r="G371" s="230">
        <f t="shared" si="33"/>
        <v>62.55</v>
      </c>
      <c r="H371" s="230">
        <f t="shared" si="30"/>
        <v>5.47</v>
      </c>
      <c r="I371" s="230"/>
      <c r="J371" s="230"/>
      <c r="K371" s="230">
        <f t="shared" si="31"/>
        <v>4.6900000000000004</v>
      </c>
      <c r="L371" s="230">
        <f t="shared" si="32"/>
        <v>0.63</v>
      </c>
      <c r="M371" s="370">
        <f t="shared" si="36"/>
        <v>73.339999999999989</v>
      </c>
    </row>
    <row r="372" spans="1:13" ht="23.25" customHeight="1">
      <c r="A372" s="154">
        <f t="shared" si="34"/>
        <v>310</v>
      </c>
      <c r="B372" s="194" t="s">
        <v>547</v>
      </c>
      <c r="C372" s="189" t="s">
        <v>452</v>
      </c>
      <c r="D372" s="203" t="s">
        <v>79</v>
      </c>
      <c r="E372" s="190" t="s">
        <v>668</v>
      </c>
      <c r="F372" s="187">
        <f>417</f>
        <v>417</v>
      </c>
      <c r="G372" s="230">
        <f t="shared" si="33"/>
        <v>62.55</v>
      </c>
      <c r="H372" s="230">
        <f t="shared" si="30"/>
        <v>5.47</v>
      </c>
      <c r="I372" s="230"/>
      <c r="J372" s="230"/>
      <c r="K372" s="230">
        <f t="shared" si="31"/>
        <v>4.6900000000000004</v>
      </c>
      <c r="L372" s="230">
        <f t="shared" si="32"/>
        <v>0.63</v>
      </c>
      <c r="M372" s="370">
        <f t="shared" si="36"/>
        <v>73.339999999999989</v>
      </c>
    </row>
    <row r="373" spans="1:13" ht="23.25" customHeight="1">
      <c r="A373" s="154">
        <f t="shared" si="34"/>
        <v>311</v>
      </c>
      <c r="B373" s="194" t="s">
        <v>547</v>
      </c>
      <c r="C373" s="189" t="s">
        <v>452</v>
      </c>
      <c r="D373" s="203" t="s">
        <v>79</v>
      </c>
      <c r="E373" s="190" t="s">
        <v>668</v>
      </c>
      <c r="F373" s="187">
        <f>417</f>
        <v>417</v>
      </c>
      <c r="G373" s="230">
        <f t="shared" si="33"/>
        <v>62.55</v>
      </c>
      <c r="H373" s="230">
        <f t="shared" si="30"/>
        <v>5.47</v>
      </c>
      <c r="I373" s="186"/>
      <c r="J373" s="186"/>
      <c r="K373" s="230">
        <f t="shared" si="31"/>
        <v>4.6900000000000004</v>
      </c>
      <c r="L373" s="230">
        <f t="shared" si="32"/>
        <v>0.63</v>
      </c>
      <c r="M373" s="370">
        <f>SUM(G373:L373)</f>
        <v>73.339999999999989</v>
      </c>
    </row>
    <row r="374" spans="1:13" ht="23.25" customHeight="1">
      <c r="A374" s="154">
        <f t="shared" si="34"/>
        <v>312</v>
      </c>
      <c r="B374" s="194" t="s">
        <v>547</v>
      </c>
      <c r="C374" s="189" t="s">
        <v>452</v>
      </c>
      <c r="D374" s="203" t="s">
        <v>79</v>
      </c>
      <c r="E374" s="190" t="s">
        <v>668</v>
      </c>
      <c r="F374" s="187">
        <f>417</f>
        <v>417</v>
      </c>
      <c r="G374" s="230">
        <f t="shared" si="33"/>
        <v>62.55</v>
      </c>
      <c r="H374" s="230">
        <f t="shared" si="30"/>
        <v>5.47</v>
      </c>
      <c r="I374" s="186"/>
      <c r="J374" s="186"/>
      <c r="K374" s="230">
        <f t="shared" si="31"/>
        <v>4.6900000000000004</v>
      </c>
      <c r="L374" s="230">
        <f t="shared" si="32"/>
        <v>0.63</v>
      </c>
      <c r="M374" s="370">
        <f>SUM(G374:L374)</f>
        <v>73.339999999999989</v>
      </c>
    </row>
    <row r="375" spans="1:13" ht="23.25" customHeight="1">
      <c r="A375" s="154">
        <f t="shared" si="34"/>
        <v>313</v>
      </c>
      <c r="B375" s="194" t="s">
        <v>547</v>
      </c>
      <c r="C375" s="189" t="s">
        <v>452</v>
      </c>
      <c r="D375" s="203" t="s">
        <v>79</v>
      </c>
      <c r="E375" s="190" t="s">
        <v>668</v>
      </c>
      <c r="F375" s="187">
        <f>417</f>
        <v>417</v>
      </c>
      <c r="G375" s="230">
        <f t="shared" si="33"/>
        <v>62.55</v>
      </c>
      <c r="H375" s="230">
        <f t="shared" si="30"/>
        <v>5.47</v>
      </c>
      <c r="I375" s="230"/>
      <c r="J375" s="230"/>
      <c r="K375" s="230">
        <f t="shared" si="31"/>
        <v>4.6900000000000004</v>
      </c>
      <c r="L375" s="230">
        <f t="shared" si="32"/>
        <v>0.63</v>
      </c>
      <c r="M375" s="370">
        <f>SUM(G375:L375)</f>
        <v>73.339999999999989</v>
      </c>
    </row>
    <row r="376" spans="1:13" ht="23.25" customHeight="1">
      <c r="A376" s="154">
        <f t="shared" si="34"/>
        <v>314</v>
      </c>
      <c r="B376" s="194" t="s">
        <v>547</v>
      </c>
      <c r="C376" s="189" t="s">
        <v>452</v>
      </c>
      <c r="D376" s="203" t="s">
        <v>79</v>
      </c>
      <c r="E376" s="190" t="s">
        <v>668</v>
      </c>
      <c r="F376" s="187">
        <f>417</f>
        <v>417</v>
      </c>
      <c r="G376" s="230">
        <f t="shared" si="33"/>
        <v>62.55</v>
      </c>
      <c r="H376" s="230">
        <f t="shared" si="30"/>
        <v>5.47</v>
      </c>
      <c r="I376" s="230"/>
      <c r="J376" s="230"/>
      <c r="K376" s="230">
        <f t="shared" si="31"/>
        <v>4.6900000000000004</v>
      </c>
      <c r="L376" s="230">
        <f t="shared" si="32"/>
        <v>0.63</v>
      </c>
      <c r="M376" s="370">
        <f t="shared" si="36"/>
        <v>73.339999999999989</v>
      </c>
    </row>
    <row r="377" spans="1:13" ht="25.5" customHeight="1">
      <c r="A377" s="154">
        <f t="shared" si="34"/>
        <v>315</v>
      </c>
      <c r="B377" s="168" t="s">
        <v>547</v>
      </c>
      <c r="C377" s="189" t="s">
        <v>452</v>
      </c>
      <c r="D377" s="203" t="s">
        <v>79</v>
      </c>
      <c r="E377" s="190" t="s">
        <v>668</v>
      </c>
      <c r="F377" s="187">
        <v>417</v>
      </c>
      <c r="G377" s="230">
        <f>F377/2*0.3</f>
        <v>62.55</v>
      </c>
      <c r="H377" s="230">
        <f t="shared" si="30"/>
        <v>5.47</v>
      </c>
      <c r="I377" s="230"/>
      <c r="J377" s="230"/>
      <c r="K377" s="230">
        <f t="shared" si="31"/>
        <v>4.6900000000000004</v>
      </c>
      <c r="L377" s="230">
        <f t="shared" si="32"/>
        <v>0.63</v>
      </c>
      <c r="M377" s="370">
        <f t="shared" si="36"/>
        <v>73.339999999999989</v>
      </c>
    </row>
    <row r="378" spans="1:13" ht="15.75" customHeight="1">
      <c r="A378" s="154"/>
      <c r="B378" s="374" t="s">
        <v>555</v>
      </c>
      <c r="C378" s="375"/>
      <c r="D378" s="376"/>
      <c r="E378" s="190"/>
      <c r="F378" s="187"/>
      <c r="G378" s="230"/>
      <c r="H378" s="230"/>
      <c r="I378" s="230"/>
      <c r="J378" s="230"/>
      <c r="K378" s="230"/>
      <c r="L378" s="230"/>
      <c r="M378" s="230"/>
    </row>
    <row r="379" spans="1:13" ht="24.75" customHeight="1">
      <c r="A379" s="154">
        <f>A377+1</f>
        <v>316</v>
      </c>
      <c r="B379" s="194" t="s">
        <v>728</v>
      </c>
      <c r="C379" s="189" t="s">
        <v>452</v>
      </c>
      <c r="D379" s="203" t="s">
        <v>79</v>
      </c>
      <c r="E379" s="190" t="s">
        <v>668</v>
      </c>
      <c r="F379" s="187">
        <v>1000</v>
      </c>
      <c r="G379" s="230">
        <f t="shared" ref="G379:G385" si="37">F379/2*0.3</f>
        <v>150</v>
      </c>
      <c r="H379" s="230">
        <f>ROUND(G379*8.75%,2)</f>
        <v>13.13</v>
      </c>
      <c r="I379" s="230"/>
      <c r="J379" s="230"/>
      <c r="K379" s="230">
        <f>ROUND(G379*0.075,2)</f>
        <v>11.25</v>
      </c>
      <c r="L379" s="230">
        <f t="shared" si="32"/>
        <v>1.5</v>
      </c>
      <c r="M379" s="370">
        <f>SUM(G379:L379)</f>
        <v>175.88</v>
      </c>
    </row>
    <row r="380" spans="1:13" ht="26.25" customHeight="1">
      <c r="A380" s="154">
        <f>A379+1</f>
        <v>317</v>
      </c>
      <c r="B380" s="194" t="s">
        <v>557</v>
      </c>
      <c r="C380" s="189" t="s">
        <v>452</v>
      </c>
      <c r="D380" s="203" t="s">
        <v>79</v>
      </c>
      <c r="E380" s="190" t="s">
        <v>668</v>
      </c>
      <c r="F380" s="187">
        <f>645+30+50+50</f>
        <v>775</v>
      </c>
      <c r="G380" s="230">
        <f t="shared" si="37"/>
        <v>116.25</v>
      </c>
      <c r="H380" s="230">
        <f>ROUND(G380*8.75%,2)</f>
        <v>10.17</v>
      </c>
      <c r="I380" s="230"/>
      <c r="J380" s="230"/>
      <c r="K380" s="230">
        <f>ROUND(G380*0.075,2)</f>
        <v>8.7200000000000006</v>
      </c>
      <c r="L380" s="230">
        <f>ROUND(G380*0.01,2)</f>
        <v>1.1599999999999999</v>
      </c>
      <c r="M380" s="370">
        <f>SUM(G380:L380)</f>
        <v>136.30000000000001</v>
      </c>
    </row>
    <row r="381" spans="1:13" ht="22.5" customHeight="1">
      <c r="A381" s="154">
        <f>A380+1</f>
        <v>318</v>
      </c>
      <c r="B381" s="194" t="s">
        <v>561</v>
      </c>
      <c r="C381" s="189" t="s">
        <v>452</v>
      </c>
      <c r="D381" s="203" t="s">
        <v>79</v>
      </c>
      <c r="E381" s="190" t="s">
        <v>668</v>
      </c>
      <c r="F381" s="187">
        <f>694.29+30+50+50</f>
        <v>824.29</v>
      </c>
      <c r="G381" s="230">
        <f t="shared" si="37"/>
        <v>123.64349999999999</v>
      </c>
      <c r="H381" s="230"/>
      <c r="I381" s="230">
        <f>ROUND(G381*0.06,2)</f>
        <v>7.42</v>
      </c>
      <c r="J381" s="230"/>
      <c r="K381" s="230">
        <f t="shared" ref="K381:K389" si="38">ROUND(G381*0.075,2)</f>
        <v>9.27</v>
      </c>
      <c r="L381" s="230">
        <f t="shared" ref="L381:L389" si="39">ROUND(G381*0.01,2)</f>
        <v>1.24</v>
      </c>
      <c r="M381" s="370">
        <f t="shared" ref="M381:M389" si="40">SUM(G381:L381)</f>
        <v>141.5735</v>
      </c>
    </row>
    <row r="382" spans="1:13" ht="23.25" customHeight="1">
      <c r="A382" s="154">
        <f t="shared" ref="A382:A389" si="41">A381+1</f>
        <v>319</v>
      </c>
      <c r="B382" s="194" t="s">
        <v>707</v>
      </c>
      <c r="C382" s="189" t="s">
        <v>452</v>
      </c>
      <c r="D382" s="203" t="s">
        <v>79</v>
      </c>
      <c r="E382" s="190" t="s">
        <v>668</v>
      </c>
      <c r="F382" s="187">
        <v>700</v>
      </c>
      <c r="G382" s="230">
        <f t="shared" si="37"/>
        <v>105</v>
      </c>
      <c r="H382" s="230">
        <f>ROUND(G382*8.75%,2)</f>
        <v>9.19</v>
      </c>
      <c r="I382" s="230"/>
      <c r="J382" s="230"/>
      <c r="K382" s="230">
        <f t="shared" si="38"/>
        <v>7.88</v>
      </c>
      <c r="L382" s="230">
        <f t="shared" si="39"/>
        <v>1.05</v>
      </c>
      <c r="M382" s="370">
        <f t="shared" si="40"/>
        <v>123.11999999999999</v>
      </c>
    </row>
    <row r="383" spans="1:13" ht="15.75" customHeight="1">
      <c r="A383" s="154">
        <f t="shared" si="41"/>
        <v>320</v>
      </c>
      <c r="B383" s="194" t="s">
        <v>565</v>
      </c>
      <c r="C383" s="189" t="s">
        <v>452</v>
      </c>
      <c r="D383" s="203" t="s">
        <v>79</v>
      </c>
      <c r="E383" s="190" t="s">
        <v>668</v>
      </c>
      <c r="F383" s="187">
        <f>467+30+50</f>
        <v>547</v>
      </c>
      <c r="G383" s="230">
        <f t="shared" si="37"/>
        <v>82.05</v>
      </c>
      <c r="H383" s="230">
        <f t="shared" ref="H383:H389" si="42">ROUND(G383*8.75%,2)</f>
        <v>7.18</v>
      </c>
      <c r="I383" s="230"/>
      <c r="J383" s="230"/>
      <c r="K383" s="230">
        <f t="shared" si="38"/>
        <v>6.15</v>
      </c>
      <c r="L383" s="230">
        <f t="shared" si="39"/>
        <v>0.82</v>
      </c>
      <c r="M383" s="370">
        <f t="shared" si="40"/>
        <v>96.199999999999989</v>
      </c>
    </row>
    <row r="384" spans="1:13" ht="15.75" customHeight="1">
      <c r="A384" s="154">
        <f t="shared" si="41"/>
        <v>321</v>
      </c>
      <c r="B384" s="194" t="s">
        <v>565</v>
      </c>
      <c r="C384" s="189" t="s">
        <v>452</v>
      </c>
      <c r="D384" s="203" t="s">
        <v>79</v>
      </c>
      <c r="E384" s="190" t="s">
        <v>668</v>
      </c>
      <c r="F384" s="187">
        <f>547+50</f>
        <v>597</v>
      </c>
      <c r="G384" s="230">
        <f t="shared" si="37"/>
        <v>89.55</v>
      </c>
      <c r="H384" s="230">
        <f t="shared" si="42"/>
        <v>7.84</v>
      </c>
      <c r="I384" s="230"/>
      <c r="J384" s="230"/>
      <c r="K384" s="230">
        <f t="shared" si="38"/>
        <v>6.72</v>
      </c>
      <c r="L384" s="230">
        <f t="shared" si="39"/>
        <v>0.9</v>
      </c>
      <c r="M384" s="370">
        <f t="shared" si="40"/>
        <v>105.01</v>
      </c>
    </row>
    <row r="385" spans="1:13" ht="22.5" customHeight="1">
      <c r="A385" s="154">
        <f t="shared" si="41"/>
        <v>322</v>
      </c>
      <c r="B385" s="194" t="s">
        <v>567</v>
      </c>
      <c r="C385" s="189" t="s">
        <v>452</v>
      </c>
      <c r="D385" s="203" t="s">
        <v>79</v>
      </c>
      <c r="E385" s="190" t="s">
        <v>668</v>
      </c>
      <c r="F385" s="187">
        <f>614.86+30+50+50</f>
        <v>744.86</v>
      </c>
      <c r="G385" s="230">
        <f t="shared" si="37"/>
        <v>111.729</v>
      </c>
      <c r="H385" s="230">
        <f t="shared" si="42"/>
        <v>9.7799999999999994</v>
      </c>
      <c r="I385" s="230"/>
      <c r="J385" s="230"/>
      <c r="K385" s="230">
        <f t="shared" si="38"/>
        <v>8.3800000000000008</v>
      </c>
      <c r="L385" s="230">
        <f t="shared" si="39"/>
        <v>1.1200000000000001</v>
      </c>
      <c r="M385" s="370">
        <f t="shared" si="40"/>
        <v>131.00900000000001</v>
      </c>
    </row>
    <row r="386" spans="1:13" ht="23.25" customHeight="1">
      <c r="A386" s="154">
        <f t="shared" si="41"/>
        <v>323</v>
      </c>
      <c r="B386" s="194" t="s">
        <v>569</v>
      </c>
      <c r="C386" s="189" t="s">
        <v>452</v>
      </c>
      <c r="D386" s="203" t="s">
        <v>79</v>
      </c>
      <c r="E386" s="190" t="s">
        <v>668</v>
      </c>
      <c r="F386" s="187">
        <f>614.86+30+50+50</f>
        <v>744.86</v>
      </c>
      <c r="G386" s="230">
        <f>F386/2*0.3</f>
        <v>111.729</v>
      </c>
      <c r="H386" s="230">
        <f t="shared" si="42"/>
        <v>9.7799999999999994</v>
      </c>
      <c r="I386" s="230"/>
      <c r="J386" s="230"/>
      <c r="K386" s="230">
        <f t="shared" si="38"/>
        <v>8.3800000000000008</v>
      </c>
      <c r="L386" s="230">
        <f t="shared" si="39"/>
        <v>1.1200000000000001</v>
      </c>
      <c r="M386" s="370">
        <f t="shared" si="40"/>
        <v>131.00900000000001</v>
      </c>
    </row>
    <row r="387" spans="1:13" ht="22.5" customHeight="1">
      <c r="A387" s="154">
        <f t="shared" si="41"/>
        <v>324</v>
      </c>
      <c r="B387" s="194" t="s">
        <v>684</v>
      </c>
      <c r="C387" s="189" t="s">
        <v>452</v>
      </c>
      <c r="D387" s="203" t="s">
        <v>79</v>
      </c>
      <c r="E387" s="190" t="s">
        <v>668</v>
      </c>
      <c r="F387" s="187">
        <f>547+30+50+50</f>
        <v>677</v>
      </c>
      <c r="G387" s="230">
        <f>F387/2*0.3</f>
        <v>101.55</v>
      </c>
      <c r="H387" s="230">
        <f t="shared" si="42"/>
        <v>8.89</v>
      </c>
      <c r="I387" s="230"/>
      <c r="J387" s="230"/>
      <c r="K387" s="230">
        <f t="shared" si="38"/>
        <v>7.62</v>
      </c>
      <c r="L387" s="230">
        <f t="shared" si="39"/>
        <v>1.02</v>
      </c>
      <c r="M387" s="370">
        <f t="shared" si="40"/>
        <v>119.08</v>
      </c>
    </row>
    <row r="388" spans="1:13" ht="24.75" customHeight="1">
      <c r="A388" s="154">
        <f t="shared" si="41"/>
        <v>325</v>
      </c>
      <c r="B388" s="194" t="s">
        <v>571</v>
      </c>
      <c r="C388" s="189" t="s">
        <v>452</v>
      </c>
      <c r="D388" s="203" t="s">
        <v>79</v>
      </c>
      <c r="E388" s="190" t="s">
        <v>668</v>
      </c>
      <c r="F388" s="187">
        <f>547+30+50+50</f>
        <v>677</v>
      </c>
      <c r="G388" s="230">
        <f>F388/2*0.3</f>
        <v>101.55</v>
      </c>
      <c r="H388" s="230">
        <f t="shared" si="42"/>
        <v>8.89</v>
      </c>
      <c r="I388" s="230"/>
      <c r="J388" s="230"/>
      <c r="K388" s="230">
        <f t="shared" si="38"/>
        <v>7.62</v>
      </c>
      <c r="L388" s="230">
        <f t="shared" si="39"/>
        <v>1.02</v>
      </c>
      <c r="M388" s="370">
        <f t="shared" si="40"/>
        <v>119.08</v>
      </c>
    </row>
    <row r="389" spans="1:13" ht="21" customHeight="1">
      <c r="A389" s="154">
        <f t="shared" si="41"/>
        <v>326</v>
      </c>
      <c r="B389" s="194" t="s">
        <v>741</v>
      </c>
      <c r="C389" s="189" t="s">
        <v>452</v>
      </c>
      <c r="D389" s="203" t="s">
        <v>79</v>
      </c>
      <c r="E389" s="190" t="s">
        <v>668</v>
      </c>
      <c r="F389" s="187">
        <v>700</v>
      </c>
      <c r="G389" s="230">
        <f>F389/2*0.3</f>
        <v>105</v>
      </c>
      <c r="H389" s="230">
        <f t="shared" si="42"/>
        <v>9.19</v>
      </c>
      <c r="I389" s="230"/>
      <c r="J389" s="230"/>
      <c r="K389" s="230">
        <f t="shared" si="38"/>
        <v>7.88</v>
      </c>
      <c r="L389" s="230">
        <f t="shared" si="39"/>
        <v>1.05</v>
      </c>
      <c r="M389" s="370">
        <f t="shared" si="40"/>
        <v>123.11999999999999</v>
      </c>
    </row>
    <row r="390" spans="1:13" ht="14.25" customHeight="1">
      <c r="A390" s="154"/>
      <c r="B390" s="371" t="s">
        <v>572</v>
      </c>
      <c r="C390" s="189"/>
      <c r="D390" s="203"/>
      <c r="E390" s="190"/>
      <c r="F390" s="187" t="s">
        <v>50</v>
      </c>
      <c r="G390" s="230"/>
      <c r="H390" s="230"/>
      <c r="I390" s="230"/>
      <c r="J390" s="230"/>
      <c r="K390" s="230"/>
      <c r="L390" s="230"/>
      <c r="M390" s="230"/>
    </row>
    <row r="391" spans="1:13" ht="23.25" customHeight="1">
      <c r="A391" s="154">
        <f>A389+1</f>
        <v>327</v>
      </c>
      <c r="B391" s="168" t="s">
        <v>669</v>
      </c>
      <c r="C391" s="189" t="s">
        <v>452</v>
      </c>
      <c r="D391" s="203" t="s">
        <v>79</v>
      </c>
      <c r="E391" s="190" t="s">
        <v>668</v>
      </c>
      <c r="F391" s="187">
        <v>800</v>
      </c>
      <c r="G391" s="230">
        <f>F391/2*0.3</f>
        <v>120</v>
      </c>
      <c r="H391" s="230">
        <f>ROUND(G391*8.75%,2)</f>
        <v>10.5</v>
      </c>
      <c r="I391" s="230"/>
      <c r="J391" s="230"/>
      <c r="K391" s="230">
        <f>ROUND(G391*0.075,2)</f>
        <v>9</v>
      </c>
      <c r="L391" s="230">
        <f>ROUND(G391*0.01,2)</f>
        <v>1.2</v>
      </c>
      <c r="M391" s="370">
        <f>SUM(G391:L391)</f>
        <v>140.69999999999999</v>
      </c>
    </row>
    <row r="392" spans="1:13" ht="22.5" customHeight="1">
      <c r="A392" s="154">
        <f>A391+1</f>
        <v>328</v>
      </c>
      <c r="B392" s="168" t="s">
        <v>110</v>
      </c>
      <c r="C392" s="214" t="s">
        <v>452</v>
      </c>
      <c r="D392" s="203" t="s">
        <v>79</v>
      </c>
      <c r="E392" s="190" t="s">
        <v>668</v>
      </c>
      <c r="F392" s="187">
        <v>820</v>
      </c>
      <c r="G392" s="230">
        <f>F392/2*0.3</f>
        <v>123</v>
      </c>
      <c r="H392" s="230">
        <f>ROUND(G392*8.75%,2)</f>
        <v>10.76</v>
      </c>
      <c r="I392" s="230"/>
      <c r="J392" s="230"/>
      <c r="K392" s="230">
        <f>ROUND(G392*0.075,2)</f>
        <v>9.23</v>
      </c>
      <c r="L392" s="230">
        <f>ROUND(G392*0.01,2)</f>
        <v>1.23</v>
      </c>
      <c r="M392" s="370">
        <f>SUM(G392:L392)</f>
        <v>144.21999999999997</v>
      </c>
    </row>
    <row r="393" spans="1:13" ht="25.5" customHeight="1">
      <c r="A393" s="154">
        <f>A392+1</f>
        <v>329</v>
      </c>
      <c r="B393" s="194" t="s">
        <v>574</v>
      </c>
      <c r="C393" s="189" t="s">
        <v>452</v>
      </c>
      <c r="D393" s="203" t="s">
        <v>79</v>
      </c>
      <c r="E393" s="190" t="s">
        <v>668</v>
      </c>
      <c r="F393" s="187">
        <f>617.72+30+50+50</f>
        <v>747.72</v>
      </c>
      <c r="G393" s="230">
        <f>F393/2*0.3</f>
        <v>112.158</v>
      </c>
      <c r="H393" s="230">
        <f>ROUND(G393*8.75%,2)</f>
        <v>9.81</v>
      </c>
      <c r="I393" s="230"/>
      <c r="J393" s="230"/>
      <c r="K393" s="230">
        <f>ROUND(G393*0.075,2)</f>
        <v>8.41</v>
      </c>
      <c r="L393" s="230">
        <f>ROUND(G393*0.01,2)</f>
        <v>1.1200000000000001</v>
      </c>
      <c r="M393" s="370">
        <f>SUM(G393:L393)</f>
        <v>131.49800000000002</v>
      </c>
    </row>
    <row r="394" spans="1:13" ht="24" customHeight="1">
      <c r="A394" s="154">
        <f>A393+1</f>
        <v>330</v>
      </c>
      <c r="B394" s="194" t="s">
        <v>576</v>
      </c>
      <c r="C394" s="189" t="s">
        <v>452</v>
      </c>
      <c r="D394" s="203" t="s">
        <v>79</v>
      </c>
      <c r="E394" s="190" t="s">
        <v>668</v>
      </c>
      <c r="F394" s="187">
        <v>700</v>
      </c>
      <c r="G394" s="230">
        <f>F394/2*0.3</f>
        <v>105</v>
      </c>
      <c r="H394" s="230">
        <f>ROUND(G394*8.75%,2)</f>
        <v>9.19</v>
      </c>
      <c r="I394" s="230"/>
      <c r="J394" s="230"/>
      <c r="K394" s="230">
        <f>ROUND(G394*0.075,2)</f>
        <v>7.88</v>
      </c>
      <c r="L394" s="230">
        <f>ROUND(G394*0.01,2)</f>
        <v>1.05</v>
      </c>
      <c r="M394" s="370">
        <f>SUM(G394:L394)</f>
        <v>123.11999999999999</v>
      </c>
    </row>
    <row r="395" spans="1:13" ht="20.25" customHeight="1">
      <c r="A395" s="154"/>
      <c r="B395" s="371" t="s">
        <v>577</v>
      </c>
      <c r="C395" s="189"/>
      <c r="D395" s="203"/>
      <c r="E395" s="190"/>
      <c r="F395" s="187"/>
      <c r="G395" s="230"/>
      <c r="H395" s="230"/>
      <c r="I395" s="230"/>
      <c r="J395" s="230"/>
      <c r="K395" s="230"/>
      <c r="L395" s="230"/>
      <c r="M395" s="230"/>
    </row>
    <row r="396" spans="1:13" ht="22.5" customHeight="1">
      <c r="A396" s="154">
        <f>A394+1</f>
        <v>331</v>
      </c>
      <c r="B396" s="168" t="s">
        <v>727</v>
      </c>
      <c r="C396" s="189" t="s">
        <v>452</v>
      </c>
      <c r="D396" s="203" t="s">
        <v>79</v>
      </c>
      <c r="E396" s="190" t="s">
        <v>668</v>
      </c>
      <c r="F396" s="230">
        <v>1000</v>
      </c>
      <c r="G396" s="230">
        <f t="shared" ref="G396:G402" si="43">F396/2*0.3</f>
        <v>150</v>
      </c>
      <c r="H396" s="230">
        <f t="shared" ref="H396:H401" si="44">ROUND(G396*8.75%,2)</f>
        <v>13.13</v>
      </c>
      <c r="I396" s="230"/>
      <c r="J396" s="230"/>
      <c r="K396" s="230">
        <f t="shared" ref="K396:K404" si="45">ROUND(G396*0.075,2)</f>
        <v>11.25</v>
      </c>
      <c r="L396" s="230">
        <f t="shared" ref="L396:L404" si="46">ROUND(G396*0.01,2)</f>
        <v>1.5</v>
      </c>
      <c r="M396" s="370">
        <f t="shared" ref="M396:M408" si="47">SUM(G396:L396)</f>
        <v>175.88</v>
      </c>
    </row>
    <row r="397" spans="1:13" ht="22.5" customHeight="1">
      <c r="A397" s="154">
        <f>A396+1</f>
        <v>332</v>
      </c>
      <c r="B397" s="194" t="s">
        <v>579</v>
      </c>
      <c r="C397" s="189" t="s">
        <v>452</v>
      </c>
      <c r="D397" s="203" t="s">
        <v>79</v>
      </c>
      <c r="E397" s="190" t="s">
        <v>668</v>
      </c>
      <c r="F397" s="187">
        <f>617.72+30+50+50</f>
        <v>747.72</v>
      </c>
      <c r="G397" s="230">
        <f t="shared" si="43"/>
        <v>112.158</v>
      </c>
      <c r="H397" s="230">
        <f t="shared" si="44"/>
        <v>9.81</v>
      </c>
      <c r="I397" s="230"/>
      <c r="J397" s="230"/>
      <c r="K397" s="230">
        <f t="shared" si="45"/>
        <v>8.41</v>
      </c>
      <c r="L397" s="230">
        <f t="shared" si="46"/>
        <v>1.1200000000000001</v>
      </c>
      <c r="M397" s="370">
        <f t="shared" si="47"/>
        <v>131.49800000000002</v>
      </c>
    </row>
    <row r="398" spans="1:13" ht="16.5" customHeight="1">
      <c r="A398" s="154"/>
      <c r="B398" s="371" t="s">
        <v>582</v>
      </c>
      <c r="C398" s="189"/>
      <c r="D398" s="203"/>
      <c r="E398" s="190"/>
      <c r="F398" s="187"/>
      <c r="G398" s="230"/>
      <c r="H398" s="230"/>
      <c r="I398" s="230"/>
      <c r="J398" s="230"/>
      <c r="K398" s="230"/>
      <c r="L398" s="230"/>
      <c r="M398" s="370"/>
    </row>
    <row r="399" spans="1:13" ht="21" customHeight="1">
      <c r="A399" s="154">
        <f>A397+1</f>
        <v>333</v>
      </c>
      <c r="B399" s="194" t="s">
        <v>584</v>
      </c>
      <c r="C399" s="189" t="s">
        <v>452</v>
      </c>
      <c r="D399" s="203" t="s">
        <v>79</v>
      </c>
      <c r="E399" s="190" t="s">
        <v>668</v>
      </c>
      <c r="F399" s="187">
        <v>875</v>
      </c>
      <c r="G399" s="230">
        <f t="shared" si="43"/>
        <v>131.25</v>
      </c>
      <c r="H399" s="230">
        <f t="shared" si="44"/>
        <v>11.48</v>
      </c>
      <c r="I399" s="230"/>
      <c r="J399" s="230"/>
      <c r="K399" s="230">
        <f t="shared" si="45"/>
        <v>9.84</v>
      </c>
      <c r="L399" s="230">
        <f t="shared" si="46"/>
        <v>1.31</v>
      </c>
      <c r="M399" s="370">
        <f t="shared" si="47"/>
        <v>153.88</v>
      </c>
    </row>
    <row r="400" spans="1:13" ht="21.75" customHeight="1">
      <c r="A400" s="154">
        <f>A399+1</f>
        <v>334</v>
      </c>
      <c r="B400" s="194" t="s">
        <v>658</v>
      </c>
      <c r="C400" s="189" t="s">
        <v>452</v>
      </c>
      <c r="D400" s="203" t="s">
        <v>79</v>
      </c>
      <c r="E400" s="190" t="s">
        <v>668</v>
      </c>
      <c r="F400" s="187">
        <v>650</v>
      </c>
      <c r="G400" s="230">
        <f t="shared" si="43"/>
        <v>97.5</v>
      </c>
      <c r="H400" s="230">
        <f t="shared" si="44"/>
        <v>8.5299999999999994</v>
      </c>
      <c r="I400" s="230"/>
      <c r="J400" s="230"/>
      <c r="K400" s="230">
        <f t="shared" si="45"/>
        <v>7.31</v>
      </c>
      <c r="L400" s="230">
        <f t="shared" si="46"/>
        <v>0.98</v>
      </c>
      <c r="M400" s="370">
        <f t="shared" si="47"/>
        <v>114.32000000000001</v>
      </c>
    </row>
    <row r="401" spans="1:13" ht="21" customHeight="1">
      <c r="A401" s="154">
        <f>A400+1</f>
        <v>335</v>
      </c>
      <c r="B401" s="194" t="s">
        <v>588</v>
      </c>
      <c r="C401" s="189" t="s">
        <v>452</v>
      </c>
      <c r="D401" s="203" t="s">
        <v>79</v>
      </c>
      <c r="E401" s="190" t="s">
        <v>668</v>
      </c>
      <c r="F401" s="187">
        <f>554+30+50+50</f>
        <v>684</v>
      </c>
      <c r="G401" s="230">
        <f t="shared" si="43"/>
        <v>102.6</v>
      </c>
      <c r="H401" s="230">
        <f t="shared" si="44"/>
        <v>8.98</v>
      </c>
      <c r="I401" s="230"/>
      <c r="J401" s="230"/>
      <c r="K401" s="230">
        <f t="shared" si="45"/>
        <v>7.7</v>
      </c>
      <c r="L401" s="230">
        <f t="shared" si="46"/>
        <v>1.03</v>
      </c>
      <c r="M401" s="370">
        <f t="shared" si="47"/>
        <v>120.31</v>
      </c>
    </row>
    <row r="402" spans="1:13" ht="21.75" customHeight="1">
      <c r="A402" s="154">
        <f>A401+1</f>
        <v>336</v>
      </c>
      <c r="B402" s="194" t="s">
        <v>590</v>
      </c>
      <c r="C402" s="189" t="s">
        <v>452</v>
      </c>
      <c r="D402" s="203" t="s">
        <v>79</v>
      </c>
      <c r="E402" s="190" t="s">
        <v>668</v>
      </c>
      <c r="F402" s="187">
        <v>600</v>
      </c>
      <c r="G402" s="230">
        <f t="shared" si="43"/>
        <v>90</v>
      </c>
      <c r="H402" s="230">
        <f>ROUND(G402*8.75%,2)</f>
        <v>7.88</v>
      </c>
      <c r="I402" s="230"/>
      <c r="J402" s="230"/>
      <c r="K402" s="230">
        <f t="shared" si="45"/>
        <v>6.75</v>
      </c>
      <c r="L402" s="230">
        <f t="shared" si="46"/>
        <v>0.9</v>
      </c>
      <c r="M402" s="370">
        <f t="shared" si="47"/>
        <v>105.53</v>
      </c>
    </row>
    <row r="403" spans="1:13" ht="22.5" customHeight="1">
      <c r="A403" s="154">
        <f>A402+1</f>
        <v>337</v>
      </c>
      <c r="B403" s="194" t="s">
        <v>670</v>
      </c>
      <c r="C403" s="189" t="s">
        <v>452</v>
      </c>
      <c r="D403" s="203" t="s">
        <v>79</v>
      </c>
      <c r="E403" s="190" t="s">
        <v>668</v>
      </c>
      <c r="F403" s="187">
        <f>467+30+50+50</f>
        <v>597</v>
      </c>
      <c r="G403" s="230">
        <f>F403/2*0.3</f>
        <v>89.55</v>
      </c>
      <c r="H403" s="230">
        <f>ROUND(G403*8.75%,2)</f>
        <v>7.84</v>
      </c>
      <c r="I403" s="230"/>
      <c r="J403" s="230"/>
      <c r="K403" s="230">
        <f t="shared" si="45"/>
        <v>6.72</v>
      </c>
      <c r="L403" s="230">
        <f t="shared" si="46"/>
        <v>0.9</v>
      </c>
      <c r="M403" s="370">
        <f t="shared" si="47"/>
        <v>105.01</v>
      </c>
    </row>
    <row r="404" spans="1:13" ht="22.5" customHeight="1">
      <c r="A404" s="154">
        <f>A403+1</f>
        <v>338</v>
      </c>
      <c r="B404" s="168" t="s">
        <v>681</v>
      </c>
      <c r="C404" s="214" t="s">
        <v>452</v>
      </c>
      <c r="D404" s="203" t="s">
        <v>79</v>
      </c>
      <c r="E404" s="190" t="s">
        <v>668</v>
      </c>
      <c r="F404" s="187">
        <v>417</v>
      </c>
      <c r="G404" s="230">
        <f>F404/2*0.3</f>
        <v>62.55</v>
      </c>
      <c r="H404" s="230">
        <f>ROUND(G404*8.75%,2)</f>
        <v>5.47</v>
      </c>
      <c r="I404" s="230"/>
      <c r="J404" s="230"/>
      <c r="K404" s="230">
        <f t="shared" si="45"/>
        <v>4.6900000000000004</v>
      </c>
      <c r="L404" s="230">
        <f t="shared" si="46"/>
        <v>0.63</v>
      </c>
      <c r="M404" s="370">
        <f t="shared" si="47"/>
        <v>73.339999999999989</v>
      </c>
    </row>
    <row r="405" spans="1:13" ht="15" customHeight="1">
      <c r="A405" s="154"/>
      <c r="B405" s="140"/>
      <c r="C405" s="156"/>
      <c r="D405" s="203"/>
      <c r="E405" s="190"/>
      <c r="F405" s="153">
        <f t="shared" ref="F405:M405" si="48">SUM(F292:F404)</f>
        <v>65619.640000000014</v>
      </c>
      <c r="G405" s="153">
        <f t="shared" si="48"/>
        <v>9596.3460000000068</v>
      </c>
      <c r="H405" s="153">
        <f t="shared" si="48"/>
        <v>829.00000000000045</v>
      </c>
      <c r="I405" s="153">
        <f t="shared" si="48"/>
        <v>7.42</v>
      </c>
      <c r="J405" s="153">
        <f t="shared" si="48"/>
        <v>0</v>
      </c>
      <c r="K405" s="153">
        <f t="shared" si="48"/>
        <v>719.85000000000036</v>
      </c>
      <c r="L405" s="153">
        <f t="shared" si="48"/>
        <v>96.29000000000002</v>
      </c>
      <c r="M405" s="153">
        <f t="shared" si="48"/>
        <v>11248.906000000003</v>
      </c>
    </row>
    <row r="406" spans="1:13" ht="23.25" customHeight="1">
      <c r="A406" s="154">
        <f>A404+1</f>
        <v>339</v>
      </c>
      <c r="B406" s="168" t="s">
        <v>593</v>
      </c>
      <c r="C406" s="189" t="s">
        <v>594</v>
      </c>
      <c r="D406" s="204" t="s">
        <v>79</v>
      </c>
      <c r="E406" s="190" t="s">
        <v>668</v>
      </c>
      <c r="F406" s="187">
        <v>1500</v>
      </c>
      <c r="G406" s="230">
        <f t="shared" ref="G406:G422" si="49">F406/2*0.3</f>
        <v>225</v>
      </c>
      <c r="H406" s="230">
        <f>ROUND(G406*8.75%,2)</f>
        <v>19.690000000000001</v>
      </c>
      <c r="I406" s="230"/>
      <c r="J406" s="230"/>
      <c r="K406" s="230">
        <f>ROUND(G406*0.075,2)</f>
        <v>16.88</v>
      </c>
      <c r="L406" s="230">
        <f>ROUND(G406*0.01,2)</f>
        <v>2.25</v>
      </c>
      <c r="M406" s="370">
        <f t="shared" si="47"/>
        <v>263.82</v>
      </c>
    </row>
    <row r="407" spans="1:13" ht="21" customHeight="1">
      <c r="A407" s="154">
        <f>A406+1</f>
        <v>340</v>
      </c>
      <c r="B407" s="168" t="s">
        <v>326</v>
      </c>
      <c r="C407" s="189" t="s">
        <v>594</v>
      </c>
      <c r="D407" s="204" t="s">
        <v>79</v>
      </c>
      <c r="E407" s="190" t="s">
        <v>668</v>
      </c>
      <c r="F407" s="187">
        <f>650+50+50</f>
        <v>750</v>
      </c>
      <c r="G407" s="230">
        <f t="shared" si="49"/>
        <v>112.5</v>
      </c>
      <c r="H407" s="230">
        <f>ROUND(G407*8.75%,2)</f>
        <v>9.84</v>
      </c>
      <c r="I407" s="230"/>
      <c r="J407" s="230"/>
      <c r="K407" s="230">
        <f>ROUND(G407*0.075,2)</f>
        <v>8.44</v>
      </c>
      <c r="L407" s="230">
        <f>ROUND(G407*0.01,2)</f>
        <v>1.1299999999999999</v>
      </c>
      <c r="M407" s="370">
        <f t="shared" si="47"/>
        <v>131.91</v>
      </c>
    </row>
    <row r="408" spans="1:13" ht="21" customHeight="1">
      <c r="A408" s="154">
        <f>A407+1</f>
        <v>341</v>
      </c>
      <c r="B408" s="194" t="s">
        <v>110</v>
      </c>
      <c r="C408" s="189" t="s">
        <v>594</v>
      </c>
      <c r="D408" s="203" t="s">
        <v>79</v>
      </c>
      <c r="E408" s="190" t="s">
        <v>668</v>
      </c>
      <c r="F408" s="187">
        <f>554+30+50+50</f>
        <v>684</v>
      </c>
      <c r="G408" s="230">
        <f t="shared" si="49"/>
        <v>102.6</v>
      </c>
      <c r="H408" s="230">
        <f>ROUND(G408*8.75%,2)</f>
        <v>8.98</v>
      </c>
      <c r="I408" s="230"/>
      <c r="J408" s="230"/>
      <c r="K408" s="230">
        <f>ROUND(G408*0.075,2)</f>
        <v>7.7</v>
      </c>
      <c r="L408" s="230">
        <f>ROUND(G408*0.01,2)</f>
        <v>1.03</v>
      </c>
      <c r="M408" s="370">
        <f t="shared" si="47"/>
        <v>120.31</v>
      </c>
    </row>
    <row r="409" spans="1:13" ht="21" customHeight="1">
      <c r="A409" s="154">
        <f>A408+1</f>
        <v>342</v>
      </c>
      <c r="B409" s="168" t="s">
        <v>83</v>
      </c>
      <c r="C409" s="189" t="s">
        <v>594</v>
      </c>
      <c r="D409" s="203" t="s">
        <v>79</v>
      </c>
      <c r="E409" s="190" t="s">
        <v>668</v>
      </c>
      <c r="F409" s="187">
        <v>1000</v>
      </c>
      <c r="G409" s="230"/>
      <c r="H409" s="230"/>
      <c r="I409" s="230"/>
      <c r="J409" s="230"/>
      <c r="K409" s="230"/>
      <c r="L409" s="230"/>
      <c r="M409" s="230"/>
    </row>
    <row r="410" spans="1:13" ht="21.75" customHeight="1">
      <c r="A410" s="154">
        <f>A409+1</f>
        <v>343</v>
      </c>
      <c r="B410" s="194" t="s">
        <v>662</v>
      </c>
      <c r="C410" s="189" t="s">
        <v>594</v>
      </c>
      <c r="D410" s="203" t="s">
        <v>79</v>
      </c>
      <c r="E410" s="190" t="s">
        <v>668</v>
      </c>
      <c r="F410" s="187">
        <f>467+30+50+50</f>
        <v>597</v>
      </c>
      <c r="G410" s="230"/>
      <c r="H410" s="230"/>
      <c r="I410" s="230"/>
      <c r="J410" s="230"/>
      <c r="K410" s="230"/>
      <c r="L410" s="230"/>
      <c r="M410" s="230"/>
    </row>
    <row r="411" spans="1:13" ht="21.75" customHeight="1">
      <c r="A411" s="154">
        <f t="shared" ref="A411:A426" si="50">A410+1</f>
        <v>344</v>
      </c>
      <c r="B411" s="194" t="s">
        <v>759</v>
      </c>
      <c r="C411" s="189" t="s">
        <v>594</v>
      </c>
      <c r="D411" s="203" t="s">
        <v>79</v>
      </c>
      <c r="E411" s="190" t="s">
        <v>668</v>
      </c>
      <c r="F411" s="187">
        <v>735.15</v>
      </c>
      <c r="G411" s="230">
        <f>F411/2*0.3</f>
        <v>110.27249999999999</v>
      </c>
      <c r="H411" s="230">
        <f>ROUND(G411*8.75%,2)</f>
        <v>9.65</v>
      </c>
      <c r="I411" s="230"/>
      <c r="J411" s="230"/>
      <c r="K411" s="230">
        <f>ROUND(G411*0.075,2)</f>
        <v>8.27</v>
      </c>
      <c r="L411" s="230">
        <f>ROUND(G411*0.01,2)</f>
        <v>1.1000000000000001</v>
      </c>
      <c r="M411" s="370">
        <f>SUM(G411:L411)</f>
        <v>129.29249999999999</v>
      </c>
    </row>
    <row r="412" spans="1:13" ht="23.25" customHeight="1">
      <c r="A412" s="154">
        <f t="shared" si="50"/>
        <v>345</v>
      </c>
      <c r="B412" s="194" t="s">
        <v>600</v>
      </c>
      <c r="C412" s="189" t="s">
        <v>594</v>
      </c>
      <c r="D412" s="203" t="s">
        <v>79</v>
      </c>
      <c r="E412" s="190" t="s">
        <v>668</v>
      </c>
      <c r="F412" s="187">
        <v>700</v>
      </c>
      <c r="G412" s="230">
        <f t="shared" si="49"/>
        <v>105</v>
      </c>
      <c r="H412" s="230">
        <f t="shared" ref="H412:H426" si="51">ROUND(G412*8.75%,2)</f>
        <v>9.19</v>
      </c>
      <c r="I412" s="230"/>
      <c r="J412" s="230"/>
      <c r="K412" s="230">
        <f t="shared" ref="K412:K426" si="52">ROUND(G412*0.075,2)</f>
        <v>7.88</v>
      </c>
      <c r="L412" s="230">
        <f t="shared" ref="L412:L426" si="53">ROUND(G412*0.01,2)</f>
        <v>1.05</v>
      </c>
      <c r="M412" s="370">
        <f t="shared" ref="M412:M426" si="54">SUM(G412:L412)</f>
        <v>123.11999999999999</v>
      </c>
    </row>
    <row r="413" spans="1:13" ht="16.5" customHeight="1">
      <c r="A413" s="154">
        <f t="shared" si="50"/>
        <v>346</v>
      </c>
      <c r="B413" s="194" t="s">
        <v>600</v>
      </c>
      <c r="C413" s="189" t="s">
        <v>594</v>
      </c>
      <c r="D413" s="203" t="s">
        <v>79</v>
      </c>
      <c r="E413" s="190" t="s">
        <v>668</v>
      </c>
      <c r="F413" s="187">
        <f>554+30+50+50</f>
        <v>684</v>
      </c>
      <c r="G413" s="230">
        <f t="shared" si="49"/>
        <v>102.6</v>
      </c>
      <c r="H413" s="230">
        <f t="shared" si="51"/>
        <v>8.98</v>
      </c>
      <c r="I413" s="230"/>
      <c r="J413" s="230"/>
      <c r="K413" s="230">
        <f t="shared" si="52"/>
        <v>7.7</v>
      </c>
      <c r="L413" s="230">
        <f t="shared" si="53"/>
        <v>1.03</v>
      </c>
      <c r="M413" s="370">
        <f t="shared" si="54"/>
        <v>120.31</v>
      </c>
    </row>
    <row r="414" spans="1:13" ht="27" customHeight="1">
      <c r="A414" s="154">
        <f t="shared" si="50"/>
        <v>347</v>
      </c>
      <c r="B414" s="194" t="s">
        <v>600</v>
      </c>
      <c r="C414" s="189" t="s">
        <v>594</v>
      </c>
      <c r="D414" s="203" t="s">
        <v>79</v>
      </c>
      <c r="E414" s="190" t="s">
        <v>668</v>
      </c>
      <c r="F414" s="187">
        <f>554+30+50+50</f>
        <v>684</v>
      </c>
      <c r="G414" s="230">
        <f t="shared" si="49"/>
        <v>102.6</v>
      </c>
      <c r="H414" s="230">
        <f t="shared" si="51"/>
        <v>8.98</v>
      </c>
      <c r="I414" s="230"/>
      <c r="J414" s="230"/>
      <c r="K414" s="230">
        <f t="shared" si="52"/>
        <v>7.7</v>
      </c>
      <c r="L414" s="230">
        <f t="shared" si="53"/>
        <v>1.03</v>
      </c>
      <c r="M414" s="370">
        <f t="shared" si="54"/>
        <v>120.31</v>
      </c>
    </row>
    <row r="415" spans="1:13" ht="22.5" customHeight="1">
      <c r="A415" s="154">
        <f t="shared" si="50"/>
        <v>348</v>
      </c>
      <c r="B415" s="194" t="s">
        <v>604</v>
      </c>
      <c r="C415" s="189" t="s">
        <v>594</v>
      </c>
      <c r="D415" s="203" t="s">
        <v>79</v>
      </c>
      <c r="E415" s="190" t="s">
        <v>668</v>
      </c>
      <c r="F415" s="187">
        <f>467+50</f>
        <v>517</v>
      </c>
      <c r="G415" s="230">
        <f t="shared" si="49"/>
        <v>77.55</v>
      </c>
      <c r="H415" s="230">
        <f t="shared" si="51"/>
        <v>6.79</v>
      </c>
      <c r="I415" s="230"/>
      <c r="J415" s="230"/>
      <c r="K415" s="230">
        <f t="shared" si="52"/>
        <v>5.82</v>
      </c>
      <c r="L415" s="230">
        <f t="shared" si="53"/>
        <v>0.78</v>
      </c>
      <c r="M415" s="370">
        <f t="shared" si="54"/>
        <v>90.94</v>
      </c>
    </row>
    <row r="416" spans="1:13" ht="24.75" customHeight="1">
      <c r="A416" s="154">
        <f t="shared" si="50"/>
        <v>349</v>
      </c>
      <c r="B416" s="194" t="s">
        <v>606</v>
      </c>
      <c r="C416" s="189" t="s">
        <v>594</v>
      </c>
      <c r="D416" s="203" t="s">
        <v>79</v>
      </c>
      <c r="E416" s="190" t="s">
        <v>668</v>
      </c>
      <c r="F416" s="187">
        <f>417+50</f>
        <v>467</v>
      </c>
      <c r="G416" s="230">
        <f t="shared" si="49"/>
        <v>70.05</v>
      </c>
      <c r="H416" s="230">
        <f t="shared" si="51"/>
        <v>6.13</v>
      </c>
      <c r="I416" s="230"/>
      <c r="J416" s="230"/>
      <c r="K416" s="230">
        <f t="shared" si="52"/>
        <v>5.25</v>
      </c>
      <c r="L416" s="230">
        <f t="shared" si="53"/>
        <v>0.7</v>
      </c>
      <c r="M416" s="370">
        <f t="shared" si="54"/>
        <v>82.13</v>
      </c>
    </row>
    <row r="417" spans="1:13" ht="22.8" customHeight="1">
      <c r="A417" s="154">
        <f t="shared" si="50"/>
        <v>350</v>
      </c>
      <c r="B417" s="194" t="s">
        <v>549</v>
      </c>
      <c r="C417" s="189" t="s">
        <v>594</v>
      </c>
      <c r="D417" s="203" t="s">
        <v>79</v>
      </c>
      <c r="E417" s="190" t="s">
        <v>668</v>
      </c>
      <c r="F417" s="187">
        <f>467+30+50+50</f>
        <v>597</v>
      </c>
      <c r="G417" s="230">
        <f t="shared" si="49"/>
        <v>89.55</v>
      </c>
      <c r="H417" s="230">
        <f t="shared" si="51"/>
        <v>7.84</v>
      </c>
      <c r="I417" s="230"/>
      <c r="J417" s="230"/>
      <c r="K417" s="230">
        <f t="shared" si="52"/>
        <v>6.72</v>
      </c>
      <c r="L417" s="230">
        <f t="shared" si="53"/>
        <v>0.9</v>
      </c>
      <c r="M417" s="370">
        <f t="shared" si="54"/>
        <v>105.01</v>
      </c>
    </row>
    <row r="418" spans="1:13" ht="23.25" customHeight="1">
      <c r="A418" s="154">
        <f t="shared" si="50"/>
        <v>351</v>
      </c>
      <c r="B418" s="194" t="s">
        <v>549</v>
      </c>
      <c r="C418" s="189" t="s">
        <v>594</v>
      </c>
      <c r="D418" s="203" t="s">
        <v>79</v>
      </c>
      <c r="E418" s="190" t="s">
        <v>668</v>
      </c>
      <c r="F418" s="187">
        <f>467+30+50+50</f>
        <v>597</v>
      </c>
      <c r="G418" s="230">
        <f t="shared" si="49"/>
        <v>89.55</v>
      </c>
      <c r="H418" s="230">
        <f t="shared" si="51"/>
        <v>7.84</v>
      </c>
      <c r="I418" s="230"/>
      <c r="J418" s="230"/>
      <c r="K418" s="230">
        <f t="shared" si="52"/>
        <v>6.72</v>
      </c>
      <c r="L418" s="230">
        <f t="shared" si="53"/>
        <v>0.9</v>
      </c>
      <c r="M418" s="370">
        <f t="shared" si="54"/>
        <v>105.01</v>
      </c>
    </row>
    <row r="419" spans="1:13" ht="24" customHeight="1">
      <c r="A419" s="154">
        <f t="shared" si="50"/>
        <v>352</v>
      </c>
      <c r="B419" s="194" t="s">
        <v>549</v>
      </c>
      <c r="C419" s="189" t="s">
        <v>594</v>
      </c>
      <c r="D419" s="203" t="s">
        <v>79</v>
      </c>
      <c r="E419" s="190" t="s">
        <v>668</v>
      </c>
      <c r="F419" s="187">
        <f>467+30+50+50</f>
        <v>597</v>
      </c>
      <c r="G419" s="230">
        <f t="shared" si="49"/>
        <v>89.55</v>
      </c>
      <c r="H419" s="230">
        <f t="shared" si="51"/>
        <v>7.84</v>
      </c>
      <c r="I419" s="230"/>
      <c r="J419" s="230"/>
      <c r="K419" s="230">
        <f t="shared" si="52"/>
        <v>6.72</v>
      </c>
      <c r="L419" s="230">
        <f t="shared" si="53"/>
        <v>0.9</v>
      </c>
      <c r="M419" s="370">
        <f t="shared" si="54"/>
        <v>105.01</v>
      </c>
    </row>
    <row r="420" spans="1:13" ht="23.25" customHeight="1">
      <c r="A420" s="154">
        <f t="shared" si="50"/>
        <v>353</v>
      </c>
      <c r="B420" s="194" t="s">
        <v>549</v>
      </c>
      <c r="C420" s="189" t="s">
        <v>594</v>
      </c>
      <c r="D420" s="203" t="s">
        <v>79</v>
      </c>
      <c r="E420" s="190" t="s">
        <v>668</v>
      </c>
      <c r="F420" s="187">
        <f>467+30+50+50</f>
        <v>597</v>
      </c>
      <c r="G420" s="230">
        <f t="shared" si="49"/>
        <v>89.55</v>
      </c>
      <c r="H420" s="230"/>
      <c r="I420" s="230">
        <f>ROUND(G420*0.06,2)</f>
        <v>5.37</v>
      </c>
      <c r="J420" s="230"/>
      <c r="K420" s="230">
        <f t="shared" si="52"/>
        <v>6.72</v>
      </c>
      <c r="L420" s="230">
        <f t="shared" si="53"/>
        <v>0.9</v>
      </c>
      <c r="M420" s="370">
        <f t="shared" si="54"/>
        <v>102.54</v>
      </c>
    </row>
    <row r="421" spans="1:13" ht="23.25" customHeight="1">
      <c r="A421" s="154">
        <f t="shared" si="50"/>
        <v>354</v>
      </c>
      <c r="B421" s="194" t="s">
        <v>551</v>
      </c>
      <c r="C421" s="189" t="s">
        <v>594</v>
      </c>
      <c r="D421" s="203" t="s">
        <v>79</v>
      </c>
      <c r="E421" s="190" t="s">
        <v>668</v>
      </c>
      <c r="F421" s="187">
        <f>417+30+50+50</f>
        <v>547</v>
      </c>
      <c r="G421" s="230">
        <f t="shared" si="49"/>
        <v>82.05</v>
      </c>
      <c r="H421" s="230">
        <f t="shared" si="51"/>
        <v>7.18</v>
      </c>
      <c r="I421" s="230"/>
      <c r="J421" s="230"/>
      <c r="K421" s="230">
        <f t="shared" si="52"/>
        <v>6.15</v>
      </c>
      <c r="L421" s="230">
        <f t="shared" si="53"/>
        <v>0.82</v>
      </c>
      <c r="M421" s="370">
        <f t="shared" si="54"/>
        <v>96.199999999999989</v>
      </c>
    </row>
    <row r="422" spans="1:13" ht="24.75" customHeight="1">
      <c r="A422" s="154">
        <f t="shared" si="50"/>
        <v>355</v>
      </c>
      <c r="B422" s="168" t="s">
        <v>554</v>
      </c>
      <c r="C422" s="189" t="s">
        <v>594</v>
      </c>
      <c r="D422" s="203" t="s">
        <v>79</v>
      </c>
      <c r="E422" s="190" t="s">
        <v>668</v>
      </c>
      <c r="F422" s="187">
        <f>417+50</f>
        <v>467</v>
      </c>
      <c r="G422" s="230">
        <f t="shared" si="49"/>
        <v>70.05</v>
      </c>
      <c r="H422" s="230">
        <f t="shared" si="51"/>
        <v>6.13</v>
      </c>
      <c r="I422" s="230"/>
      <c r="J422" s="230"/>
      <c r="K422" s="230">
        <f t="shared" si="52"/>
        <v>5.25</v>
      </c>
      <c r="L422" s="230">
        <f t="shared" si="53"/>
        <v>0.7</v>
      </c>
      <c r="M422" s="370">
        <f t="shared" si="54"/>
        <v>82.13</v>
      </c>
    </row>
    <row r="423" spans="1:13" ht="23.25" customHeight="1">
      <c r="A423" s="154">
        <f t="shared" si="50"/>
        <v>356</v>
      </c>
      <c r="B423" s="194" t="s">
        <v>613</v>
      </c>
      <c r="C423" s="189" t="s">
        <v>594</v>
      </c>
      <c r="D423" s="203" t="s">
        <v>79</v>
      </c>
      <c r="E423" s="190" t="s">
        <v>668</v>
      </c>
      <c r="F423" s="187">
        <f>417</f>
        <v>417</v>
      </c>
      <c r="G423" s="230">
        <f>F423/2*0.3</f>
        <v>62.55</v>
      </c>
      <c r="H423" s="230">
        <f t="shared" si="51"/>
        <v>5.47</v>
      </c>
      <c r="I423" s="230"/>
      <c r="J423" s="230"/>
      <c r="K423" s="230">
        <f t="shared" si="52"/>
        <v>4.6900000000000004</v>
      </c>
      <c r="L423" s="230">
        <f t="shared" si="53"/>
        <v>0.63</v>
      </c>
      <c r="M423" s="370">
        <f t="shared" si="54"/>
        <v>73.339999999999989</v>
      </c>
    </row>
    <row r="424" spans="1:13" ht="23.25" customHeight="1">
      <c r="A424" s="154">
        <f t="shared" si="50"/>
        <v>357</v>
      </c>
      <c r="B424" s="194" t="s">
        <v>679</v>
      </c>
      <c r="C424" s="189" t="s">
        <v>594</v>
      </c>
      <c r="D424" s="203" t="s">
        <v>79</v>
      </c>
      <c r="E424" s="190" t="s">
        <v>668</v>
      </c>
      <c r="F424" s="187">
        <f>650+50</f>
        <v>700</v>
      </c>
      <c r="G424" s="230">
        <f>F424/2*0.3</f>
        <v>105</v>
      </c>
      <c r="H424" s="230">
        <f t="shared" si="51"/>
        <v>9.19</v>
      </c>
      <c r="I424" s="230"/>
      <c r="J424" s="230"/>
      <c r="K424" s="230">
        <f t="shared" si="52"/>
        <v>7.88</v>
      </c>
      <c r="L424" s="230">
        <f t="shared" si="53"/>
        <v>1.05</v>
      </c>
      <c r="M424" s="370">
        <f t="shared" si="54"/>
        <v>123.11999999999999</v>
      </c>
    </row>
    <row r="425" spans="1:13" ht="24.75" customHeight="1">
      <c r="A425" s="154">
        <f t="shared" si="50"/>
        <v>358</v>
      </c>
      <c r="B425" s="194" t="s">
        <v>699</v>
      </c>
      <c r="C425" s="189" t="s">
        <v>594</v>
      </c>
      <c r="D425" s="203" t="s">
        <v>79</v>
      </c>
      <c r="E425" s="190" t="s">
        <v>668</v>
      </c>
      <c r="F425" s="187">
        <v>700</v>
      </c>
      <c r="G425" s="230">
        <f>F425/2*0.3</f>
        <v>105</v>
      </c>
      <c r="H425" s="230">
        <f t="shared" si="51"/>
        <v>9.19</v>
      </c>
      <c r="I425" s="230"/>
      <c r="J425" s="230"/>
      <c r="K425" s="230">
        <f t="shared" si="52"/>
        <v>7.88</v>
      </c>
      <c r="L425" s="230">
        <f t="shared" si="53"/>
        <v>1.05</v>
      </c>
      <c r="M425" s="370">
        <f t="shared" si="54"/>
        <v>123.11999999999999</v>
      </c>
    </row>
    <row r="426" spans="1:13" ht="24.75" customHeight="1">
      <c r="A426" s="154">
        <f t="shared" si="50"/>
        <v>359</v>
      </c>
      <c r="B426" s="194" t="s">
        <v>742</v>
      </c>
      <c r="C426" s="189" t="s">
        <v>594</v>
      </c>
      <c r="D426" s="203" t="s">
        <v>79</v>
      </c>
      <c r="E426" s="190" t="s">
        <v>668</v>
      </c>
      <c r="F426" s="187">
        <v>417</v>
      </c>
      <c r="G426" s="230">
        <f>F426/2*0.3</f>
        <v>62.55</v>
      </c>
      <c r="H426" s="230">
        <f t="shared" si="51"/>
        <v>5.47</v>
      </c>
      <c r="I426" s="230"/>
      <c r="J426" s="230"/>
      <c r="K426" s="230">
        <f t="shared" si="52"/>
        <v>4.6900000000000004</v>
      </c>
      <c r="L426" s="230">
        <f t="shared" si="53"/>
        <v>0.63</v>
      </c>
      <c r="M426" s="370">
        <f t="shared" si="54"/>
        <v>73.339999999999989</v>
      </c>
    </row>
    <row r="427" spans="1:13" ht="16.5" customHeight="1">
      <c r="A427" s="154"/>
      <c r="B427" s="191"/>
      <c r="C427" s="189"/>
      <c r="D427" s="203"/>
      <c r="E427" s="190"/>
      <c r="F427" s="377">
        <f t="shared" ref="F427:M427" si="55">SUM(F406:F426)</f>
        <v>13954.15</v>
      </c>
      <c r="G427" s="377">
        <f t="shared" si="55"/>
        <v>1853.5724999999998</v>
      </c>
      <c r="H427" s="377">
        <f t="shared" si="55"/>
        <v>154.38</v>
      </c>
      <c r="I427" s="377">
        <f t="shared" si="55"/>
        <v>5.37</v>
      </c>
      <c r="J427" s="377">
        <f t="shared" si="55"/>
        <v>0</v>
      </c>
      <c r="K427" s="377">
        <f t="shared" si="55"/>
        <v>139.06</v>
      </c>
      <c r="L427" s="377">
        <f t="shared" si="55"/>
        <v>18.579999999999998</v>
      </c>
      <c r="M427" s="377">
        <f t="shared" si="55"/>
        <v>2170.9625000000001</v>
      </c>
    </row>
    <row r="428" spans="1:13" ht="16.5" customHeight="1">
      <c r="A428" s="378"/>
      <c r="B428" s="378" t="s">
        <v>734</v>
      </c>
      <c r="C428" s="378"/>
      <c r="D428" s="379"/>
      <c r="E428" s="378"/>
      <c r="F428" s="380">
        <f t="shared" ref="F428:M428" si="56">SUM(F427,F405)</f>
        <v>79573.790000000008</v>
      </c>
      <c r="G428" s="380">
        <f t="shared" si="56"/>
        <v>11449.918500000007</v>
      </c>
      <c r="H428" s="380">
        <f t="shared" si="56"/>
        <v>983.38000000000045</v>
      </c>
      <c r="I428" s="380">
        <f t="shared" si="56"/>
        <v>12.79</v>
      </c>
      <c r="J428" s="380">
        <f t="shared" si="56"/>
        <v>0</v>
      </c>
      <c r="K428" s="380">
        <f t="shared" si="56"/>
        <v>858.91000000000031</v>
      </c>
      <c r="L428" s="380">
        <f t="shared" si="56"/>
        <v>114.87000000000002</v>
      </c>
      <c r="M428" s="380">
        <f t="shared" si="56"/>
        <v>13419.868500000002</v>
      </c>
    </row>
    <row r="429" spans="1:13" ht="16.5" customHeight="1">
      <c r="A429" s="378"/>
      <c r="B429" s="378" t="s">
        <v>617</v>
      </c>
      <c r="C429" s="378"/>
      <c r="D429" s="379"/>
      <c r="E429" s="378"/>
      <c r="F429" s="380">
        <f>F428+F291+F271+F151+F206</f>
        <v>241190.25</v>
      </c>
      <c r="G429" s="380">
        <f>G428+G291+G271+G151+G206+0.01</f>
        <v>14906.713500000011</v>
      </c>
      <c r="H429" s="380">
        <f>H428+H291+H271+H151+H206</f>
        <v>1240.4200000000005</v>
      </c>
      <c r="I429" s="380">
        <f>I428+I291+I271+I151+I206</f>
        <v>43.95</v>
      </c>
      <c r="J429" s="380">
        <f>J428+J291+J271+J151+J206</f>
        <v>0</v>
      </c>
      <c r="K429" s="380">
        <f>K428+K291+K271+K151+K206</f>
        <v>1118.2000000000003</v>
      </c>
      <c r="L429" s="380">
        <f>L428+L291+L271+L151+L206</f>
        <v>149.58000000000001</v>
      </c>
      <c r="M429" s="380">
        <f>M428+M291+M271+M151+M206+0.01</f>
        <v>17458.863500000003</v>
      </c>
    </row>
    <row r="430" spans="1:13">
      <c r="F430" s="195"/>
    </row>
    <row r="431" spans="1:13">
      <c r="F431" s="195"/>
    </row>
    <row r="432" spans="1:13">
      <c r="F432" s="195"/>
    </row>
    <row r="433" spans="6:6">
      <c r="F433" s="195"/>
    </row>
    <row r="434" spans="6:6">
      <c r="F434" s="195"/>
    </row>
    <row r="435" spans="6:6">
      <c r="F435" s="195"/>
    </row>
    <row r="436" spans="6:6">
      <c r="F436" s="195"/>
    </row>
    <row r="437" spans="6:6">
      <c r="F437" s="195"/>
    </row>
    <row r="438" spans="6:6">
      <c r="F438" s="195"/>
    </row>
    <row r="439" spans="6:6">
      <c r="F439" s="195"/>
    </row>
    <row r="440" spans="6:6">
      <c r="F440" s="195"/>
    </row>
    <row r="441" spans="6:6">
      <c r="F441" s="195"/>
    </row>
    <row r="442" spans="6:6">
      <c r="F442" s="195"/>
    </row>
    <row r="443" spans="6:6">
      <c r="F443" s="195"/>
    </row>
    <row r="444" spans="6:6">
      <c r="F444" s="195"/>
    </row>
    <row r="445" spans="6:6">
      <c r="F445" s="195"/>
    </row>
  </sheetData>
  <mergeCells count="18">
    <mergeCell ref="A1:M1"/>
    <mergeCell ref="A2:M2"/>
    <mergeCell ref="H3:L3"/>
    <mergeCell ref="M3:M5"/>
    <mergeCell ref="G4:G5"/>
    <mergeCell ref="L4:L5"/>
    <mergeCell ref="B3:B5"/>
    <mergeCell ref="A3:A5"/>
    <mergeCell ref="K4:K5"/>
    <mergeCell ref="C3:C5"/>
    <mergeCell ref="H4:H5"/>
    <mergeCell ref="I4:I5"/>
    <mergeCell ref="D3:D5"/>
    <mergeCell ref="E3:E5"/>
    <mergeCell ref="B378:D378"/>
    <mergeCell ref="F4:F5"/>
    <mergeCell ref="J4:J5"/>
    <mergeCell ref="B23:C23"/>
  </mergeCells>
  <phoneticPr fontId="35" type="noConversion"/>
  <printOptions horizontalCentered="1"/>
  <pageMargins left="0.23622047244094491" right="0.23622047244094491" top="0.55118110236220474" bottom="0.55118110236220474" header="0.31496062992125984" footer="0.31496062992125984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0"/>
  <sheetViews>
    <sheetView zoomScale="128" zoomScaleNormal="130" workbookViewId="0">
      <pane xSplit="9612" ySplit="1476" topLeftCell="D423" activePane="bottomLeft"/>
      <selection activeCell="F2" sqref="F2"/>
      <selection pane="topRight" activeCell="U2" sqref="U2"/>
      <selection pane="bottomLeft" activeCell="F428" sqref="F428"/>
      <selection pane="bottomRight" activeCell="F151" sqref="F151"/>
    </sheetView>
  </sheetViews>
  <sheetFormatPr baseColWidth="10" defaultRowHeight="21.9" customHeight="1"/>
  <cols>
    <col min="1" max="1" width="4.6640625" style="128" customWidth="1"/>
    <col min="2" max="2" width="17.109375" style="206" customWidth="1"/>
    <col min="3" max="3" width="14.44140625" style="128" customWidth="1"/>
    <col min="4" max="4" width="10.6640625" style="183" customWidth="1"/>
    <col min="5" max="5" width="4.109375" customWidth="1"/>
    <col min="6" max="6" width="13.44140625" style="128" customWidth="1"/>
    <col min="7" max="7" width="12.77734375" customWidth="1"/>
    <col min="8" max="9" width="10.44140625" customWidth="1"/>
    <col min="10" max="10" width="10.5546875" customWidth="1"/>
    <col min="11" max="12" width="11.109375" customWidth="1"/>
    <col min="13" max="13" width="11" style="129" customWidth="1"/>
    <col min="14" max="14" width="9.44140625" style="143" customWidth="1"/>
    <col min="15" max="15" width="11" style="143" customWidth="1"/>
    <col min="16" max="16" width="12" style="129" customWidth="1"/>
    <col min="17" max="17" width="10.5546875" style="143" customWidth="1"/>
    <col min="18" max="18" width="11.44140625" style="143" customWidth="1"/>
    <col min="19" max="19" width="9" style="143" customWidth="1"/>
    <col min="20" max="20" width="7.88671875" style="143" customWidth="1"/>
    <col min="21" max="21" width="11.44140625" style="143" customWidth="1"/>
    <col min="22" max="22" width="11.77734375" style="143" customWidth="1"/>
    <col min="23" max="23" width="10" style="143" customWidth="1"/>
    <col min="24" max="24" width="8.44140625" style="143" customWidth="1"/>
    <col min="25" max="25" width="12.88671875" style="143" customWidth="1"/>
    <col min="26" max="26" width="11.33203125" style="143" customWidth="1"/>
    <col min="27" max="27" width="8.88671875" style="143" customWidth="1"/>
    <col min="28" max="28" width="10.88671875" style="143" customWidth="1"/>
    <col min="29" max="29" width="10.44140625" style="143" customWidth="1"/>
    <col min="30" max="30" width="11" style="143" customWidth="1"/>
    <col min="31" max="31" width="15.109375" style="143" customWidth="1"/>
    <col min="32" max="32" width="8.5546875" style="143" customWidth="1"/>
    <col min="33" max="33" width="9.88671875" style="143" customWidth="1"/>
    <col min="34" max="34" width="8.5546875" style="143" customWidth="1"/>
    <col min="35" max="35" width="15.33203125" style="143" customWidth="1"/>
    <col min="36" max="36" width="17.33203125" style="143" customWidth="1"/>
    <col min="37" max="37" width="19.5546875" style="143" customWidth="1"/>
    <col min="38" max="38" width="15.44140625" style="143" customWidth="1"/>
  </cols>
  <sheetData>
    <row r="1" spans="1:38" ht="21.9" customHeight="1">
      <c r="C1" s="142"/>
      <c r="D1" s="180"/>
      <c r="F1" s="142" t="s">
        <v>674</v>
      </c>
      <c r="L1" s="144" t="s">
        <v>674</v>
      </c>
      <c r="R1" s="144" t="s">
        <v>674</v>
      </c>
      <c r="X1" s="145" t="s">
        <v>674</v>
      </c>
      <c r="AB1" s="145"/>
      <c r="AD1" s="145" t="s">
        <v>674</v>
      </c>
      <c r="AJ1" s="145" t="s">
        <v>674</v>
      </c>
    </row>
    <row r="2" spans="1:38" ht="21.9" customHeight="1">
      <c r="C2" s="146"/>
      <c r="D2" s="181"/>
      <c r="F2" s="146" t="s">
        <v>769</v>
      </c>
      <c r="L2" s="146" t="s">
        <v>769</v>
      </c>
      <c r="R2" s="146" t="s">
        <v>769</v>
      </c>
      <c r="X2" s="144" t="s">
        <v>760</v>
      </c>
      <c r="AB2" s="144"/>
      <c r="AD2" s="146" t="s">
        <v>769</v>
      </c>
      <c r="AJ2" s="146" t="s">
        <v>769</v>
      </c>
    </row>
    <row r="3" spans="1:38" ht="21.9" customHeight="1">
      <c r="A3" s="258" t="s">
        <v>0</v>
      </c>
      <c r="B3" s="259" t="s">
        <v>2</v>
      </c>
      <c r="C3" s="258" t="s">
        <v>3</v>
      </c>
      <c r="D3" s="260" t="s">
        <v>4</v>
      </c>
      <c r="E3" s="261" t="s">
        <v>5</v>
      </c>
      <c r="F3" s="258" t="s">
        <v>6</v>
      </c>
      <c r="G3" s="258"/>
      <c r="H3" s="234"/>
      <c r="I3" s="258"/>
      <c r="J3" s="258"/>
      <c r="K3" s="258"/>
      <c r="L3" s="258"/>
      <c r="M3" s="258"/>
      <c r="N3" s="262"/>
      <c r="O3" s="262"/>
      <c r="P3" s="263" t="s">
        <v>7</v>
      </c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5"/>
      <c r="AB3" s="258" t="s">
        <v>10</v>
      </c>
      <c r="AC3" s="266" t="s">
        <v>11</v>
      </c>
      <c r="AD3" s="267"/>
      <c r="AE3" s="267"/>
      <c r="AF3" s="267"/>
      <c r="AG3" s="267"/>
      <c r="AH3" s="268"/>
      <c r="AI3" s="258" t="s">
        <v>12</v>
      </c>
      <c r="AJ3" s="258" t="s">
        <v>13</v>
      </c>
      <c r="AK3" s="258" t="s">
        <v>17</v>
      </c>
      <c r="AL3" s="258" t="s">
        <v>18</v>
      </c>
    </row>
    <row r="4" spans="1:38" ht="29.25" customHeight="1">
      <c r="A4" s="258"/>
      <c r="B4" s="259"/>
      <c r="C4" s="258"/>
      <c r="D4" s="260"/>
      <c r="E4" s="261"/>
      <c r="F4" s="258" t="s">
        <v>19</v>
      </c>
      <c r="G4" s="258" t="s">
        <v>20</v>
      </c>
      <c r="H4" s="258" t="s">
        <v>21</v>
      </c>
      <c r="I4" s="258" t="s">
        <v>22</v>
      </c>
      <c r="J4" s="258" t="s">
        <v>23</v>
      </c>
      <c r="K4" s="258" t="s">
        <v>24</v>
      </c>
      <c r="L4" s="258" t="s">
        <v>25</v>
      </c>
      <c r="M4" s="258" t="s">
        <v>26</v>
      </c>
      <c r="N4" s="269" t="s">
        <v>750</v>
      </c>
      <c r="O4" s="269" t="s">
        <v>749</v>
      </c>
      <c r="P4" s="266" t="s">
        <v>28</v>
      </c>
      <c r="Q4" s="267"/>
      <c r="R4" s="268"/>
      <c r="S4" s="266" t="s">
        <v>30</v>
      </c>
      <c r="T4" s="267"/>
      <c r="U4" s="267"/>
      <c r="V4" s="267"/>
      <c r="W4" s="267"/>
      <c r="X4" s="267"/>
      <c r="Y4" s="267"/>
      <c r="Z4" s="267"/>
      <c r="AA4" s="268"/>
      <c r="AB4" s="258"/>
      <c r="AC4" s="234" t="s">
        <v>28</v>
      </c>
      <c r="AD4" s="266" t="s">
        <v>31</v>
      </c>
      <c r="AE4" s="267"/>
      <c r="AF4" s="267"/>
      <c r="AG4" s="267"/>
      <c r="AH4" s="268"/>
      <c r="AI4" s="258"/>
      <c r="AJ4" s="258"/>
      <c r="AK4" s="258"/>
      <c r="AL4" s="258"/>
    </row>
    <row r="5" spans="1:38" ht="21.9" customHeight="1">
      <c r="A5" s="258"/>
      <c r="B5" s="259"/>
      <c r="C5" s="258"/>
      <c r="D5" s="260"/>
      <c r="E5" s="261"/>
      <c r="F5" s="258"/>
      <c r="G5" s="258"/>
      <c r="H5" s="258"/>
      <c r="I5" s="258"/>
      <c r="J5" s="258"/>
      <c r="K5" s="258"/>
      <c r="L5" s="258"/>
      <c r="M5" s="258"/>
      <c r="N5" s="270"/>
      <c r="O5" s="270"/>
      <c r="P5" s="234" t="s">
        <v>33</v>
      </c>
      <c r="Q5" s="234" t="s">
        <v>706</v>
      </c>
      <c r="R5" s="234" t="s">
        <v>705</v>
      </c>
      <c r="S5" s="234" t="s">
        <v>36</v>
      </c>
      <c r="T5" s="234" t="s">
        <v>37</v>
      </c>
      <c r="U5" s="234" t="s">
        <v>38</v>
      </c>
      <c r="V5" s="234" t="s">
        <v>39</v>
      </c>
      <c r="W5" s="234" t="s">
        <v>40</v>
      </c>
      <c r="X5" s="234" t="s">
        <v>41</v>
      </c>
      <c r="Y5" s="234" t="s">
        <v>42</v>
      </c>
      <c r="Z5" s="234" t="s">
        <v>8</v>
      </c>
      <c r="AA5" s="271" t="s">
        <v>9</v>
      </c>
      <c r="AB5" s="258"/>
      <c r="AC5" s="234" t="s">
        <v>33</v>
      </c>
      <c r="AD5" s="234" t="s">
        <v>36</v>
      </c>
      <c r="AE5" s="234" t="s">
        <v>38</v>
      </c>
      <c r="AF5" s="234" t="s">
        <v>40</v>
      </c>
      <c r="AG5" s="234" t="s">
        <v>42</v>
      </c>
      <c r="AH5" s="234" t="s">
        <v>8</v>
      </c>
      <c r="AI5" s="258"/>
      <c r="AJ5" s="258"/>
      <c r="AK5" s="258"/>
      <c r="AL5" s="258"/>
    </row>
    <row r="6" spans="1:38" ht="21.9" customHeight="1">
      <c r="A6" s="147">
        <v>1</v>
      </c>
      <c r="B6" s="176" t="s">
        <v>44</v>
      </c>
      <c r="C6" s="161" t="s">
        <v>45</v>
      </c>
      <c r="D6" s="210" t="s">
        <v>46</v>
      </c>
      <c r="E6" s="163" t="s">
        <v>47</v>
      </c>
      <c r="F6" s="149"/>
      <c r="G6" s="155"/>
      <c r="H6" s="149"/>
      <c r="I6" s="155">
        <v>10000</v>
      </c>
      <c r="J6" s="155">
        <v>3000</v>
      </c>
      <c r="K6" s="224"/>
      <c r="L6" s="224"/>
      <c r="M6" s="224"/>
      <c r="N6" s="224"/>
      <c r="O6" s="149"/>
      <c r="P6" s="155">
        <f>ROUND(AL6*0.0875,2)</f>
        <v>2502.5</v>
      </c>
      <c r="Q6" s="155"/>
      <c r="R6" s="155">
        <f>P6/13</f>
        <v>192.5</v>
      </c>
      <c r="S6" s="155"/>
      <c r="T6" s="155"/>
      <c r="U6" s="155">
        <v>975</v>
      </c>
      <c r="V6" s="155">
        <f t="shared" ref="V6:V19" si="0">U6/13</f>
        <v>75</v>
      </c>
      <c r="W6" s="155"/>
      <c r="X6" s="155"/>
      <c r="Y6" s="155">
        <f t="shared" ref="Y6:Y19" si="1">P6+S6+U6+W6</f>
        <v>3477.5</v>
      </c>
      <c r="Z6" s="155">
        <v>130</v>
      </c>
      <c r="AA6" s="155">
        <f t="shared" ref="AA6:AA19" si="2">Z6/13</f>
        <v>10</v>
      </c>
      <c r="AB6" s="155"/>
      <c r="AC6" s="155"/>
      <c r="AD6" s="155"/>
      <c r="AE6" s="155"/>
      <c r="AF6" s="155"/>
      <c r="AG6" s="155"/>
      <c r="AH6" s="155"/>
      <c r="AI6" s="155">
        <v>50000</v>
      </c>
      <c r="AJ6" s="155">
        <v>75000</v>
      </c>
      <c r="AK6" s="155">
        <v>18500</v>
      </c>
      <c r="AL6" s="155">
        <f>2200*13</f>
        <v>28600</v>
      </c>
    </row>
    <row r="7" spans="1:38" ht="21.9" customHeight="1">
      <c r="A7" s="147">
        <f t="shared" ref="A7:A19" si="3">A6+1</f>
        <v>2</v>
      </c>
      <c r="B7" s="176" t="s">
        <v>49</v>
      </c>
      <c r="C7" s="161" t="s">
        <v>45</v>
      </c>
      <c r="D7" s="210" t="s">
        <v>46</v>
      </c>
      <c r="E7" s="163" t="s">
        <v>47</v>
      </c>
      <c r="F7" s="149"/>
      <c r="G7" s="155"/>
      <c r="H7" s="149"/>
      <c r="I7" s="149"/>
      <c r="J7" s="149"/>
      <c r="K7" s="224"/>
      <c r="L7" s="149"/>
      <c r="M7" s="224"/>
      <c r="N7" s="224"/>
      <c r="O7" s="149"/>
      <c r="P7" s="155">
        <f t="shared" ref="P7:P19" si="4">ROUND(AL7*0.0875,2)</f>
        <v>2502.5</v>
      </c>
      <c r="Q7" s="155"/>
      <c r="R7" s="155">
        <f>P7/13</f>
        <v>192.5</v>
      </c>
      <c r="S7" s="155"/>
      <c r="T7" s="155"/>
      <c r="U7" s="155">
        <v>975</v>
      </c>
      <c r="V7" s="155">
        <f t="shared" si="0"/>
        <v>75</v>
      </c>
      <c r="W7" s="155"/>
      <c r="X7" s="155"/>
      <c r="Y7" s="155">
        <f t="shared" si="1"/>
        <v>3477.5</v>
      </c>
      <c r="Z7" s="155">
        <v>130</v>
      </c>
      <c r="AA7" s="155">
        <f t="shared" si="2"/>
        <v>10</v>
      </c>
      <c r="AB7" s="155"/>
      <c r="AC7" s="155"/>
      <c r="AD7" s="155"/>
      <c r="AE7" s="155"/>
      <c r="AF7" s="155"/>
      <c r="AG7" s="155"/>
      <c r="AH7" s="155"/>
      <c r="AI7" s="155"/>
      <c r="AJ7" s="155" t="s">
        <v>50</v>
      </c>
      <c r="AK7" s="155"/>
      <c r="AL7" s="155">
        <f t="shared" ref="AL7:AL19" si="5">2200*13</f>
        <v>28600</v>
      </c>
    </row>
    <row r="8" spans="1:38" ht="21.9" customHeight="1">
      <c r="A8" s="147">
        <f t="shared" si="3"/>
        <v>3</v>
      </c>
      <c r="B8" s="176" t="s">
        <v>52</v>
      </c>
      <c r="C8" s="161" t="s">
        <v>45</v>
      </c>
      <c r="D8" s="210" t="s">
        <v>46</v>
      </c>
      <c r="E8" s="163" t="s">
        <v>47</v>
      </c>
      <c r="F8" s="149"/>
      <c r="G8" s="155"/>
      <c r="H8" s="149"/>
      <c r="I8" s="149"/>
      <c r="J8" s="149"/>
      <c r="K8" s="224"/>
      <c r="L8" s="149"/>
      <c r="M8" s="224"/>
      <c r="N8" s="224"/>
      <c r="O8" s="149"/>
      <c r="P8" s="155">
        <f t="shared" si="4"/>
        <v>2502.5</v>
      </c>
      <c r="Q8" s="155"/>
      <c r="R8" s="155">
        <f>P8/13</f>
        <v>192.5</v>
      </c>
      <c r="S8" s="155"/>
      <c r="T8" s="155"/>
      <c r="U8" s="155">
        <v>975</v>
      </c>
      <c r="V8" s="155">
        <f t="shared" si="0"/>
        <v>75</v>
      </c>
      <c r="W8" s="155"/>
      <c r="X8" s="155"/>
      <c r="Y8" s="155">
        <f t="shared" si="1"/>
        <v>3477.5</v>
      </c>
      <c r="Z8" s="155">
        <v>130</v>
      </c>
      <c r="AA8" s="155">
        <f t="shared" si="2"/>
        <v>10</v>
      </c>
      <c r="AB8" s="155"/>
      <c r="AC8" s="155"/>
      <c r="AD8" s="155"/>
      <c r="AE8" s="155"/>
      <c r="AF8" s="155"/>
      <c r="AG8" s="155"/>
      <c r="AH8" s="155"/>
      <c r="AI8" s="155"/>
      <c r="AJ8" s="272"/>
      <c r="AK8" s="155"/>
      <c r="AL8" s="155">
        <f t="shared" si="5"/>
        <v>28600</v>
      </c>
    </row>
    <row r="9" spans="1:38" ht="21.9" customHeight="1">
      <c r="A9" s="147">
        <f t="shared" si="3"/>
        <v>4</v>
      </c>
      <c r="B9" s="176" t="s">
        <v>54</v>
      </c>
      <c r="C9" s="161" t="s">
        <v>45</v>
      </c>
      <c r="D9" s="210" t="s">
        <v>46</v>
      </c>
      <c r="E9" s="163" t="s">
        <v>47</v>
      </c>
      <c r="F9" s="149"/>
      <c r="G9" s="155"/>
      <c r="H9" s="149"/>
      <c r="I9" s="149"/>
      <c r="J9" s="149"/>
      <c r="K9" s="224"/>
      <c r="L9" s="149"/>
      <c r="M9" s="224"/>
      <c r="N9" s="224"/>
      <c r="O9" s="149"/>
      <c r="P9" s="155">
        <f t="shared" si="4"/>
        <v>2502.5</v>
      </c>
      <c r="Q9" s="155"/>
      <c r="R9" s="155">
        <f>P9/13</f>
        <v>192.5</v>
      </c>
      <c r="S9" s="155"/>
      <c r="T9" s="155"/>
      <c r="U9" s="155">
        <v>975</v>
      </c>
      <c r="V9" s="155">
        <f t="shared" si="0"/>
        <v>75</v>
      </c>
      <c r="W9" s="155"/>
      <c r="X9" s="155"/>
      <c r="Y9" s="155">
        <f t="shared" si="1"/>
        <v>3477.5</v>
      </c>
      <c r="Z9" s="155">
        <v>130</v>
      </c>
      <c r="AA9" s="155">
        <f t="shared" si="2"/>
        <v>10</v>
      </c>
      <c r="AB9" s="155"/>
      <c r="AC9" s="155"/>
      <c r="AD9" s="155"/>
      <c r="AE9" s="155"/>
      <c r="AF9" s="155"/>
      <c r="AG9" s="155"/>
      <c r="AH9" s="155"/>
      <c r="AI9" s="155"/>
      <c r="AJ9" s="273"/>
      <c r="AK9" s="155"/>
      <c r="AL9" s="155">
        <f t="shared" si="5"/>
        <v>28600</v>
      </c>
    </row>
    <row r="10" spans="1:38" ht="21.9" customHeight="1">
      <c r="A10" s="147">
        <f t="shared" si="3"/>
        <v>5</v>
      </c>
      <c r="B10" s="176" t="s">
        <v>56</v>
      </c>
      <c r="C10" s="161" t="s">
        <v>45</v>
      </c>
      <c r="D10" s="210" t="s">
        <v>46</v>
      </c>
      <c r="E10" s="163" t="s">
        <v>47</v>
      </c>
      <c r="F10" s="149"/>
      <c r="G10" s="155"/>
      <c r="H10" s="149"/>
      <c r="I10" s="149"/>
      <c r="J10" s="149"/>
      <c r="K10" s="224"/>
      <c r="L10" s="149"/>
      <c r="M10" s="224"/>
      <c r="N10" s="224"/>
      <c r="O10" s="149"/>
      <c r="P10" s="155">
        <f t="shared" si="4"/>
        <v>2502.5</v>
      </c>
      <c r="Q10" s="155"/>
      <c r="R10" s="155">
        <f>P10/13</f>
        <v>192.5</v>
      </c>
      <c r="S10" s="155"/>
      <c r="T10" s="155"/>
      <c r="U10" s="155">
        <v>975</v>
      </c>
      <c r="V10" s="155">
        <f t="shared" si="0"/>
        <v>75</v>
      </c>
      <c r="W10" s="155"/>
      <c r="X10" s="155"/>
      <c r="Y10" s="155">
        <f t="shared" si="1"/>
        <v>3477.5</v>
      </c>
      <c r="Z10" s="155">
        <v>130</v>
      </c>
      <c r="AA10" s="155">
        <f t="shared" si="2"/>
        <v>10</v>
      </c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>
        <f t="shared" si="5"/>
        <v>28600</v>
      </c>
    </row>
    <row r="11" spans="1:38" ht="21.9" customHeight="1">
      <c r="A11" s="147">
        <f t="shared" si="3"/>
        <v>6</v>
      </c>
      <c r="B11" s="176" t="s">
        <v>58</v>
      </c>
      <c r="C11" s="161" t="s">
        <v>45</v>
      </c>
      <c r="D11" s="210" t="s">
        <v>46</v>
      </c>
      <c r="E11" s="163" t="s">
        <v>47</v>
      </c>
      <c r="F11" s="149"/>
      <c r="G11" s="155"/>
      <c r="H11" s="149"/>
      <c r="I11" s="149"/>
      <c r="J11" s="149"/>
      <c r="K11" s="224"/>
      <c r="L11" s="149"/>
      <c r="M11" s="224"/>
      <c r="N11" s="224"/>
      <c r="O11" s="149"/>
      <c r="P11" s="155">
        <f t="shared" si="4"/>
        <v>2502.5</v>
      </c>
      <c r="Q11" s="155">
        <f>P11/13</f>
        <v>192.5</v>
      </c>
      <c r="R11" s="155"/>
      <c r="S11" s="155"/>
      <c r="T11" s="155"/>
      <c r="U11" s="155">
        <v>975</v>
      </c>
      <c r="V11" s="155">
        <f t="shared" si="0"/>
        <v>75</v>
      </c>
      <c r="W11" s="155"/>
      <c r="X11" s="155"/>
      <c r="Y11" s="155">
        <f t="shared" si="1"/>
        <v>3477.5</v>
      </c>
      <c r="Z11" s="155">
        <v>130</v>
      </c>
      <c r="AA11" s="155">
        <f t="shared" si="2"/>
        <v>10</v>
      </c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>
        <f t="shared" si="5"/>
        <v>28600</v>
      </c>
    </row>
    <row r="12" spans="1:38" ht="21.9" customHeight="1">
      <c r="A12" s="147">
        <f t="shared" si="3"/>
        <v>7</v>
      </c>
      <c r="B12" s="176" t="s">
        <v>60</v>
      </c>
      <c r="C12" s="161" t="s">
        <v>45</v>
      </c>
      <c r="D12" s="210" t="s">
        <v>46</v>
      </c>
      <c r="E12" s="163" t="s">
        <v>47</v>
      </c>
      <c r="F12" s="149"/>
      <c r="G12" s="155"/>
      <c r="H12" s="149"/>
      <c r="I12" s="149"/>
      <c r="J12" s="149"/>
      <c r="K12" s="224"/>
      <c r="L12" s="149"/>
      <c r="M12" s="224"/>
      <c r="N12" s="224"/>
      <c r="O12" s="149"/>
      <c r="P12" s="155">
        <f t="shared" si="4"/>
        <v>2502.5</v>
      </c>
      <c r="Q12" s="155"/>
      <c r="R12" s="155">
        <f>P12/13</f>
        <v>192.5</v>
      </c>
      <c r="S12" s="155"/>
      <c r="T12" s="155"/>
      <c r="U12" s="155">
        <v>975</v>
      </c>
      <c r="V12" s="155">
        <f t="shared" si="0"/>
        <v>75</v>
      </c>
      <c r="W12" s="155"/>
      <c r="X12" s="155"/>
      <c r="Y12" s="155">
        <f t="shared" si="1"/>
        <v>3477.5</v>
      </c>
      <c r="Z12" s="155">
        <v>130</v>
      </c>
      <c r="AA12" s="155">
        <f t="shared" si="2"/>
        <v>10</v>
      </c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>
        <f t="shared" si="5"/>
        <v>28600</v>
      </c>
    </row>
    <row r="13" spans="1:38" ht="21.9" customHeight="1">
      <c r="A13" s="147">
        <f t="shared" si="3"/>
        <v>8</v>
      </c>
      <c r="B13" s="176" t="s">
        <v>62</v>
      </c>
      <c r="C13" s="161" t="s">
        <v>45</v>
      </c>
      <c r="D13" s="210" t="s">
        <v>46</v>
      </c>
      <c r="E13" s="163" t="s">
        <v>47</v>
      </c>
      <c r="F13" s="149"/>
      <c r="G13" s="155"/>
      <c r="H13" s="149"/>
      <c r="I13" s="149"/>
      <c r="J13" s="149"/>
      <c r="K13" s="224"/>
      <c r="L13" s="149"/>
      <c r="M13" s="224"/>
      <c r="N13" s="224"/>
      <c r="O13" s="149"/>
      <c r="P13" s="155">
        <f t="shared" si="4"/>
        <v>2502.5</v>
      </c>
      <c r="Q13" s="155">
        <f>P13/13</f>
        <v>192.5</v>
      </c>
      <c r="R13" s="155"/>
      <c r="S13" s="155"/>
      <c r="T13" s="155"/>
      <c r="U13" s="155">
        <v>975</v>
      </c>
      <c r="V13" s="155">
        <f t="shared" si="0"/>
        <v>75</v>
      </c>
      <c r="W13" s="155"/>
      <c r="X13" s="155"/>
      <c r="Y13" s="155">
        <f t="shared" si="1"/>
        <v>3477.5</v>
      </c>
      <c r="Z13" s="155">
        <v>130</v>
      </c>
      <c r="AA13" s="155">
        <f t="shared" si="2"/>
        <v>10</v>
      </c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>
        <f t="shared" si="5"/>
        <v>28600</v>
      </c>
    </row>
    <row r="14" spans="1:38" ht="21.9" customHeight="1">
      <c r="A14" s="147">
        <f t="shared" si="3"/>
        <v>9</v>
      </c>
      <c r="B14" s="176" t="s">
        <v>64</v>
      </c>
      <c r="C14" s="161" t="s">
        <v>45</v>
      </c>
      <c r="D14" s="210" t="s">
        <v>46</v>
      </c>
      <c r="E14" s="163" t="s">
        <v>47</v>
      </c>
      <c r="F14" s="149"/>
      <c r="G14" s="155"/>
      <c r="H14" s="149"/>
      <c r="I14" s="149"/>
      <c r="J14" s="149"/>
      <c r="K14" s="224"/>
      <c r="L14" s="149"/>
      <c r="M14" s="224"/>
      <c r="N14" s="224"/>
      <c r="O14" s="149"/>
      <c r="P14" s="155">
        <f t="shared" si="4"/>
        <v>2502.5</v>
      </c>
      <c r="Q14" s="155">
        <f>P14/13</f>
        <v>192.5</v>
      </c>
      <c r="R14" s="155"/>
      <c r="S14" s="155"/>
      <c r="T14" s="155"/>
      <c r="U14" s="155">
        <v>975</v>
      </c>
      <c r="V14" s="155">
        <f t="shared" si="0"/>
        <v>75</v>
      </c>
      <c r="W14" s="155"/>
      <c r="X14" s="155"/>
      <c r="Y14" s="155">
        <f t="shared" si="1"/>
        <v>3477.5</v>
      </c>
      <c r="Z14" s="155">
        <v>130</v>
      </c>
      <c r="AA14" s="155">
        <f t="shared" si="2"/>
        <v>10</v>
      </c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>
        <f t="shared" si="5"/>
        <v>28600</v>
      </c>
    </row>
    <row r="15" spans="1:38" ht="21.9" customHeight="1">
      <c r="A15" s="147">
        <f t="shared" si="3"/>
        <v>10</v>
      </c>
      <c r="B15" s="176" t="s">
        <v>66</v>
      </c>
      <c r="C15" s="161" t="s">
        <v>45</v>
      </c>
      <c r="D15" s="210" t="s">
        <v>46</v>
      </c>
      <c r="E15" s="163" t="s">
        <v>47</v>
      </c>
      <c r="F15" s="149"/>
      <c r="G15" s="155"/>
      <c r="H15" s="149"/>
      <c r="I15" s="149"/>
      <c r="J15" s="149"/>
      <c r="K15" s="224"/>
      <c r="L15" s="149"/>
      <c r="M15" s="224"/>
      <c r="N15" s="224"/>
      <c r="O15" s="149"/>
      <c r="P15" s="155">
        <f t="shared" si="4"/>
        <v>2502.5</v>
      </c>
      <c r="Q15" s="155">
        <f>P15/13</f>
        <v>192.5</v>
      </c>
      <c r="R15" s="155"/>
      <c r="S15" s="155"/>
      <c r="T15" s="155"/>
      <c r="U15" s="155">
        <v>975</v>
      </c>
      <c r="V15" s="155">
        <f t="shared" si="0"/>
        <v>75</v>
      </c>
      <c r="W15" s="155"/>
      <c r="X15" s="155"/>
      <c r="Y15" s="155">
        <f t="shared" si="1"/>
        <v>3477.5</v>
      </c>
      <c r="Z15" s="155">
        <v>130</v>
      </c>
      <c r="AA15" s="155">
        <f t="shared" si="2"/>
        <v>10</v>
      </c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>
        <f t="shared" si="5"/>
        <v>28600</v>
      </c>
    </row>
    <row r="16" spans="1:38" ht="21.9" customHeight="1">
      <c r="A16" s="147">
        <f t="shared" si="3"/>
        <v>11</v>
      </c>
      <c r="B16" s="176" t="s">
        <v>68</v>
      </c>
      <c r="C16" s="161" t="s">
        <v>45</v>
      </c>
      <c r="D16" s="210" t="s">
        <v>46</v>
      </c>
      <c r="E16" s="163" t="s">
        <v>47</v>
      </c>
      <c r="F16" s="149"/>
      <c r="G16" s="155"/>
      <c r="H16" s="149"/>
      <c r="I16" s="149"/>
      <c r="J16" s="149"/>
      <c r="K16" s="224"/>
      <c r="L16" s="149"/>
      <c r="M16" s="224"/>
      <c r="N16" s="224"/>
      <c r="O16" s="149"/>
      <c r="P16" s="155">
        <f t="shared" si="4"/>
        <v>2502.5</v>
      </c>
      <c r="Q16" s="155"/>
      <c r="R16" s="155">
        <f>P16/13</f>
        <v>192.5</v>
      </c>
      <c r="S16" s="155"/>
      <c r="T16" s="155"/>
      <c r="U16" s="155">
        <v>975</v>
      </c>
      <c r="V16" s="155">
        <f t="shared" si="0"/>
        <v>75</v>
      </c>
      <c r="W16" s="155"/>
      <c r="X16" s="155"/>
      <c r="Y16" s="155">
        <f t="shared" si="1"/>
        <v>3477.5</v>
      </c>
      <c r="Z16" s="155">
        <v>130</v>
      </c>
      <c r="AA16" s="155">
        <f t="shared" si="2"/>
        <v>10</v>
      </c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>
        <f t="shared" si="5"/>
        <v>28600</v>
      </c>
    </row>
    <row r="17" spans="1:38" ht="21.9" customHeight="1">
      <c r="A17" s="147">
        <f t="shared" si="3"/>
        <v>12</v>
      </c>
      <c r="B17" s="176" t="s">
        <v>70</v>
      </c>
      <c r="C17" s="161" t="s">
        <v>45</v>
      </c>
      <c r="D17" s="210" t="s">
        <v>46</v>
      </c>
      <c r="E17" s="163" t="s">
        <v>47</v>
      </c>
      <c r="F17" s="149"/>
      <c r="G17" s="155"/>
      <c r="H17" s="149"/>
      <c r="I17" s="149"/>
      <c r="J17" s="149"/>
      <c r="K17" s="224"/>
      <c r="L17" s="149"/>
      <c r="M17" s="224"/>
      <c r="N17" s="224"/>
      <c r="O17" s="149"/>
      <c r="P17" s="155">
        <f t="shared" si="4"/>
        <v>2502.5</v>
      </c>
      <c r="Q17" s="155">
        <f>P17/13</f>
        <v>192.5</v>
      </c>
      <c r="R17" s="155"/>
      <c r="S17" s="155"/>
      <c r="T17" s="155"/>
      <c r="U17" s="155">
        <v>975</v>
      </c>
      <c r="V17" s="155">
        <f t="shared" si="0"/>
        <v>75</v>
      </c>
      <c r="W17" s="155"/>
      <c r="X17" s="155"/>
      <c r="Y17" s="155">
        <f t="shared" si="1"/>
        <v>3477.5</v>
      </c>
      <c r="Z17" s="155">
        <v>130</v>
      </c>
      <c r="AA17" s="155">
        <f t="shared" si="2"/>
        <v>10</v>
      </c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>
        <f t="shared" si="5"/>
        <v>28600</v>
      </c>
    </row>
    <row r="18" spans="1:38" ht="21.9" customHeight="1">
      <c r="A18" s="147">
        <f t="shared" si="3"/>
        <v>13</v>
      </c>
      <c r="B18" s="176" t="s">
        <v>72</v>
      </c>
      <c r="C18" s="161" t="s">
        <v>45</v>
      </c>
      <c r="D18" s="210" t="s">
        <v>46</v>
      </c>
      <c r="E18" s="163" t="s">
        <v>47</v>
      </c>
      <c r="F18" s="149"/>
      <c r="G18" s="155"/>
      <c r="H18" s="149"/>
      <c r="I18" s="149"/>
      <c r="J18" s="149"/>
      <c r="K18" s="224"/>
      <c r="L18" s="149"/>
      <c r="M18" s="224"/>
      <c r="N18" s="224"/>
      <c r="O18" s="149"/>
      <c r="P18" s="155">
        <f t="shared" si="4"/>
        <v>2502.5</v>
      </c>
      <c r="Q18" s="155">
        <f>P18/13</f>
        <v>192.5</v>
      </c>
      <c r="R18" s="155"/>
      <c r="S18" s="155"/>
      <c r="T18" s="155"/>
      <c r="U18" s="155">
        <v>975</v>
      </c>
      <c r="V18" s="155">
        <f t="shared" si="0"/>
        <v>75</v>
      </c>
      <c r="W18" s="155"/>
      <c r="X18" s="155"/>
      <c r="Y18" s="155">
        <f t="shared" si="1"/>
        <v>3477.5</v>
      </c>
      <c r="Z18" s="155">
        <v>130</v>
      </c>
      <c r="AA18" s="155">
        <f t="shared" si="2"/>
        <v>10</v>
      </c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>
        <f t="shared" si="5"/>
        <v>28600</v>
      </c>
    </row>
    <row r="19" spans="1:38" ht="21.9" customHeight="1">
      <c r="A19" s="147">
        <f t="shared" si="3"/>
        <v>14</v>
      </c>
      <c r="B19" s="176" t="s">
        <v>74</v>
      </c>
      <c r="C19" s="161" t="s">
        <v>45</v>
      </c>
      <c r="D19" s="210" t="s">
        <v>46</v>
      </c>
      <c r="E19" s="163" t="s">
        <v>47</v>
      </c>
      <c r="F19" s="149"/>
      <c r="G19" s="155"/>
      <c r="H19" s="149"/>
      <c r="I19" s="149"/>
      <c r="J19" s="149"/>
      <c r="K19" s="224"/>
      <c r="L19" s="149"/>
      <c r="M19" s="224"/>
      <c r="N19" s="224"/>
      <c r="O19" s="149"/>
      <c r="P19" s="155">
        <f t="shared" si="4"/>
        <v>2502.5</v>
      </c>
      <c r="Q19" s="155"/>
      <c r="R19" s="155">
        <f>P19/13</f>
        <v>192.5</v>
      </c>
      <c r="S19" s="155"/>
      <c r="T19" s="155"/>
      <c r="U19" s="155">
        <v>975</v>
      </c>
      <c r="V19" s="155">
        <f t="shared" si="0"/>
        <v>75</v>
      </c>
      <c r="W19" s="155"/>
      <c r="X19" s="155"/>
      <c r="Y19" s="155">
        <f t="shared" si="1"/>
        <v>3477.5</v>
      </c>
      <c r="Z19" s="155">
        <v>130</v>
      </c>
      <c r="AA19" s="155">
        <f t="shared" si="2"/>
        <v>10</v>
      </c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>
        <f t="shared" si="5"/>
        <v>28600</v>
      </c>
    </row>
    <row r="20" spans="1:38" ht="21.9" customHeight="1">
      <c r="A20" s="150"/>
      <c r="B20" s="207" t="s">
        <v>75</v>
      </c>
      <c r="C20" s="161"/>
      <c r="D20" s="210"/>
      <c r="E20" s="163"/>
      <c r="F20" s="152">
        <f>SUM(F6:F19)</f>
        <v>0</v>
      </c>
      <c r="G20" s="152">
        <f>SUM(G6:G19)</f>
        <v>0</v>
      </c>
      <c r="H20" s="152">
        <f>SUM(H6:H19)</f>
        <v>0</v>
      </c>
      <c r="I20" s="152">
        <f>SUM(I6:I19)</f>
        <v>10000</v>
      </c>
      <c r="J20" s="152">
        <f>SUM(J6:J19)</f>
        <v>3000</v>
      </c>
      <c r="K20" s="152"/>
      <c r="L20" s="155"/>
      <c r="M20" s="152"/>
      <c r="N20" s="152"/>
      <c r="O20" s="155"/>
      <c r="P20" s="152">
        <f t="shared" ref="P20:V20" si="6">SUM(P6:P19)</f>
        <v>35035</v>
      </c>
      <c r="Q20" s="152">
        <f t="shared" si="6"/>
        <v>1155</v>
      </c>
      <c r="R20" s="152">
        <f t="shared" si="6"/>
        <v>1540</v>
      </c>
      <c r="S20" s="152">
        <f t="shared" si="6"/>
        <v>0</v>
      </c>
      <c r="T20" s="152">
        <f t="shared" si="6"/>
        <v>0</v>
      </c>
      <c r="U20" s="152">
        <f t="shared" si="6"/>
        <v>13650</v>
      </c>
      <c r="V20" s="152">
        <f t="shared" si="6"/>
        <v>1050</v>
      </c>
      <c r="W20" s="155"/>
      <c r="X20" s="155"/>
      <c r="Y20" s="152">
        <f>SUM(Y6:Y19)</f>
        <v>48685</v>
      </c>
      <c r="Z20" s="152">
        <f>SUM(Z6:Z19)</f>
        <v>1820</v>
      </c>
      <c r="AA20" s="152">
        <f>SUM(AA6:AA19)</f>
        <v>140</v>
      </c>
      <c r="AB20" s="155"/>
      <c r="AC20" s="155"/>
      <c r="AD20" s="155"/>
      <c r="AE20" s="155"/>
      <c r="AF20" s="155"/>
      <c r="AG20" s="155"/>
      <c r="AH20" s="155"/>
      <c r="AI20" s="152">
        <f>AI6</f>
        <v>50000</v>
      </c>
      <c r="AJ20" s="152">
        <f>AJ6</f>
        <v>75000</v>
      </c>
      <c r="AK20" s="152">
        <f>SUM(AK6:AK19)</f>
        <v>18500</v>
      </c>
      <c r="AL20" s="152">
        <f>SUM(AL6:AL19)</f>
        <v>400400</v>
      </c>
    </row>
    <row r="21" spans="1:38" ht="21.9" customHeight="1">
      <c r="A21" s="154">
        <v>1</v>
      </c>
      <c r="B21" s="176" t="s">
        <v>140</v>
      </c>
      <c r="C21" s="161" t="s">
        <v>141</v>
      </c>
      <c r="D21" s="161" t="s">
        <v>79</v>
      </c>
      <c r="E21" s="163" t="s">
        <v>47</v>
      </c>
      <c r="F21" s="155">
        <v>3500</v>
      </c>
      <c r="G21" s="155">
        <f>F21*12</f>
        <v>42000</v>
      </c>
      <c r="H21" s="155">
        <v>70</v>
      </c>
      <c r="I21" s="155"/>
      <c r="J21" s="155">
        <f>F21</f>
        <v>3500</v>
      </c>
      <c r="K21" s="155">
        <v>300</v>
      </c>
      <c r="L21" s="155">
        <v>3500</v>
      </c>
      <c r="M21" s="155">
        <v>125</v>
      </c>
      <c r="N21" s="155">
        <v>30</v>
      </c>
      <c r="O21" s="155">
        <v>100</v>
      </c>
      <c r="P21" s="155">
        <f>ROUND(F21*0.0875*13,2)</f>
        <v>3981.25</v>
      </c>
      <c r="Q21" s="155"/>
      <c r="R21" s="155">
        <f>P21/13</f>
        <v>306.25</v>
      </c>
      <c r="S21" s="155"/>
      <c r="T21" s="155"/>
      <c r="U21" s="155">
        <f>75*13</f>
        <v>975</v>
      </c>
      <c r="V21" s="155">
        <f>U21/13</f>
        <v>75</v>
      </c>
      <c r="W21" s="155"/>
      <c r="X21" s="155"/>
      <c r="Y21" s="155">
        <f>P21+S21+U21+W21</f>
        <v>4956.25</v>
      </c>
      <c r="Z21" s="155">
        <f>10*13</f>
        <v>130</v>
      </c>
      <c r="AA21" s="155">
        <f>Z21/13</f>
        <v>10</v>
      </c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</row>
    <row r="22" spans="1:38" ht="21.9" customHeight="1">
      <c r="A22" s="154">
        <f>A21+1</f>
        <v>2</v>
      </c>
      <c r="B22" s="176" t="s">
        <v>143</v>
      </c>
      <c r="C22" s="161" t="s">
        <v>141</v>
      </c>
      <c r="D22" s="161" t="s">
        <v>79</v>
      </c>
      <c r="E22" s="163" t="s">
        <v>47</v>
      </c>
      <c r="F22" s="155">
        <v>500</v>
      </c>
      <c r="G22" s="155">
        <f>F22*12</f>
        <v>6000</v>
      </c>
      <c r="H22" s="155">
        <v>70</v>
      </c>
      <c r="I22" s="155"/>
      <c r="J22" s="155">
        <f>F22</f>
        <v>500</v>
      </c>
      <c r="K22" s="155">
        <v>300</v>
      </c>
      <c r="L22" s="155"/>
      <c r="M22" s="155">
        <v>125</v>
      </c>
      <c r="N22" s="155">
        <v>30</v>
      </c>
      <c r="O22" s="155">
        <v>100</v>
      </c>
      <c r="P22" s="155">
        <f>ROUND(F22*0.0875*13,2)</f>
        <v>568.75</v>
      </c>
      <c r="Q22" s="272"/>
      <c r="R22" s="155">
        <f>P22/13</f>
        <v>43.75</v>
      </c>
      <c r="S22" s="155"/>
      <c r="T22" s="155"/>
      <c r="U22" s="155">
        <f>ROUND(F22*0.075*13,2)</f>
        <v>487.5</v>
      </c>
      <c r="V22" s="155">
        <f>U22/13</f>
        <v>37.5</v>
      </c>
      <c r="W22" s="155"/>
      <c r="X22" s="155"/>
      <c r="Y22" s="155">
        <f>P22+S22+U22+W22</f>
        <v>1056.25</v>
      </c>
      <c r="Z22" s="155">
        <f>ROUND(F22*0.01*13,2)</f>
        <v>65</v>
      </c>
      <c r="AA22" s="155">
        <f>Z22/13</f>
        <v>5</v>
      </c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</row>
    <row r="23" spans="1:38" ht="21.9" customHeight="1">
      <c r="A23" s="154"/>
      <c r="B23" s="274"/>
      <c r="C23" s="275"/>
      <c r="D23" s="161"/>
      <c r="E23" s="276"/>
      <c r="F23" s="152">
        <f>F21+F22</f>
        <v>4000</v>
      </c>
      <c r="G23" s="152">
        <f>G21+G22</f>
        <v>48000</v>
      </c>
      <c r="H23" s="152">
        <f>H21+H22</f>
        <v>140</v>
      </c>
      <c r="I23" s="152">
        <f>I21+I22</f>
        <v>0</v>
      </c>
      <c r="J23" s="152">
        <f>J21+J22</f>
        <v>4000</v>
      </c>
      <c r="K23" s="152">
        <f>SUM(K21:K22)</f>
        <v>600</v>
      </c>
      <c r="L23" s="152">
        <f>SUM(L21:L22)</f>
        <v>3500</v>
      </c>
      <c r="M23" s="152">
        <f>M21+M22</f>
        <v>250</v>
      </c>
      <c r="N23" s="152">
        <f>N21+N22</f>
        <v>60</v>
      </c>
      <c r="O23" s="152">
        <f>O21+O22</f>
        <v>200</v>
      </c>
      <c r="P23" s="152">
        <f>SUM(P21:P22)</f>
        <v>4550</v>
      </c>
      <c r="Q23" s="152">
        <f t="shared" ref="Q23:AA23" si="7">Q21+Q22</f>
        <v>0</v>
      </c>
      <c r="R23" s="152">
        <f t="shared" si="7"/>
        <v>350</v>
      </c>
      <c r="S23" s="152">
        <f t="shared" si="7"/>
        <v>0</v>
      </c>
      <c r="T23" s="152">
        <f t="shared" si="7"/>
        <v>0</v>
      </c>
      <c r="U23" s="152">
        <f t="shared" si="7"/>
        <v>1462.5</v>
      </c>
      <c r="V23" s="152">
        <f t="shared" si="7"/>
        <v>112.5</v>
      </c>
      <c r="W23" s="152">
        <f t="shared" si="7"/>
        <v>0</v>
      </c>
      <c r="X23" s="152">
        <f t="shared" si="7"/>
        <v>0</v>
      </c>
      <c r="Y23" s="152">
        <f t="shared" si="7"/>
        <v>6012.5</v>
      </c>
      <c r="Z23" s="152">
        <f t="shared" si="7"/>
        <v>195</v>
      </c>
      <c r="AA23" s="152">
        <f t="shared" si="7"/>
        <v>15</v>
      </c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</row>
    <row r="24" spans="1:38" ht="21.9" customHeight="1">
      <c r="A24" s="154">
        <f>A22+1</f>
        <v>3</v>
      </c>
      <c r="B24" s="176" t="s">
        <v>146</v>
      </c>
      <c r="C24" s="161" t="s">
        <v>147</v>
      </c>
      <c r="D24" s="161" t="s">
        <v>79</v>
      </c>
      <c r="E24" s="163" t="s">
        <v>47</v>
      </c>
      <c r="F24" s="155">
        <v>1550</v>
      </c>
      <c r="G24" s="155">
        <f>F24*12</f>
        <v>18600</v>
      </c>
      <c r="H24" s="155">
        <v>70</v>
      </c>
      <c r="I24" s="155"/>
      <c r="J24" s="155">
        <f>F24</f>
        <v>1550</v>
      </c>
      <c r="K24" s="155">
        <v>300</v>
      </c>
      <c r="L24" s="155">
        <v>2000</v>
      </c>
      <c r="M24" s="155">
        <v>125</v>
      </c>
      <c r="N24" s="155">
        <v>30</v>
      </c>
      <c r="O24" s="155">
        <v>100</v>
      </c>
      <c r="P24" s="155">
        <f>ROUND(F24*0.0875*13,2)</f>
        <v>1763.13</v>
      </c>
      <c r="Q24" s="155">
        <f>P24/13</f>
        <v>135.62538461538463</v>
      </c>
      <c r="R24" s="155"/>
      <c r="S24" s="155"/>
      <c r="T24" s="155"/>
      <c r="U24" s="155">
        <f>75*13</f>
        <v>975</v>
      </c>
      <c r="V24" s="155">
        <f>U24/13</f>
        <v>75</v>
      </c>
      <c r="W24" s="155"/>
      <c r="X24" s="155"/>
      <c r="Y24" s="155">
        <f>P24+S24+U24+W24</f>
        <v>2738.13</v>
      </c>
      <c r="Z24" s="155">
        <f>10*13</f>
        <v>130</v>
      </c>
      <c r="AA24" s="155">
        <f>Z24/13</f>
        <v>10</v>
      </c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</row>
    <row r="25" spans="1:38" ht="21.9" customHeight="1">
      <c r="A25" s="154">
        <f>A24+1</f>
        <v>4</v>
      </c>
      <c r="B25" s="178" t="s">
        <v>162</v>
      </c>
      <c r="C25" s="161" t="s">
        <v>147</v>
      </c>
      <c r="D25" s="161" t="s">
        <v>79</v>
      </c>
      <c r="E25" s="163" t="s">
        <v>47</v>
      </c>
      <c r="F25" s="155">
        <v>1250</v>
      </c>
      <c r="G25" s="155">
        <f>F25*12</f>
        <v>15000</v>
      </c>
      <c r="H25" s="155">
        <v>70</v>
      </c>
      <c r="I25" s="155"/>
      <c r="J25" s="155">
        <f>F25</f>
        <v>1250</v>
      </c>
      <c r="K25" s="155">
        <v>300</v>
      </c>
      <c r="L25" s="155"/>
      <c r="M25" s="155"/>
      <c r="N25" s="155">
        <v>30</v>
      </c>
      <c r="O25" s="155">
        <v>100</v>
      </c>
      <c r="P25" s="155">
        <f>ROUND(F25*0.0875*13,2)</f>
        <v>1421.88</v>
      </c>
      <c r="Q25" s="226"/>
      <c r="R25" s="155">
        <f>P25/13</f>
        <v>109.37538461538462</v>
      </c>
      <c r="S25" s="155"/>
      <c r="T25" s="155"/>
      <c r="U25" s="155">
        <f>75*13</f>
        <v>975</v>
      </c>
      <c r="V25" s="155">
        <f>U25/13</f>
        <v>75</v>
      </c>
      <c r="W25" s="155"/>
      <c r="X25" s="155"/>
      <c r="Y25" s="155">
        <f>P25+S25+U25+W25</f>
        <v>2396.88</v>
      </c>
      <c r="Z25" s="155">
        <f>10*13</f>
        <v>130</v>
      </c>
      <c r="AA25" s="155">
        <f>Z25/13</f>
        <v>10</v>
      </c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</row>
    <row r="26" spans="1:38" ht="21.9" customHeight="1">
      <c r="A26" s="154">
        <f>A25+1</f>
        <v>5</v>
      </c>
      <c r="B26" s="176" t="s">
        <v>162</v>
      </c>
      <c r="C26" s="161" t="s">
        <v>147</v>
      </c>
      <c r="D26" s="161" t="s">
        <v>79</v>
      </c>
      <c r="E26" s="163" t="s">
        <v>47</v>
      </c>
      <c r="F26" s="155">
        <v>700</v>
      </c>
      <c r="G26" s="155">
        <f>F26*12</f>
        <v>8400</v>
      </c>
      <c r="H26" s="155">
        <v>70</v>
      </c>
      <c r="I26" s="155"/>
      <c r="J26" s="155">
        <f>F26</f>
        <v>700</v>
      </c>
      <c r="K26" s="155">
        <v>300</v>
      </c>
      <c r="L26" s="155"/>
      <c r="M26" s="155">
        <v>125</v>
      </c>
      <c r="N26" s="155">
        <v>30</v>
      </c>
      <c r="O26" s="155">
        <v>100</v>
      </c>
      <c r="P26" s="155">
        <f>ROUND(F26*0.0875*13,2)</f>
        <v>796.25</v>
      </c>
      <c r="Q26" s="155"/>
      <c r="R26" s="155">
        <f>P26/13</f>
        <v>61.25</v>
      </c>
      <c r="S26" s="155"/>
      <c r="T26" s="155"/>
      <c r="U26" s="155">
        <f>ROUND(F26*0.075*13,2)</f>
        <v>682.5</v>
      </c>
      <c r="V26" s="155">
        <f>U26/13</f>
        <v>52.5</v>
      </c>
      <c r="W26" s="155"/>
      <c r="X26" s="155"/>
      <c r="Y26" s="155">
        <f>P26+S26+U26+W26</f>
        <v>1478.75</v>
      </c>
      <c r="Z26" s="155">
        <f>ROUND(F26*0.01*13,2)</f>
        <v>91</v>
      </c>
      <c r="AA26" s="155">
        <f>Z26/13</f>
        <v>7</v>
      </c>
      <c r="AB26" s="225"/>
      <c r="AC26" s="225"/>
      <c r="AD26" s="155"/>
      <c r="AE26" s="225"/>
      <c r="AF26" s="155"/>
      <c r="AG26" s="155"/>
      <c r="AH26" s="225"/>
      <c r="AI26" s="225"/>
      <c r="AJ26" s="225"/>
      <c r="AK26" s="225"/>
      <c r="AL26" s="155"/>
    </row>
    <row r="27" spans="1:38" ht="21.9" customHeight="1">
      <c r="A27" s="154"/>
      <c r="B27" s="274"/>
      <c r="C27" s="275"/>
      <c r="D27" s="161"/>
      <c r="E27" s="276"/>
      <c r="F27" s="152">
        <f>SUM(F24:F26)</f>
        <v>3500</v>
      </c>
      <c r="G27" s="152">
        <f t="shared" ref="G27:AA27" si="8">SUM(G24:G26)</f>
        <v>42000</v>
      </c>
      <c r="H27" s="152">
        <f t="shared" si="8"/>
        <v>210</v>
      </c>
      <c r="I27" s="152">
        <f t="shared" si="8"/>
        <v>0</v>
      </c>
      <c r="J27" s="152">
        <f t="shared" si="8"/>
        <v>3500</v>
      </c>
      <c r="K27" s="152">
        <f t="shared" si="8"/>
        <v>900</v>
      </c>
      <c r="L27" s="152">
        <f t="shared" si="8"/>
        <v>2000</v>
      </c>
      <c r="M27" s="152">
        <f t="shared" si="8"/>
        <v>250</v>
      </c>
      <c r="N27" s="152">
        <f t="shared" si="8"/>
        <v>90</v>
      </c>
      <c r="O27" s="152">
        <f t="shared" si="8"/>
        <v>300</v>
      </c>
      <c r="P27" s="152">
        <f t="shared" si="8"/>
        <v>3981.26</v>
      </c>
      <c r="Q27" s="152">
        <f t="shared" si="8"/>
        <v>135.62538461538463</v>
      </c>
      <c r="R27" s="152">
        <f t="shared" si="8"/>
        <v>170.62538461538463</v>
      </c>
      <c r="S27" s="152">
        <f t="shared" si="8"/>
        <v>0</v>
      </c>
      <c r="T27" s="152">
        <f t="shared" si="8"/>
        <v>0</v>
      </c>
      <c r="U27" s="152">
        <f t="shared" si="8"/>
        <v>2632.5</v>
      </c>
      <c r="V27" s="152">
        <f t="shared" si="8"/>
        <v>202.5</v>
      </c>
      <c r="W27" s="152">
        <f t="shared" si="8"/>
        <v>0</v>
      </c>
      <c r="X27" s="152">
        <f t="shared" si="8"/>
        <v>0</v>
      </c>
      <c r="Y27" s="152">
        <f t="shared" si="8"/>
        <v>6613.76</v>
      </c>
      <c r="Z27" s="152">
        <f t="shared" si="8"/>
        <v>351</v>
      </c>
      <c r="AA27" s="152">
        <f t="shared" si="8"/>
        <v>27</v>
      </c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</row>
    <row r="28" spans="1:38" ht="21.9" customHeight="1">
      <c r="A28" s="154">
        <f>A26+1</f>
        <v>6</v>
      </c>
      <c r="B28" s="176" t="s">
        <v>151</v>
      </c>
      <c r="C28" s="161" t="s">
        <v>152</v>
      </c>
      <c r="D28" s="161" t="s">
        <v>79</v>
      </c>
      <c r="E28" s="163" t="s">
        <v>47</v>
      </c>
      <c r="F28" s="155">
        <f>1100</f>
        <v>1100</v>
      </c>
      <c r="G28" s="155">
        <f>F28*12</f>
        <v>13200</v>
      </c>
      <c r="H28" s="155">
        <v>70</v>
      </c>
      <c r="I28" s="155"/>
      <c r="J28" s="155">
        <f>F28</f>
        <v>1100</v>
      </c>
      <c r="K28" s="155">
        <v>300</v>
      </c>
      <c r="L28" s="155"/>
      <c r="M28" s="155"/>
      <c r="N28" s="155">
        <v>30</v>
      </c>
      <c r="O28" s="155">
        <v>100</v>
      </c>
      <c r="P28" s="155">
        <f>ROUND(F28*0.0875*13,2)</f>
        <v>1251.25</v>
      </c>
      <c r="Q28" s="155">
        <f>P28/13</f>
        <v>96.25</v>
      </c>
      <c r="R28" s="227"/>
      <c r="S28" s="155"/>
      <c r="T28" s="155"/>
      <c r="U28" s="155">
        <f>75*13</f>
        <v>975</v>
      </c>
      <c r="V28" s="155">
        <f>U28/13</f>
        <v>75</v>
      </c>
      <c r="W28" s="155"/>
      <c r="X28" s="155"/>
      <c r="Y28" s="155">
        <f>P28+S28+U28+W28</f>
        <v>2226.25</v>
      </c>
      <c r="Z28" s="155">
        <f>10*13</f>
        <v>130</v>
      </c>
      <c r="AA28" s="155">
        <f>Z28/13</f>
        <v>10</v>
      </c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</row>
    <row r="29" spans="1:38" ht="21.9" customHeight="1">
      <c r="A29" s="154">
        <f>A28+1</f>
        <v>7</v>
      </c>
      <c r="B29" s="176" t="s">
        <v>143</v>
      </c>
      <c r="C29" s="161" t="s">
        <v>152</v>
      </c>
      <c r="D29" s="161" t="s">
        <v>79</v>
      </c>
      <c r="E29" s="163" t="s">
        <v>47</v>
      </c>
      <c r="F29" s="155">
        <v>647</v>
      </c>
      <c r="G29" s="155">
        <f>F29*12</f>
        <v>7764</v>
      </c>
      <c r="H29" s="155">
        <v>70</v>
      </c>
      <c r="I29" s="155"/>
      <c r="J29" s="155">
        <f>F29</f>
        <v>647</v>
      </c>
      <c r="K29" s="155">
        <v>300</v>
      </c>
      <c r="L29" s="155"/>
      <c r="M29" s="155">
        <v>125</v>
      </c>
      <c r="N29" s="155">
        <v>30</v>
      </c>
      <c r="O29" s="155">
        <v>100</v>
      </c>
      <c r="P29" s="155">
        <f>ROUND(F29*0.0875*13,2)</f>
        <v>735.96</v>
      </c>
      <c r="Q29" s="226"/>
      <c r="R29" s="155">
        <f>P29/13</f>
        <v>56.612307692307695</v>
      </c>
      <c r="S29" s="155"/>
      <c r="T29" s="155"/>
      <c r="U29" s="155">
        <f>ROUND(F29*0.075*13,2)</f>
        <v>630.83000000000004</v>
      </c>
      <c r="V29" s="155">
        <f>U29/13</f>
        <v>48.525384615384617</v>
      </c>
      <c r="W29" s="155"/>
      <c r="X29" s="155"/>
      <c r="Y29" s="155">
        <f>P29+S29+U29+W29</f>
        <v>1366.79</v>
      </c>
      <c r="Z29" s="155">
        <f>ROUND(F29*0.01*13,2)</f>
        <v>84.11</v>
      </c>
      <c r="AA29" s="155">
        <f>Z29/13</f>
        <v>6.47</v>
      </c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</row>
    <row r="30" spans="1:38" ht="21.9" customHeight="1">
      <c r="A30" s="154">
        <f>A29+1</f>
        <v>8</v>
      </c>
      <c r="B30" s="177" t="s">
        <v>91</v>
      </c>
      <c r="C30" s="161" t="s">
        <v>152</v>
      </c>
      <c r="D30" s="161" t="s">
        <v>79</v>
      </c>
      <c r="E30" s="163" t="s">
        <v>47</v>
      </c>
      <c r="F30" s="155">
        <f>567+30+50+50</f>
        <v>697</v>
      </c>
      <c r="G30" s="155">
        <f>F30*12</f>
        <v>8364</v>
      </c>
      <c r="H30" s="155">
        <v>70</v>
      </c>
      <c r="I30" s="155"/>
      <c r="J30" s="155">
        <f>F30</f>
        <v>697</v>
      </c>
      <c r="K30" s="155">
        <v>300</v>
      </c>
      <c r="L30" s="155"/>
      <c r="M30" s="155">
        <v>125</v>
      </c>
      <c r="N30" s="155">
        <v>30</v>
      </c>
      <c r="O30" s="155">
        <v>100</v>
      </c>
      <c r="P30" s="155">
        <f>ROUND(F30*0.0875*13,2)</f>
        <v>792.84</v>
      </c>
      <c r="Q30" s="155">
        <f>P30/13</f>
        <v>60.987692307692313</v>
      </c>
      <c r="R30" s="155"/>
      <c r="S30" s="155"/>
      <c r="T30" s="155"/>
      <c r="U30" s="155">
        <f>ROUND(F30*0.075*13,2)</f>
        <v>679.58</v>
      </c>
      <c r="V30" s="155">
        <f>U30/13</f>
        <v>52.275384615384617</v>
      </c>
      <c r="W30" s="155"/>
      <c r="X30" s="155"/>
      <c r="Y30" s="155">
        <f>P30+S30+U30+W30</f>
        <v>1472.42</v>
      </c>
      <c r="Z30" s="155">
        <f>ROUND(F30*0.01*13,2)</f>
        <v>90.61</v>
      </c>
      <c r="AA30" s="155">
        <f>Z30/13</f>
        <v>6.97</v>
      </c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</row>
    <row r="31" spans="1:38" ht="21.9" customHeight="1">
      <c r="A31" s="154"/>
      <c r="B31" s="274"/>
      <c r="C31" s="275"/>
      <c r="D31" s="161"/>
      <c r="E31" s="163"/>
      <c r="F31" s="152">
        <f t="shared" ref="F31:K31" si="9">SUM(F28:F30)</f>
        <v>2444</v>
      </c>
      <c r="G31" s="152">
        <f t="shared" si="9"/>
        <v>29328</v>
      </c>
      <c r="H31" s="152">
        <f t="shared" si="9"/>
        <v>210</v>
      </c>
      <c r="I31" s="152">
        <f t="shared" si="9"/>
        <v>0</v>
      </c>
      <c r="J31" s="152">
        <f t="shared" si="9"/>
        <v>2444</v>
      </c>
      <c r="K31" s="152">
        <f t="shared" si="9"/>
        <v>900</v>
      </c>
      <c r="L31" s="152"/>
      <c r="M31" s="152">
        <f t="shared" ref="M31:T31" si="10">SUM(M28:M30)</f>
        <v>250</v>
      </c>
      <c r="N31" s="152">
        <f t="shared" si="10"/>
        <v>90</v>
      </c>
      <c r="O31" s="152">
        <f t="shared" si="10"/>
        <v>300</v>
      </c>
      <c r="P31" s="152">
        <f t="shared" si="10"/>
        <v>2780.05</v>
      </c>
      <c r="Q31" s="152">
        <f t="shared" si="10"/>
        <v>157.23769230769233</v>
      </c>
      <c r="R31" s="152">
        <f t="shared" si="10"/>
        <v>56.612307692307695</v>
      </c>
      <c r="S31" s="152">
        <f t="shared" si="10"/>
        <v>0</v>
      </c>
      <c r="T31" s="152">
        <f t="shared" si="10"/>
        <v>0</v>
      </c>
      <c r="U31" s="152">
        <f>SUM(U28:U30)</f>
        <v>2285.41</v>
      </c>
      <c r="V31" s="152">
        <f>SUM(V28:V30)+0.01</f>
        <v>175.81076923076921</v>
      </c>
      <c r="W31" s="152">
        <f>SUM(W28:W30)</f>
        <v>0</v>
      </c>
      <c r="X31" s="152">
        <f>SUM(X28:X30)</f>
        <v>0</v>
      </c>
      <c r="Y31" s="152">
        <f>SUM(Y28:Y30)</f>
        <v>5065.46</v>
      </c>
      <c r="Z31" s="152">
        <f>SUM(Z28:Z30)</f>
        <v>304.72000000000003</v>
      </c>
      <c r="AA31" s="152">
        <f>SUM(AA28:AA30)</f>
        <v>23.439999999999998</v>
      </c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</row>
    <row r="32" spans="1:38" ht="21.9" customHeight="1">
      <c r="A32" s="154">
        <f>A30+1</f>
        <v>9</v>
      </c>
      <c r="B32" s="178" t="s">
        <v>77</v>
      </c>
      <c r="C32" s="161" t="s">
        <v>78</v>
      </c>
      <c r="D32" s="161" t="s">
        <v>79</v>
      </c>
      <c r="E32" s="163" t="s">
        <v>47</v>
      </c>
      <c r="F32" s="155">
        <v>5000</v>
      </c>
      <c r="G32" s="155">
        <f>F32*12</f>
        <v>60000</v>
      </c>
      <c r="H32" s="155">
        <v>70</v>
      </c>
      <c r="I32" s="155">
        <v>5000</v>
      </c>
      <c r="J32" s="155">
        <f>F32</f>
        <v>5000</v>
      </c>
      <c r="K32" s="155">
        <v>300</v>
      </c>
      <c r="L32" s="155">
        <v>5000</v>
      </c>
      <c r="M32" s="155">
        <v>125</v>
      </c>
      <c r="N32" s="155">
        <v>30</v>
      </c>
      <c r="O32" s="155">
        <v>100</v>
      </c>
      <c r="P32" s="155">
        <f>ROUND(F32*0.0875*13,2)</f>
        <v>5687.5</v>
      </c>
      <c r="Q32" s="155"/>
      <c r="R32" s="155">
        <f>P32/13</f>
        <v>437.5</v>
      </c>
      <c r="S32" s="155"/>
      <c r="T32" s="155"/>
      <c r="U32" s="155">
        <f>75*13</f>
        <v>975</v>
      </c>
      <c r="V32" s="155">
        <f>U32/13</f>
        <v>75</v>
      </c>
      <c r="W32" s="155"/>
      <c r="X32" s="155"/>
      <c r="Y32" s="155">
        <f>P32+S32+U32+W32</f>
        <v>6662.5</v>
      </c>
      <c r="Z32" s="155">
        <v>130</v>
      </c>
      <c r="AA32" s="155">
        <f>Z32/13</f>
        <v>10</v>
      </c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</row>
    <row r="33" spans="1:38" ht="21.9" customHeight="1">
      <c r="A33" s="154">
        <f>A32+1</f>
        <v>10</v>
      </c>
      <c r="B33" s="176" t="s">
        <v>143</v>
      </c>
      <c r="C33" s="161" t="s">
        <v>78</v>
      </c>
      <c r="D33" s="161" t="s">
        <v>79</v>
      </c>
      <c r="E33" s="163" t="s">
        <v>47</v>
      </c>
      <c r="F33" s="155">
        <v>500</v>
      </c>
      <c r="G33" s="155">
        <f>F33*12</f>
        <v>6000</v>
      </c>
      <c r="H33" s="155">
        <v>70</v>
      </c>
      <c r="I33" s="155"/>
      <c r="J33" s="155">
        <f>F33</f>
        <v>500</v>
      </c>
      <c r="K33" s="155">
        <v>300</v>
      </c>
      <c r="L33" s="155"/>
      <c r="M33" s="155"/>
      <c r="N33" s="155">
        <v>30</v>
      </c>
      <c r="O33" s="155">
        <v>100</v>
      </c>
      <c r="P33" s="155">
        <f>ROUND(F33*0.0875*13,2)</f>
        <v>568.75</v>
      </c>
      <c r="Q33" s="155">
        <f>P33/13</f>
        <v>43.75</v>
      </c>
      <c r="R33" s="155"/>
      <c r="S33" s="155"/>
      <c r="T33" s="155"/>
      <c r="U33" s="155">
        <f>ROUND(F33*0.075*13,2)</f>
        <v>487.5</v>
      </c>
      <c r="V33" s="155">
        <f>U33/13</f>
        <v>37.5</v>
      </c>
      <c r="W33" s="155"/>
      <c r="X33" s="155"/>
      <c r="Y33" s="155">
        <f>P33+S33+U33+W33</f>
        <v>1056.25</v>
      </c>
      <c r="Z33" s="155">
        <f>ROUND(F33*0.01*13,2)</f>
        <v>65</v>
      </c>
      <c r="AA33" s="155">
        <f>Z33/13</f>
        <v>5</v>
      </c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</row>
    <row r="34" spans="1:38" ht="21.9" customHeight="1">
      <c r="A34" s="158"/>
      <c r="B34" s="277"/>
      <c r="C34" s="161"/>
      <c r="D34" s="161"/>
      <c r="E34" s="163"/>
      <c r="F34" s="152">
        <f t="shared" ref="F34:V34" si="11">SUM(F32:F33)</f>
        <v>5500</v>
      </c>
      <c r="G34" s="152">
        <f t="shared" si="11"/>
        <v>66000</v>
      </c>
      <c r="H34" s="152">
        <f t="shared" si="11"/>
        <v>140</v>
      </c>
      <c r="I34" s="152">
        <f t="shared" si="11"/>
        <v>5000</v>
      </c>
      <c r="J34" s="152">
        <f t="shared" si="11"/>
        <v>5500</v>
      </c>
      <c r="K34" s="152">
        <f t="shared" si="11"/>
        <v>600</v>
      </c>
      <c r="L34" s="152">
        <f t="shared" si="11"/>
        <v>5000</v>
      </c>
      <c r="M34" s="152">
        <f t="shared" si="11"/>
        <v>125</v>
      </c>
      <c r="N34" s="152">
        <f t="shared" si="11"/>
        <v>60</v>
      </c>
      <c r="O34" s="152">
        <f t="shared" si="11"/>
        <v>200</v>
      </c>
      <c r="P34" s="152">
        <f>SUM(P32:P33)</f>
        <v>6256.25</v>
      </c>
      <c r="Q34" s="152">
        <f t="shared" si="11"/>
        <v>43.75</v>
      </c>
      <c r="R34" s="152">
        <f t="shared" si="11"/>
        <v>437.5</v>
      </c>
      <c r="S34" s="155">
        <f t="shared" si="11"/>
        <v>0</v>
      </c>
      <c r="T34" s="155">
        <f t="shared" si="11"/>
        <v>0</v>
      </c>
      <c r="U34" s="152">
        <f t="shared" si="11"/>
        <v>1462.5</v>
      </c>
      <c r="V34" s="152">
        <f t="shared" si="11"/>
        <v>112.5</v>
      </c>
      <c r="W34" s="155"/>
      <c r="X34" s="155"/>
      <c r="Y34" s="152">
        <f>SUM(Y32:Y33)</f>
        <v>7718.75</v>
      </c>
      <c r="Z34" s="152">
        <f>SUM(Z32:Z33)</f>
        <v>195</v>
      </c>
      <c r="AA34" s="152">
        <f>SUM(AA32:AA33)</f>
        <v>15</v>
      </c>
      <c r="AB34" s="152">
        <f>SUM(AB32:AB33)</f>
        <v>0</v>
      </c>
      <c r="AC34" s="152">
        <f>SUM(AC32:AC33)</f>
        <v>0</v>
      </c>
      <c r="AD34" s="155"/>
      <c r="AE34" s="152">
        <f>SUM(AE32:AE33)</f>
        <v>0</v>
      </c>
      <c r="AF34" s="155"/>
      <c r="AG34" s="152">
        <f>SUM(AG32:AG33)</f>
        <v>0</v>
      </c>
      <c r="AH34" s="152">
        <f>SUM(AH32:AH33)</f>
        <v>0</v>
      </c>
      <c r="AI34" s="152"/>
      <c r="AJ34" s="152"/>
      <c r="AK34" s="152"/>
      <c r="AL34" s="152"/>
    </row>
    <row r="35" spans="1:38" ht="21.9" customHeight="1">
      <c r="A35" s="154">
        <f>A33+1</f>
        <v>11</v>
      </c>
      <c r="B35" s="176" t="s">
        <v>747</v>
      </c>
      <c r="C35" s="161" t="s">
        <v>158</v>
      </c>
      <c r="D35" s="161" t="s">
        <v>79</v>
      </c>
      <c r="E35" s="163" t="s">
        <v>47</v>
      </c>
      <c r="F35" s="155">
        <v>1300</v>
      </c>
      <c r="G35" s="155">
        <f>F35*12</f>
        <v>15600</v>
      </c>
      <c r="H35" s="155">
        <v>70</v>
      </c>
      <c r="I35" s="155"/>
      <c r="J35" s="155">
        <f>F35</f>
        <v>1300</v>
      </c>
      <c r="K35" s="155">
        <v>300</v>
      </c>
      <c r="L35" s="155"/>
      <c r="M35" s="155">
        <v>125</v>
      </c>
      <c r="N35" s="155">
        <v>30</v>
      </c>
      <c r="O35" s="155">
        <v>100</v>
      </c>
      <c r="P35" s="155">
        <f>ROUND(F35*0.0875*13,2)</f>
        <v>1478.75</v>
      </c>
      <c r="Q35" s="155"/>
      <c r="R35" s="155">
        <f>P35/13</f>
        <v>113.75</v>
      </c>
      <c r="S35" s="155"/>
      <c r="T35" s="155"/>
      <c r="U35" s="155">
        <f>75*13</f>
        <v>975</v>
      </c>
      <c r="V35" s="155">
        <f>U35/13</f>
        <v>75</v>
      </c>
      <c r="W35" s="155"/>
      <c r="X35" s="155"/>
      <c r="Y35" s="155">
        <f>P35+S35+U35+W35</f>
        <v>2453.75</v>
      </c>
      <c r="Z35" s="155">
        <f>10*13</f>
        <v>130</v>
      </c>
      <c r="AA35" s="155">
        <f>Z35/13</f>
        <v>10</v>
      </c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</row>
    <row r="36" spans="1:38" ht="21.9" customHeight="1">
      <c r="A36" s="154">
        <f>A35+1</f>
        <v>12</v>
      </c>
      <c r="B36" s="177" t="s">
        <v>162</v>
      </c>
      <c r="C36" s="161" t="s">
        <v>158</v>
      </c>
      <c r="D36" s="161" t="s">
        <v>79</v>
      </c>
      <c r="E36" s="163" t="s">
        <v>47</v>
      </c>
      <c r="F36" s="155">
        <f>517+50</f>
        <v>567</v>
      </c>
      <c r="G36" s="155">
        <f>F36*12</f>
        <v>6804</v>
      </c>
      <c r="H36" s="155">
        <v>70</v>
      </c>
      <c r="I36" s="155"/>
      <c r="J36" s="155">
        <f>F36</f>
        <v>567</v>
      </c>
      <c r="K36" s="155">
        <v>300</v>
      </c>
      <c r="L36" s="155"/>
      <c r="M36" s="155">
        <v>125</v>
      </c>
      <c r="N36" s="155">
        <v>30</v>
      </c>
      <c r="O36" s="155">
        <v>100</v>
      </c>
      <c r="P36" s="155">
        <f>ROUND(F36*0.0875*13,2)</f>
        <v>644.96</v>
      </c>
      <c r="Q36" s="155">
        <f>P36/13</f>
        <v>49.612307692307695</v>
      </c>
      <c r="R36" s="155"/>
      <c r="S36" s="155"/>
      <c r="T36" s="155"/>
      <c r="U36" s="155">
        <f>ROUND(F36*0.075*13,2)</f>
        <v>552.83000000000004</v>
      </c>
      <c r="V36" s="155">
        <f>U36/13</f>
        <v>42.525384615384617</v>
      </c>
      <c r="W36" s="155"/>
      <c r="X36" s="155"/>
      <c r="Y36" s="155">
        <f>P36+S36+U36+W36</f>
        <v>1197.79</v>
      </c>
      <c r="Z36" s="155">
        <f>ROUND(F36*0.01*13,2)</f>
        <v>73.709999999999994</v>
      </c>
      <c r="AA36" s="155">
        <f>Z36/13</f>
        <v>5.67</v>
      </c>
      <c r="AB36" s="225"/>
      <c r="AC36" s="225"/>
      <c r="AD36" s="155"/>
      <c r="AE36" s="225"/>
      <c r="AF36" s="155"/>
      <c r="AG36" s="155"/>
      <c r="AH36" s="225"/>
      <c r="AI36" s="225"/>
      <c r="AJ36" s="225"/>
      <c r="AK36" s="225"/>
      <c r="AL36" s="155"/>
    </row>
    <row r="37" spans="1:38" ht="21.9" customHeight="1">
      <c r="A37" s="154"/>
      <c r="B37" s="274"/>
      <c r="C37" s="275"/>
      <c r="D37" s="210"/>
      <c r="E37" s="276"/>
      <c r="F37" s="152">
        <f t="shared" ref="F37:U37" si="12">SUM(F35:F36)</f>
        <v>1867</v>
      </c>
      <c r="G37" s="152">
        <f t="shared" si="12"/>
        <v>22404</v>
      </c>
      <c r="H37" s="152">
        <f t="shared" si="12"/>
        <v>140</v>
      </c>
      <c r="I37" s="152">
        <f t="shared" si="12"/>
        <v>0</v>
      </c>
      <c r="J37" s="152">
        <f t="shared" si="12"/>
        <v>1867</v>
      </c>
      <c r="K37" s="152">
        <f t="shared" si="12"/>
        <v>600</v>
      </c>
      <c r="L37" s="152">
        <f t="shared" si="12"/>
        <v>0</v>
      </c>
      <c r="M37" s="152">
        <f t="shared" si="12"/>
        <v>250</v>
      </c>
      <c r="N37" s="152">
        <f t="shared" si="12"/>
        <v>60</v>
      </c>
      <c r="O37" s="152">
        <f t="shared" si="12"/>
        <v>200</v>
      </c>
      <c r="P37" s="152">
        <f t="shared" si="12"/>
        <v>2123.71</v>
      </c>
      <c r="Q37" s="152">
        <f t="shared" si="12"/>
        <v>49.612307692307695</v>
      </c>
      <c r="R37" s="152">
        <f t="shared" si="12"/>
        <v>113.75</v>
      </c>
      <c r="S37" s="152">
        <f t="shared" si="12"/>
        <v>0</v>
      </c>
      <c r="T37" s="152">
        <f t="shared" si="12"/>
        <v>0</v>
      </c>
      <c r="U37" s="152">
        <f t="shared" si="12"/>
        <v>1527.83</v>
      </c>
      <c r="V37" s="152">
        <f>SUM(V35:V36)+0.01</f>
        <v>117.53538461538461</v>
      </c>
      <c r="W37" s="152">
        <f>SUM(W35:W36)</f>
        <v>0</v>
      </c>
      <c r="X37" s="152">
        <f>SUM(X35:X36)</f>
        <v>0</v>
      </c>
      <c r="Y37" s="152">
        <f>SUM(Y35:Y36)</f>
        <v>3651.54</v>
      </c>
      <c r="Z37" s="152">
        <f>SUM(Z35:Z36)</f>
        <v>203.70999999999998</v>
      </c>
      <c r="AA37" s="152">
        <f>SUM(AA35:AA36)</f>
        <v>15.67</v>
      </c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</row>
    <row r="38" spans="1:38" ht="21.9" customHeight="1">
      <c r="A38" s="154">
        <f>A36+1</f>
        <v>13</v>
      </c>
      <c r="B38" s="177" t="s">
        <v>120</v>
      </c>
      <c r="C38" s="208" t="s">
        <v>694</v>
      </c>
      <c r="D38" s="161" t="s">
        <v>79</v>
      </c>
      <c r="E38" s="163" t="s">
        <v>47</v>
      </c>
      <c r="F38" s="155">
        <v>1000</v>
      </c>
      <c r="G38" s="155">
        <f t="shared" ref="G38:G43" si="13">F38*12</f>
        <v>12000</v>
      </c>
      <c r="H38" s="155">
        <v>70</v>
      </c>
      <c r="I38" s="155"/>
      <c r="J38" s="155">
        <f t="shared" ref="J38:J43" si="14">F38</f>
        <v>1000</v>
      </c>
      <c r="K38" s="155">
        <v>300</v>
      </c>
      <c r="L38" s="155"/>
      <c r="M38" s="155">
        <v>125</v>
      </c>
      <c r="N38" s="155">
        <v>30</v>
      </c>
      <c r="O38" s="155">
        <v>100</v>
      </c>
      <c r="P38" s="155">
        <f t="shared" ref="P38:P43" si="15">ROUND(F38*0.0875*13,2)</f>
        <v>1137.5</v>
      </c>
      <c r="Q38" s="155"/>
      <c r="R38" s="155">
        <f>P38/13</f>
        <v>87.5</v>
      </c>
      <c r="S38" s="155"/>
      <c r="T38" s="155"/>
      <c r="U38" s="155">
        <f>F38*0.075*13</f>
        <v>975</v>
      </c>
      <c r="V38" s="155">
        <f t="shared" ref="V38:V43" si="16">U38/13</f>
        <v>75</v>
      </c>
      <c r="W38" s="155"/>
      <c r="X38" s="155"/>
      <c r="Y38" s="155">
        <f t="shared" ref="Y38:Y43" si="17">P38+S38+U38+W38</f>
        <v>2112.5</v>
      </c>
      <c r="Z38" s="155">
        <f>10*13</f>
        <v>130</v>
      </c>
      <c r="AA38" s="155">
        <f t="shared" ref="AA38:AA43" si="18">Z38/13</f>
        <v>10</v>
      </c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</row>
    <row r="39" spans="1:38" ht="21.9" customHeight="1">
      <c r="A39" s="154">
        <f>A38+1</f>
        <v>14</v>
      </c>
      <c r="B39" s="177" t="s">
        <v>143</v>
      </c>
      <c r="C39" s="208" t="s">
        <v>694</v>
      </c>
      <c r="D39" s="161" t="s">
        <v>79</v>
      </c>
      <c r="E39" s="163" t="s">
        <v>47</v>
      </c>
      <c r="F39" s="155">
        <v>500</v>
      </c>
      <c r="G39" s="155">
        <f t="shared" si="13"/>
        <v>6000</v>
      </c>
      <c r="H39" s="155">
        <v>70</v>
      </c>
      <c r="I39" s="155"/>
      <c r="J39" s="155">
        <f t="shared" si="14"/>
        <v>500</v>
      </c>
      <c r="K39" s="155">
        <v>300</v>
      </c>
      <c r="L39" s="155"/>
      <c r="M39" s="155">
        <v>125</v>
      </c>
      <c r="N39" s="155">
        <v>30</v>
      </c>
      <c r="O39" s="155">
        <v>100</v>
      </c>
      <c r="P39" s="155">
        <f t="shared" si="15"/>
        <v>568.75</v>
      </c>
      <c r="Q39" s="155"/>
      <c r="R39" s="155">
        <f t="shared" ref="R39:R40" si="19">P39/13</f>
        <v>43.75</v>
      </c>
      <c r="S39" s="155"/>
      <c r="T39" s="155"/>
      <c r="U39" s="155">
        <f>ROUND(F39*0.075*13,2)</f>
        <v>487.5</v>
      </c>
      <c r="V39" s="155">
        <f t="shared" si="16"/>
        <v>37.5</v>
      </c>
      <c r="W39" s="155"/>
      <c r="X39" s="155"/>
      <c r="Y39" s="155">
        <f t="shared" si="17"/>
        <v>1056.25</v>
      </c>
      <c r="Z39" s="155">
        <f>ROUND(F39*0.01*13,2)</f>
        <v>65</v>
      </c>
      <c r="AA39" s="155">
        <f t="shared" si="18"/>
        <v>5</v>
      </c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</row>
    <row r="40" spans="1:38" ht="21.9" customHeight="1">
      <c r="A40" s="154">
        <f>A39+1</f>
        <v>15</v>
      </c>
      <c r="B40" s="177" t="s">
        <v>689</v>
      </c>
      <c r="C40" s="208" t="s">
        <v>694</v>
      </c>
      <c r="D40" s="161" t="s">
        <v>79</v>
      </c>
      <c r="E40" s="163" t="s">
        <v>47</v>
      </c>
      <c r="F40" s="155">
        <v>780</v>
      </c>
      <c r="G40" s="155">
        <f t="shared" si="13"/>
        <v>9360</v>
      </c>
      <c r="H40" s="155">
        <v>70</v>
      </c>
      <c r="I40" s="155"/>
      <c r="J40" s="155">
        <f t="shared" si="14"/>
        <v>780</v>
      </c>
      <c r="K40" s="155">
        <v>300</v>
      </c>
      <c r="L40" s="155"/>
      <c r="M40" s="155">
        <v>125</v>
      </c>
      <c r="N40" s="155">
        <v>30</v>
      </c>
      <c r="O40" s="155">
        <v>100</v>
      </c>
      <c r="P40" s="155">
        <f t="shared" si="15"/>
        <v>887.25</v>
      </c>
      <c r="Q40" s="155"/>
      <c r="R40" s="155">
        <f t="shared" si="19"/>
        <v>68.25</v>
      </c>
      <c r="S40" s="155"/>
      <c r="T40" s="155"/>
      <c r="U40" s="155">
        <f>ROUND(F40*0.075*13,2)</f>
        <v>760.5</v>
      </c>
      <c r="V40" s="155">
        <f t="shared" si="16"/>
        <v>58.5</v>
      </c>
      <c r="W40" s="155"/>
      <c r="X40" s="155"/>
      <c r="Y40" s="155">
        <f t="shared" si="17"/>
        <v>1647.75</v>
      </c>
      <c r="Z40" s="155">
        <f>ROUND(F40*0.01*13,2)</f>
        <v>101.4</v>
      </c>
      <c r="AA40" s="155">
        <f t="shared" si="18"/>
        <v>7.8000000000000007</v>
      </c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</row>
    <row r="41" spans="1:38" ht="21.9" customHeight="1">
      <c r="A41" s="154">
        <f t="shared" ref="A41" si="20">A40+1</f>
        <v>16</v>
      </c>
      <c r="B41" s="182" t="s">
        <v>123</v>
      </c>
      <c r="C41" s="208" t="s">
        <v>694</v>
      </c>
      <c r="D41" s="161" t="s">
        <v>79</v>
      </c>
      <c r="E41" s="163" t="s">
        <v>47</v>
      </c>
      <c r="F41" s="155">
        <f>467+30+50+50</f>
        <v>597</v>
      </c>
      <c r="G41" s="155">
        <f t="shared" si="13"/>
        <v>7164</v>
      </c>
      <c r="H41" s="155">
        <v>70</v>
      </c>
      <c r="I41" s="155"/>
      <c r="J41" s="155">
        <f t="shared" si="14"/>
        <v>597</v>
      </c>
      <c r="K41" s="155">
        <v>300</v>
      </c>
      <c r="L41" s="155"/>
      <c r="M41" s="155">
        <v>125</v>
      </c>
      <c r="N41" s="155">
        <v>30</v>
      </c>
      <c r="O41" s="155">
        <v>100</v>
      </c>
      <c r="P41" s="155">
        <f t="shared" si="15"/>
        <v>679.09</v>
      </c>
      <c r="Q41" s="155">
        <f>P41/13</f>
        <v>52.237692307692313</v>
      </c>
      <c r="R41" s="155"/>
      <c r="S41" s="155"/>
      <c r="T41" s="155"/>
      <c r="U41" s="155">
        <f>ROUND(F41*0.075*13,2)</f>
        <v>582.08000000000004</v>
      </c>
      <c r="V41" s="155">
        <f t="shared" si="16"/>
        <v>44.775384615384617</v>
      </c>
      <c r="W41" s="155"/>
      <c r="X41" s="155"/>
      <c r="Y41" s="155">
        <f t="shared" si="17"/>
        <v>1261.17</v>
      </c>
      <c r="Z41" s="155">
        <f>ROUND(F41*0.01*13,2)</f>
        <v>77.61</v>
      </c>
      <c r="AA41" s="155">
        <f t="shared" si="18"/>
        <v>5.97</v>
      </c>
      <c r="AB41" s="225"/>
      <c r="AC41" s="225"/>
      <c r="AD41" s="155"/>
      <c r="AE41" s="225"/>
      <c r="AF41" s="155"/>
      <c r="AG41" s="155"/>
      <c r="AH41" s="225"/>
      <c r="AI41" s="225"/>
      <c r="AJ41" s="225"/>
      <c r="AK41" s="225"/>
      <c r="AL41" s="155"/>
    </row>
    <row r="42" spans="1:38" ht="36.6" customHeight="1">
      <c r="A42" s="154">
        <f>A41+1</f>
        <v>17</v>
      </c>
      <c r="B42" s="214" t="s">
        <v>753</v>
      </c>
      <c r="C42" s="214" t="s">
        <v>765</v>
      </c>
      <c r="D42" s="203" t="s">
        <v>79</v>
      </c>
      <c r="E42" s="190" t="s">
        <v>47</v>
      </c>
      <c r="F42" s="187">
        <v>780</v>
      </c>
      <c r="G42" s="155">
        <f t="shared" ref="G42" si="21">F42*12</f>
        <v>9360</v>
      </c>
      <c r="H42" s="155">
        <v>70</v>
      </c>
      <c r="I42" s="155"/>
      <c r="J42" s="155">
        <f t="shared" ref="J42" si="22">F42</f>
        <v>780</v>
      </c>
      <c r="K42" s="155">
        <v>300</v>
      </c>
      <c r="L42" s="155"/>
      <c r="M42" s="155">
        <v>125</v>
      </c>
      <c r="N42" s="155">
        <v>30</v>
      </c>
      <c r="O42" s="155">
        <v>100</v>
      </c>
      <c r="P42" s="155">
        <f t="shared" ref="P42" si="23">ROUND(F42*0.0875*13,2)</f>
        <v>887.25</v>
      </c>
      <c r="Q42" s="155">
        <f>P42/13</f>
        <v>68.25</v>
      </c>
      <c r="R42" s="155"/>
      <c r="S42" s="155"/>
      <c r="T42" s="155"/>
      <c r="U42" s="155">
        <f>ROUND(F42*0.075*13,2)</f>
        <v>760.5</v>
      </c>
      <c r="V42" s="155">
        <f t="shared" ref="V42" si="24">U42/13</f>
        <v>58.5</v>
      </c>
      <c r="W42" s="155"/>
      <c r="X42" s="155"/>
      <c r="Y42" s="155">
        <f t="shared" ref="Y42" si="25">P42+S42+U42+W42</f>
        <v>1647.75</v>
      </c>
      <c r="Z42" s="155">
        <f>ROUND(F42*0.01*13,2)</f>
        <v>101.4</v>
      </c>
      <c r="AA42" s="155">
        <f t="shared" ref="AA42" si="26">Z42/13</f>
        <v>7.8000000000000007</v>
      </c>
      <c r="AB42" s="225"/>
      <c r="AC42" s="225"/>
      <c r="AD42" s="155"/>
      <c r="AE42" s="225"/>
      <c r="AF42" s="155"/>
      <c r="AG42" s="155"/>
      <c r="AH42" s="225"/>
      <c r="AI42" s="225"/>
      <c r="AJ42" s="225"/>
      <c r="AK42" s="225"/>
      <c r="AL42" s="155"/>
    </row>
    <row r="43" spans="1:38" ht="21.9" customHeight="1">
      <c r="A43" s="154">
        <f>A42+1</f>
        <v>18</v>
      </c>
      <c r="B43" s="214" t="s">
        <v>123</v>
      </c>
      <c r="C43" s="214" t="s">
        <v>765</v>
      </c>
      <c r="D43" s="203" t="s">
        <v>79</v>
      </c>
      <c r="E43" s="190" t="s">
        <v>47</v>
      </c>
      <c r="F43" s="187">
        <v>417</v>
      </c>
      <c r="G43" s="155">
        <f t="shared" si="13"/>
        <v>5004</v>
      </c>
      <c r="H43" s="155">
        <v>70</v>
      </c>
      <c r="I43" s="155"/>
      <c r="J43" s="155">
        <f t="shared" si="14"/>
        <v>417</v>
      </c>
      <c r="K43" s="155">
        <v>300</v>
      </c>
      <c r="L43" s="155"/>
      <c r="M43" s="155">
        <v>125</v>
      </c>
      <c r="N43" s="155">
        <v>30</v>
      </c>
      <c r="O43" s="155">
        <v>100</v>
      </c>
      <c r="P43" s="155">
        <f t="shared" si="15"/>
        <v>474.34</v>
      </c>
      <c r="Q43" s="155"/>
      <c r="R43" s="155">
        <f>P43/13</f>
        <v>36.487692307692306</v>
      </c>
      <c r="S43" s="155"/>
      <c r="T43" s="155"/>
      <c r="U43" s="155">
        <f>ROUND(F43*0.075*13,2)</f>
        <v>406.58</v>
      </c>
      <c r="V43" s="155">
        <f t="shared" si="16"/>
        <v>31.275384615384613</v>
      </c>
      <c r="W43" s="155"/>
      <c r="X43" s="155"/>
      <c r="Y43" s="155">
        <f t="shared" si="17"/>
        <v>880.92</v>
      </c>
      <c r="Z43" s="155">
        <f>ROUND(F43*0.01*13,2)</f>
        <v>54.21</v>
      </c>
      <c r="AA43" s="155">
        <f t="shared" si="18"/>
        <v>4.17</v>
      </c>
      <c r="AB43" s="225"/>
      <c r="AC43" s="225"/>
      <c r="AD43" s="155"/>
      <c r="AE43" s="225"/>
      <c r="AF43" s="155"/>
      <c r="AG43" s="155"/>
      <c r="AH43" s="225"/>
      <c r="AI43" s="225"/>
      <c r="AJ43" s="225"/>
      <c r="AK43" s="225"/>
      <c r="AL43" s="155"/>
    </row>
    <row r="44" spans="1:38" ht="21.9" customHeight="1">
      <c r="A44" s="154"/>
      <c r="B44" s="278"/>
      <c r="C44" s="278"/>
      <c r="D44" s="279"/>
      <c r="E44" s="163"/>
      <c r="F44" s="152">
        <f>SUM(F38:F43)</f>
        <v>4074</v>
      </c>
      <c r="G44" s="152">
        <f t="shared" ref="G44:AL44" si="27">SUM(G38:G43)</f>
        <v>48888</v>
      </c>
      <c r="H44" s="152">
        <f t="shared" si="27"/>
        <v>420</v>
      </c>
      <c r="I44" s="152">
        <f t="shared" si="27"/>
        <v>0</v>
      </c>
      <c r="J44" s="152">
        <f t="shared" si="27"/>
        <v>4074</v>
      </c>
      <c r="K44" s="152">
        <f t="shared" si="27"/>
        <v>1800</v>
      </c>
      <c r="L44" s="152">
        <f t="shared" si="27"/>
        <v>0</v>
      </c>
      <c r="M44" s="152">
        <f t="shared" si="27"/>
        <v>750</v>
      </c>
      <c r="N44" s="152">
        <f t="shared" si="27"/>
        <v>180</v>
      </c>
      <c r="O44" s="152">
        <f t="shared" si="27"/>
        <v>600</v>
      </c>
      <c r="P44" s="152">
        <f t="shared" si="27"/>
        <v>4634.18</v>
      </c>
      <c r="Q44" s="152">
        <f t="shared" si="27"/>
        <v>120.48769230769231</v>
      </c>
      <c r="R44" s="152">
        <f t="shared" si="27"/>
        <v>235.9876923076923</v>
      </c>
      <c r="S44" s="152">
        <f t="shared" si="27"/>
        <v>0</v>
      </c>
      <c r="T44" s="152">
        <f t="shared" si="27"/>
        <v>0</v>
      </c>
      <c r="U44" s="152">
        <f t="shared" si="27"/>
        <v>3972.16</v>
      </c>
      <c r="V44" s="152">
        <f t="shared" si="27"/>
        <v>305.55076923076922</v>
      </c>
      <c r="W44" s="152">
        <f t="shared" si="27"/>
        <v>0</v>
      </c>
      <c r="X44" s="152">
        <f t="shared" si="27"/>
        <v>0</v>
      </c>
      <c r="Y44" s="152">
        <f t="shared" si="27"/>
        <v>8606.34</v>
      </c>
      <c r="Z44" s="152">
        <f t="shared" si="27"/>
        <v>529.62</v>
      </c>
      <c r="AA44" s="152">
        <f t="shared" si="27"/>
        <v>40.74</v>
      </c>
      <c r="AB44" s="152">
        <f t="shared" si="27"/>
        <v>0</v>
      </c>
      <c r="AC44" s="152">
        <f t="shared" si="27"/>
        <v>0</v>
      </c>
      <c r="AD44" s="152">
        <f t="shared" si="27"/>
        <v>0</v>
      </c>
      <c r="AE44" s="152">
        <f t="shared" si="27"/>
        <v>0</v>
      </c>
      <c r="AF44" s="152">
        <f t="shared" si="27"/>
        <v>0</v>
      </c>
      <c r="AG44" s="152">
        <f t="shared" si="27"/>
        <v>0</v>
      </c>
      <c r="AH44" s="152">
        <f t="shared" si="27"/>
        <v>0</v>
      </c>
      <c r="AI44" s="152">
        <f t="shared" si="27"/>
        <v>0</v>
      </c>
      <c r="AJ44" s="152">
        <f t="shared" si="27"/>
        <v>0</v>
      </c>
      <c r="AK44" s="152">
        <f t="shared" si="27"/>
        <v>0</v>
      </c>
      <c r="AL44" s="152">
        <f t="shared" si="27"/>
        <v>0</v>
      </c>
    </row>
    <row r="45" spans="1:38" ht="21.9" customHeight="1">
      <c r="A45" s="159">
        <f>A43+1</f>
        <v>19</v>
      </c>
      <c r="B45" s="177" t="s">
        <v>687</v>
      </c>
      <c r="C45" s="161" t="s">
        <v>729</v>
      </c>
      <c r="D45" s="161" t="s">
        <v>79</v>
      </c>
      <c r="E45" s="163" t="s">
        <v>47</v>
      </c>
      <c r="F45" s="155">
        <v>800</v>
      </c>
      <c r="G45" s="155">
        <f>F45*12</f>
        <v>9600</v>
      </c>
      <c r="H45" s="155">
        <v>70</v>
      </c>
      <c r="I45" s="155"/>
      <c r="J45" s="155">
        <f>F45</f>
        <v>800</v>
      </c>
      <c r="K45" s="155">
        <v>300</v>
      </c>
      <c r="L45" s="155"/>
      <c r="M45" s="155">
        <v>125</v>
      </c>
      <c r="N45" s="155">
        <v>30</v>
      </c>
      <c r="O45" s="155">
        <v>100</v>
      </c>
      <c r="P45" s="155">
        <f>ROUND(F45*0.0875*13,2)</f>
        <v>910</v>
      </c>
      <c r="Q45" s="155"/>
      <c r="R45" s="155">
        <f>P45/13</f>
        <v>70</v>
      </c>
      <c r="S45" s="155"/>
      <c r="T45" s="155"/>
      <c r="U45" s="155">
        <f>ROUND(F45*0.075*13,2)</f>
        <v>780</v>
      </c>
      <c r="V45" s="155">
        <f>U45/13</f>
        <v>60</v>
      </c>
      <c r="W45" s="155"/>
      <c r="X45" s="155"/>
      <c r="Y45" s="155">
        <f>P45+S45+U45+W45</f>
        <v>1690</v>
      </c>
      <c r="Z45" s="155">
        <f>ROUND(F45*0.01*13,2)</f>
        <v>104</v>
      </c>
      <c r="AA45" s="155">
        <f>Z45/13</f>
        <v>8</v>
      </c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</row>
    <row r="46" spans="1:38" ht="21.9" customHeight="1">
      <c r="A46" s="154">
        <f>A45+1</f>
        <v>20</v>
      </c>
      <c r="B46" s="182" t="s">
        <v>123</v>
      </c>
      <c r="C46" s="161" t="s">
        <v>729</v>
      </c>
      <c r="D46" s="161" t="s">
        <v>79</v>
      </c>
      <c r="E46" s="163" t="s">
        <v>47</v>
      </c>
      <c r="F46" s="155">
        <f>517+30</f>
        <v>547</v>
      </c>
      <c r="G46" s="155">
        <f>F46*12</f>
        <v>6564</v>
      </c>
      <c r="H46" s="155">
        <v>70</v>
      </c>
      <c r="I46" s="155"/>
      <c r="J46" s="155">
        <f>F46</f>
        <v>547</v>
      </c>
      <c r="K46" s="155">
        <v>300</v>
      </c>
      <c r="L46" s="155"/>
      <c r="M46" s="155">
        <v>125</v>
      </c>
      <c r="N46" s="155">
        <v>30</v>
      </c>
      <c r="O46" s="155">
        <v>100</v>
      </c>
      <c r="P46" s="155">
        <f>ROUND(F46*0.0875*13,2)</f>
        <v>622.21</v>
      </c>
      <c r="Q46" s="155">
        <f>P46/13</f>
        <v>47.862307692307695</v>
      </c>
      <c r="R46" s="155"/>
      <c r="S46" s="155"/>
      <c r="T46" s="155"/>
      <c r="U46" s="155">
        <f>ROUND(F46*0.075*13,2)</f>
        <v>533.33000000000004</v>
      </c>
      <c r="V46" s="155">
        <f>U46/13</f>
        <v>41.025384615384617</v>
      </c>
      <c r="W46" s="155"/>
      <c r="X46" s="155"/>
      <c r="Y46" s="155">
        <f>P46+S46+U46+W46</f>
        <v>1155.54</v>
      </c>
      <c r="Z46" s="155">
        <f>ROUND(F46*0.01*13,2)</f>
        <v>71.11</v>
      </c>
      <c r="AA46" s="155">
        <f>Z46/13</f>
        <v>5.47</v>
      </c>
      <c r="AB46" s="225"/>
      <c r="AC46" s="225"/>
      <c r="AD46" s="155"/>
      <c r="AE46" s="225"/>
      <c r="AF46" s="155"/>
      <c r="AG46" s="155"/>
      <c r="AH46" s="225"/>
      <c r="AI46" s="225"/>
      <c r="AJ46" s="225"/>
      <c r="AK46" s="225"/>
      <c r="AL46" s="155"/>
    </row>
    <row r="47" spans="1:38" ht="21.9" customHeight="1">
      <c r="A47" s="160"/>
      <c r="B47" s="278"/>
      <c r="C47" s="278"/>
      <c r="D47" s="279"/>
      <c r="E47" s="163"/>
      <c r="F47" s="152">
        <f>F45+F46</f>
        <v>1347</v>
      </c>
      <c r="G47" s="152">
        <f>SUM(G45:G46)</f>
        <v>16164</v>
      </c>
      <c r="H47" s="152">
        <f>H45+H46</f>
        <v>140</v>
      </c>
      <c r="I47" s="152">
        <f t="shared" ref="I47:AA47" si="28">SUM(I45:I46)</f>
        <v>0</v>
      </c>
      <c r="J47" s="152">
        <f t="shared" si="28"/>
        <v>1347</v>
      </c>
      <c r="K47" s="152">
        <f t="shared" si="28"/>
        <v>600</v>
      </c>
      <c r="L47" s="152">
        <f t="shared" si="28"/>
        <v>0</v>
      </c>
      <c r="M47" s="152">
        <f t="shared" si="28"/>
        <v>250</v>
      </c>
      <c r="N47" s="152">
        <f t="shared" si="28"/>
        <v>60</v>
      </c>
      <c r="O47" s="152">
        <f t="shared" si="28"/>
        <v>200</v>
      </c>
      <c r="P47" s="152">
        <f t="shared" si="28"/>
        <v>1532.21</v>
      </c>
      <c r="Q47" s="152">
        <f t="shared" si="28"/>
        <v>47.862307692307695</v>
      </c>
      <c r="R47" s="152">
        <f t="shared" si="28"/>
        <v>70</v>
      </c>
      <c r="S47" s="152">
        <f t="shared" si="28"/>
        <v>0</v>
      </c>
      <c r="T47" s="152">
        <f t="shared" si="28"/>
        <v>0</v>
      </c>
      <c r="U47" s="152">
        <f t="shared" si="28"/>
        <v>1313.33</v>
      </c>
      <c r="V47" s="152">
        <f t="shared" si="28"/>
        <v>101.02538461538461</v>
      </c>
      <c r="W47" s="152">
        <f t="shared" si="28"/>
        <v>0</v>
      </c>
      <c r="X47" s="152">
        <f t="shared" si="28"/>
        <v>0</v>
      </c>
      <c r="Y47" s="152">
        <f t="shared" si="28"/>
        <v>2845.54</v>
      </c>
      <c r="Z47" s="152">
        <f t="shared" si="28"/>
        <v>175.11</v>
      </c>
      <c r="AA47" s="152">
        <f t="shared" si="28"/>
        <v>13.469999999999999</v>
      </c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</row>
    <row r="48" spans="1:38" ht="21.9" customHeight="1">
      <c r="A48" s="154">
        <f>A46+1</f>
        <v>21</v>
      </c>
      <c r="B48" s="177" t="s">
        <v>407</v>
      </c>
      <c r="C48" s="161" t="s">
        <v>408</v>
      </c>
      <c r="D48" s="161" t="s">
        <v>79</v>
      </c>
      <c r="E48" s="163" t="s">
        <v>47</v>
      </c>
      <c r="F48" s="155">
        <v>1000</v>
      </c>
      <c r="G48" s="155">
        <f t="shared" ref="G48:G77" si="29">F48*12</f>
        <v>12000</v>
      </c>
      <c r="H48" s="155">
        <v>70</v>
      </c>
      <c r="I48" s="155"/>
      <c r="J48" s="155">
        <f>F48</f>
        <v>1000</v>
      </c>
      <c r="K48" s="155">
        <v>300</v>
      </c>
      <c r="L48" s="155"/>
      <c r="M48" s="155">
        <v>125</v>
      </c>
      <c r="N48" s="155">
        <v>30</v>
      </c>
      <c r="O48" s="155">
        <v>100</v>
      </c>
      <c r="P48" s="155">
        <f t="shared" ref="P48:P52" si="30">ROUND(F48*0.0875*13,2)</f>
        <v>1137.5</v>
      </c>
      <c r="Q48" s="155">
        <f>P48/13</f>
        <v>87.5</v>
      </c>
      <c r="R48" s="155"/>
      <c r="S48" s="155"/>
      <c r="T48" s="155"/>
      <c r="U48" s="155">
        <f>F48*0.075*13</f>
        <v>975</v>
      </c>
      <c r="V48" s="155">
        <f>U48/13</f>
        <v>75</v>
      </c>
      <c r="W48" s="155"/>
      <c r="X48" s="155"/>
      <c r="Y48" s="155">
        <f>P48+S48+U48+W48</f>
        <v>2112.5</v>
      </c>
      <c r="Z48" s="155">
        <f>F48*0.01*13</f>
        <v>130</v>
      </c>
      <c r="AA48" s="155">
        <f t="shared" ref="AA48:AA77" si="31">Z48/13</f>
        <v>10</v>
      </c>
      <c r="AB48" s="225"/>
      <c r="AC48" s="225"/>
      <c r="AD48" s="155"/>
      <c r="AE48" s="225"/>
      <c r="AF48" s="155"/>
      <c r="AG48" s="155"/>
      <c r="AH48" s="225"/>
      <c r="AI48" s="225"/>
      <c r="AJ48" s="225"/>
      <c r="AK48" s="225"/>
      <c r="AL48" s="155"/>
    </row>
    <row r="49" spans="1:38" s="128" customFormat="1" ht="21.9" customHeight="1">
      <c r="A49" s="154">
        <f t="shared" ref="A49:A78" si="32">A48+1</f>
        <v>22</v>
      </c>
      <c r="B49" s="177" t="s">
        <v>719</v>
      </c>
      <c r="C49" s="161" t="s">
        <v>408</v>
      </c>
      <c r="D49" s="161" t="s">
        <v>79</v>
      </c>
      <c r="E49" s="163" t="s">
        <v>47</v>
      </c>
      <c r="F49" s="155">
        <v>900</v>
      </c>
      <c r="G49" s="155">
        <f t="shared" si="29"/>
        <v>10800</v>
      </c>
      <c r="H49" s="155">
        <v>70</v>
      </c>
      <c r="I49" s="155"/>
      <c r="J49" s="155">
        <f>F49</f>
        <v>900</v>
      </c>
      <c r="K49" s="155">
        <v>300</v>
      </c>
      <c r="L49" s="155"/>
      <c r="M49" s="155">
        <v>125</v>
      </c>
      <c r="N49" s="155">
        <v>30</v>
      </c>
      <c r="O49" s="155">
        <v>100</v>
      </c>
      <c r="P49" s="155">
        <f t="shared" si="30"/>
        <v>1023.75</v>
      </c>
      <c r="Q49" s="155"/>
      <c r="R49" s="155">
        <f>P49/13</f>
        <v>78.75</v>
      </c>
      <c r="S49" s="155"/>
      <c r="T49" s="155"/>
      <c r="U49" s="155">
        <f t="shared" ref="U49:U84" si="33">ROUND(F49*0.075*13,2)</f>
        <v>877.5</v>
      </c>
      <c r="V49" s="155">
        <f>U49/13</f>
        <v>67.5</v>
      </c>
      <c r="W49" s="155"/>
      <c r="X49" s="155"/>
      <c r="Y49" s="155">
        <f>P49+S49+U49+W49</f>
        <v>1901.25</v>
      </c>
      <c r="Z49" s="155">
        <f t="shared" ref="Z49:Z84" si="34">ROUND(F49*0.01*13,2)</f>
        <v>117</v>
      </c>
      <c r="AA49" s="155">
        <f t="shared" si="31"/>
        <v>9</v>
      </c>
      <c r="AB49" s="225"/>
      <c r="AC49" s="225"/>
      <c r="AD49" s="155"/>
      <c r="AE49" s="155"/>
      <c r="AF49" s="155"/>
      <c r="AG49" s="155"/>
      <c r="AH49" s="225"/>
      <c r="AI49" s="225"/>
      <c r="AJ49" s="225"/>
      <c r="AK49" s="155"/>
      <c r="AL49" s="155"/>
    </row>
    <row r="50" spans="1:38" s="128" customFormat="1" ht="21.9" customHeight="1">
      <c r="A50" s="154">
        <f t="shared" si="32"/>
        <v>23</v>
      </c>
      <c r="B50" s="177" t="s">
        <v>143</v>
      </c>
      <c r="C50" s="161" t="s">
        <v>408</v>
      </c>
      <c r="D50" s="161" t="s">
        <v>79</v>
      </c>
      <c r="E50" s="163" t="s">
        <v>47</v>
      </c>
      <c r="F50" s="155">
        <v>417</v>
      </c>
      <c r="G50" s="155">
        <f t="shared" si="29"/>
        <v>5004</v>
      </c>
      <c r="H50" s="155">
        <v>70</v>
      </c>
      <c r="I50" s="155"/>
      <c r="J50" s="155">
        <f>F50</f>
        <v>417</v>
      </c>
      <c r="K50" s="155">
        <v>300</v>
      </c>
      <c r="L50" s="155"/>
      <c r="M50" s="155">
        <v>125</v>
      </c>
      <c r="N50" s="155">
        <v>30</v>
      </c>
      <c r="O50" s="155">
        <v>100</v>
      </c>
      <c r="P50" s="155">
        <f t="shared" si="30"/>
        <v>474.34</v>
      </c>
      <c r="Q50" s="155"/>
      <c r="R50" s="155">
        <f>P50/13</f>
        <v>36.487692307692306</v>
      </c>
      <c r="S50" s="155"/>
      <c r="T50" s="155"/>
      <c r="U50" s="155">
        <f t="shared" si="33"/>
        <v>406.58</v>
      </c>
      <c r="V50" s="155">
        <f>U50/13</f>
        <v>31.275384615384613</v>
      </c>
      <c r="W50" s="155"/>
      <c r="X50" s="155"/>
      <c r="Y50" s="155">
        <f>P50+S50+U50+W50</f>
        <v>880.92</v>
      </c>
      <c r="Z50" s="155">
        <f t="shared" si="34"/>
        <v>54.21</v>
      </c>
      <c r="AA50" s="155">
        <f t="shared" si="31"/>
        <v>4.17</v>
      </c>
      <c r="AB50" s="225"/>
      <c r="AC50" s="225"/>
      <c r="AD50" s="155"/>
      <c r="AE50" s="155"/>
      <c r="AF50" s="155"/>
      <c r="AG50" s="155"/>
      <c r="AH50" s="225"/>
      <c r="AI50" s="225"/>
      <c r="AJ50" s="225"/>
      <c r="AK50" s="155"/>
      <c r="AL50" s="155"/>
    </row>
    <row r="51" spans="1:38" ht="21.9" customHeight="1">
      <c r="A51" s="154">
        <f t="shared" si="32"/>
        <v>24</v>
      </c>
      <c r="B51" s="178" t="s">
        <v>726</v>
      </c>
      <c r="C51" s="209" t="s">
        <v>408</v>
      </c>
      <c r="D51" s="161" t="s">
        <v>79</v>
      </c>
      <c r="E51" s="163" t="s">
        <v>47</v>
      </c>
      <c r="F51" s="155">
        <v>697</v>
      </c>
      <c r="G51" s="155">
        <f t="shared" si="29"/>
        <v>8364</v>
      </c>
      <c r="H51" s="155">
        <v>70</v>
      </c>
      <c r="I51" s="155"/>
      <c r="J51" s="155">
        <f t="shared" ref="J51:J84" si="35">F51</f>
        <v>697</v>
      </c>
      <c r="K51" s="155">
        <v>300</v>
      </c>
      <c r="L51" s="155"/>
      <c r="M51" s="155">
        <v>125</v>
      </c>
      <c r="N51" s="155">
        <v>30</v>
      </c>
      <c r="O51" s="155">
        <v>100</v>
      </c>
      <c r="P51" s="155">
        <f t="shared" si="30"/>
        <v>792.84</v>
      </c>
      <c r="Q51" s="155">
        <f>P51/13</f>
        <v>60.987692307692313</v>
      </c>
      <c r="R51" s="280"/>
      <c r="S51" s="155"/>
      <c r="T51" s="155"/>
      <c r="U51" s="155">
        <f t="shared" si="33"/>
        <v>679.58</v>
      </c>
      <c r="V51" s="155">
        <f t="shared" ref="V51:V84" si="36">U51/13</f>
        <v>52.275384615384617</v>
      </c>
      <c r="W51" s="155"/>
      <c r="X51" s="155"/>
      <c r="Y51" s="155">
        <f>P51+S51+U51+W51</f>
        <v>1472.42</v>
      </c>
      <c r="Z51" s="155">
        <f t="shared" si="34"/>
        <v>90.61</v>
      </c>
      <c r="AA51" s="155">
        <f t="shared" si="31"/>
        <v>6.97</v>
      </c>
      <c r="AB51" s="155">
        <f>F51/30/7*1.5*45</f>
        <v>224.03571428571428</v>
      </c>
      <c r="AC51" s="155">
        <f>ROUND(AB51*0.0775,2)</f>
        <v>17.36</v>
      </c>
      <c r="AD51" s="155"/>
      <c r="AE51" s="155">
        <f>ROUND(AB51*0.075,2)</f>
        <v>16.8</v>
      </c>
      <c r="AF51" s="155"/>
      <c r="AG51" s="155">
        <f>AC51+AD51+AE51+AF51</f>
        <v>34.159999999999997</v>
      </c>
      <c r="AH51" s="155">
        <f>AB51*0.01</f>
        <v>2.2403571428571429</v>
      </c>
      <c r="AI51" s="155"/>
      <c r="AJ51" s="155"/>
      <c r="AK51" s="155"/>
      <c r="AL51" s="155"/>
    </row>
    <row r="52" spans="1:38" ht="21.9" customHeight="1">
      <c r="A52" s="154">
        <f t="shared" si="32"/>
        <v>25</v>
      </c>
      <c r="B52" s="176" t="s">
        <v>654</v>
      </c>
      <c r="C52" s="161" t="s">
        <v>408</v>
      </c>
      <c r="D52" s="161" t="s">
        <v>79</v>
      </c>
      <c r="E52" s="163" t="s">
        <v>47</v>
      </c>
      <c r="F52" s="155">
        <f>605.15+30+50+50</f>
        <v>735.15</v>
      </c>
      <c r="G52" s="155">
        <f t="shared" si="29"/>
        <v>8821.7999999999993</v>
      </c>
      <c r="H52" s="155">
        <v>70</v>
      </c>
      <c r="I52" s="155"/>
      <c r="J52" s="155">
        <f t="shared" si="35"/>
        <v>735.15</v>
      </c>
      <c r="K52" s="155">
        <v>300</v>
      </c>
      <c r="L52" s="155"/>
      <c r="M52" s="155">
        <v>125</v>
      </c>
      <c r="N52" s="155">
        <v>30</v>
      </c>
      <c r="O52" s="155">
        <v>100</v>
      </c>
      <c r="P52" s="155">
        <f t="shared" si="30"/>
        <v>836.23</v>
      </c>
      <c r="Q52" s="226"/>
      <c r="R52" s="155">
        <f>P52/13</f>
        <v>64.325384615384621</v>
      </c>
      <c r="S52" s="155"/>
      <c r="T52" s="155"/>
      <c r="U52" s="155">
        <f t="shared" si="33"/>
        <v>716.77</v>
      </c>
      <c r="V52" s="155">
        <f t="shared" si="36"/>
        <v>55.136153846153846</v>
      </c>
      <c r="W52" s="155"/>
      <c r="X52" s="155"/>
      <c r="Y52" s="155">
        <f t="shared" ref="Y52:Y56" si="37">P52+S52+U52+W52</f>
        <v>1553</v>
      </c>
      <c r="Z52" s="155">
        <f t="shared" si="34"/>
        <v>95.57</v>
      </c>
      <c r="AA52" s="155">
        <f t="shared" si="31"/>
        <v>7.3515384615384614</v>
      </c>
      <c r="AB52" s="225"/>
      <c r="AC52" s="225"/>
      <c r="AD52" s="155"/>
      <c r="AE52" s="225"/>
      <c r="AF52" s="155"/>
      <c r="AG52" s="155"/>
      <c r="AH52" s="225"/>
      <c r="AI52" s="225"/>
      <c r="AJ52" s="225"/>
      <c r="AK52" s="225"/>
      <c r="AL52" s="155"/>
    </row>
    <row r="53" spans="1:38" ht="21.9" customHeight="1">
      <c r="A53" s="154">
        <f t="shared" si="32"/>
        <v>26</v>
      </c>
      <c r="B53" s="176" t="s">
        <v>654</v>
      </c>
      <c r="C53" s="161" t="s">
        <v>408</v>
      </c>
      <c r="D53" s="161" t="s">
        <v>79</v>
      </c>
      <c r="E53" s="163" t="s">
        <v>47</v>
      </c>
      <c r="F53" s="155">
        <f>605.15+30+50+50</f>
        <v>735.15</v>
      </c>
      <c r="G53" s="155">
        <f t="shared" si="29"/>
        <v>8821.7999999999993</v>
      </c>
      <c r="H53" s="155">
        <v>70</v>
      </c>
      <c r="I53" s="155"/>
      <c r="J53" s="155">
        <f t="shared" si="35"/>
        <v>735.15</v>
      </c>
      <c r="K53" s="155">
        <v>300</v>
      </c>
      <c r="L53" s="155"/>
      <c r="M53" s="155">
        <v>125</v>
      </c>
      <c r="N53" s="155">
        <v>30</v>
      </c>
      <c r="O53" s="155">
        <v>100</v>
      </c>
      <c r="P53" s="155"/>
      <c r="Q53" s="155"/>
      <c r="R53" s="155"/>
      <c r="S53" s="155"/>
      <c r="T53" s="155"/>
      <c r="U53" s="155">
        <f t="shared" si="33"/>
        <v>716.77</v>
      </c>
      <c r="V53" s="155">
        <f t="shared" si="36"/>
        <v>55.136153846153846</v>
      </c>
      <c r="W53" s="155">
        <f>F53*0.06*13</f>
        <v>573.41699999999992</v>
      </c>
      <c r="X53" s="155">
        <f>W53/12</f>
        <v>47.784749999999995</v>
      </c>
      <c r="Y53" s="155">
        <f t="shared" si="37"/>
        <v>1290.1869999999999</v>
      </c>
      <c r="Z53" s="155">
        <f t="shared" si="34"/>
        <v>95.57</v>
      </c>
      <c r="AA53" s="155">
        <f t="shared" si="31"/>
        <v>7.3515384615384614</v>
      </c>
      <c r="AB53" s="225"/>
      <c r="AC53" s="225"/>
      <c r="AD53" s="155"/>
      <c r="AE53" s="225"/>
      <c r="AF53" s="155"/>
      <c r="AG53" s="155"/>
      <c r="AH53" s="225"/>
      <c r="AI53" s="225"/>
      <c r="AJ53" s="225"/>
      <c r="AK53" s="225"/>
      <c r="AL53" s="155"/>
    </row>
    <row r="54" spans="1:38" ht="21.9" customHeight="1">
      <c r="A54" s="154">
        <f t="shared" si="32"/>
        <v>27</v>
      </c>
      <c r="B54" s="176" t="s">
        <v>415</v>
      </c>
      <c r="C54" s="161" t="s">
        <v>408</v>
      </c>
      <c r="D54" s="161" t="s">
        <v>79</v>
      </c>
      <c r="E54" s="163" t="s">
        <v>47</v>
      </c>
      <c r="F54" s="155">
        <f>547+30+50+50</f>
        <v>677</v>
      </c>
      <c r="G54" s="155">
        <f t="shared" si="29"/>
        <v>8124</v>
      </c>
      <c r="H54" s="155">
        <v>70</v>
      </c>
      <c r="I54" s="155"/>
      <c r="J54" s="155">
        <f t="shared" si="35"/>
        <v>677</v>
      </c>
      <c r="K54" s="155">
        <v>300</v>
      </c>
      <c r="L54" s="155"/>
      <c r="M54" s="155">
        <v>125</v>
      </c>
      <c r="N54" s="155">
        <v>30</v>
      </c>
      <c r="O54" s="155">
        <v>100</v>
      </c>
      <c r="P54" s="155">
        <f t="shared" ref="P54:P59" si="38">ROUND(F54*0.0875*13,2)</f>
        <v>770.09</v>
      </c>
      <c r="Q54" s="226"/>
      <c r="R54" s="155">
        <f>P54/13</f>
        <v>59.237692307692313</v>
      </c>
      <c r="S54" s="155"/>
      <c r="T54" s="155"/>
      <c r="U54" s="155">
        <f t="shared" si="33"/>
        <v>660.08</v>
      </c>
      <c r="V54" s="155">
        <f t="shared" si="36"/>
        <v>50.775384615384617</v>
      </c>
      <c r="W54" s="155"/>
      <c r="X54" s="155"/>
      <c r="Y54" s="155">
        <f>P54+S54+U54+W54</f>
        <v>1430.17</v>
      </c>
      <c r="Z54" s="155">
        <f t="shared" si="34"/>
        <v>88.01</v>
      </c>
      <c r="AA54" s="155">
        <f t="shared" si="31"/>
        <v>6.7700000000000005</v>
      </c>
      <c r="AB54" s="225"/>
      <c r="AC54" s="225"/>
      <c r="AD54" s="155"/>
      <c r="AE54" s="155"/>
      <c r="AF54" s="155"/>
      <c r="AG54" s="155"/>
      <c r="AH54" s="225"/>
      <c r="AI54" s="225"/>
      <c r="AJ54" s="225"/>
      <c r="AK54" s="155"/>
      <c r="AL54" s="155"/>
    </row>
    <row r="55" spans="1:38" ht="21.9" customHeight="1">
      <c r="A55" s="154">
        <f t="shared" si="32"/>
        <v>28</v>
      </c>
      <c r="B55" s="176" t="s">
        <v>415</v>
      </c>
      <c r="C55" s="161" t="s">
        <v>408</v>
      </c>
      <c r="D55" s="161" t="s">
        <v>79</v>
      </c>
      <c r="E55" s="163" t="s">
        <v>47</v>
      </c>
      <c r="F55" s="155">
        <v>650</v>
      </c>
      <c r="G55" s="155">
        <f t="shared" si="29"/>
        <v>7800</v>
      </c>
      <c r="H55" s="155">
        <v>70</v>
      </c>
      <c r="I55" s="155"/>
      <c r="J55" s="155">
        <f t="shared" si="35"/>
        <v>650</v>
      </c>
      <c r="K55" s="155">
        <v>300</v>
      </c>
      <c r="L55" s="155"/>
      <c r="M55" s="155">
        <v>125</v>
      </c>
      <c r="N55" s="155">
        <v>30</v>
      </c>
      <c r="O55" s="155">
        <v>100</v>
      </c>
      <c r="P55" s="155">
        <f t="shared" si="38"/>
        <v>739.38</v>
      </c>
      <c r="Q55" s="155"/>
      <c r="R55" s="155">
        <f>P55/13</f>
        <v>56.875384615384618</v>
      </c>
      <c r="S55" s="155"/>
      <c r="T55" s="155"/>
      <c r="U55" s="155">
        <f t="shared" si="33"/>
        <v>633.75</v>
      </c>
      <c r="V55" s="155">
        <f t="shared" si="36"/>
        <v>48.75</v>
      </c>
      <c r="W55" s="155"/>
      <c r="X55" s="155"/>
      <c r="Y55" s="155">
        <f t="shared" si="37"/>
        <v>1373.13</v>
      </c>
      <c r="Z55" s="155">
        <f t="shared" si="34"/>
        <v>84.5</v>
      </c>
      <c r="AA55" s="155">
        <f t="shared" si="31"/>
        <v>6.5</v>
      </c>
      <c r="AB55" s="225"/>
      <c r="AC55" s="225"/>
      <c r="AD55" s="155"/>
      <c r="AE55" s="155"/>
      <c r="AF55" s="155"/>
      <c r="AG55" s="155"/>
      <c r="AH55" s="225"/>
      <c r="AI55" s="225"/>
      <c r="AJ55" s="225"/>
      <c r="AK55" s="155"/>
      <c r="AL55" s="155"/>
    </row>
    <row r="56" spans="1:38" ht="21.9" customHeight="1">
      <c r="A56" s="154">
        <f t="shared" si="32"/>
        <v>29</v>
      </c>
      <c r="B56" s="176" t="s">
        <v>415</v>
      </c>
      <c r="C56" s="161" t="s">
        <v>408</v>
      </c>
      <c r="D56" s="161" t="s">
        <v>79</v>
      </c>
      <c r="E56" s="163" t="s">
        <v>47</v>
      </c>
      <c r="F56" s="155">
        <v>600</v>
      </c>
      <c r="G56" s="155">
        <f t="shared" si="29"/>
        <v>7200</v>
      </c>
      <c r="H56" s="155">
        <v>70</v>
      </c>
      <c r="I56" s="155"/>
      <c r="J56" s="155">
        <f t="shared" si="35"/>
        <v>600</v>
      </c>
      <c r="K56" s="155">
        <v>300</v>
      </c>
      <c r="L56" s="155"/>
      <c r="M56" s="155">
        <v>125</v>
      </c>
      <c r="N56" s="155">
        <v>30</v>
      </c>
      <c r="O56" s="155">
        <v>100</v>
      </c>
      <c r="P56" s="155">
        <f t="shared" si="38"/>
        <v>682.5</v>
      </c>
      <c r="Q56" s="226"/>
      <c r="R56" s="155">
        <f>P56/13</f>
        <v>52.5</v>
      </c>
      <c r="S56" s="155"/>
      <c r="T56" s="155"/>
      <c r="U56" s="155">
        <f t="shared" si="33"/>
        <v>585</v>
      </c>
      <c r="V56" s="155">
        <f t="shared" si="36"/>
        <v>45</v>
      </c>
      <c r="W56" s="155"/>
      <c r="X56" s="155"/>
      <c r="Y56" s="155">
        <f t="shared" si="37"/>
        <v>1267.5</v>
      </c>
      <c r="Z56" s="155">
        <f t="shared" si="34"/>
        <v>78</v>
      </c>
      <c r="AA56" s="155">
        <f t="shared" si="31"/>
        <v>6</v>
      </c>
      <c r="AB56" s="225"/>
      <c r="AC56" s="225"/>
      <c r="AD56" s="155"/>
      <c r="AE56" s="155"/>
      <c r="AF56" s="155"/>
      <c r="AG56" s="155"/>
      <c r="AH56" s="225"/>
      <c r="AI56" s="225"/>
      <c r="AJ56" s="225"/>
      <c r="AK56" s="155"/>
      <c r="AL56" s="155"/>
    </row>
    <row r="57" spans="1:38" ht="21.9" customHeight="1">
      <c r="A57" s="154">
        <f t="shared" si="32"/>
        <v>30</v>
      </c>
      <c r="B57" s="177" t="s">
        <v>415</v>
      </c>
      <c r="C57" s="161" t="s">
        <v>408</v>
      </c>
      <c r="D57" s="161" t="s">
        <v>79</v>
      </c>
      <c r="E57" s="163" t="s">
        <v>47</v>
      </c>
      <c r="F57" s="155">
        <v>600</v>
      </c>
      <c r="G57" s="155">
        <f t="shared" si="29"/>
        <v>7200</v>
      </c>
      <c r="H57" s="155">
        <v>70</v>
      </c>
      <c r="I57" s="155"/>
      <c r="J57" s="155">
        <f t="shared" si="35"/>
        <v>600</v>
      </c>
      <c r="K57" s="155">
        <v>300</v>
      </c>
      <c r="L57" s="155"/>
      <c r="M57" s="155"/>
      <c r="N57" s="155">
        <v>30</v>
      </c>
      <c r="O57" s="155">
        <v>100</v>
      </c>
      <c r="P57" s="155"/>
      <c r="Q57" s="155"/>
      <c r="R57" s="155"/>
      <c r="S57" s="155"/>
      <c r="T57" s="155"/>
      <c r="U57" s="155">
        <f t="shared" si="33"/>
        <v>585</v>
      </c>
      <c r="V57" s="155">
        <f t="shared" si="36"/>
        <v>45</v>
      </c>
      <c r="W57" s="155">
        <f>F57*0.06*13</f>
        <v>468</v>
      </c>
      <c r="X57" s="155">
        <f>W57/12</f>
        <v>39</v>
      </c>
      <c r="Y57" s="155">
        <f t="shared" ref="Y57:Y62" si="39">P57+S57+U57+W57</f>
        <v>1053</v>
      </c>
      <c r="Z57" s="155">
        <f t="shared" si="34"/>
        <v>78</v>
      </c>
      <c r="AA57" s="155">
        <f t="shared" si="31"/>
        <v>6</v>
      </c>
      <c r="AB57" s="225"/>
      <c r="AC57" s="225"/>
      <c r="AD57" s="155"/>
      <c r="AE57" s="155"/>
      <c r="AF57" s="155"/>
      <c r="AG57" s="155"/>
      <c r="AH57" s="225"/>
      <c r="AI57" s="225"/>
      <c r="AJ57" s="225"/>
      <c r="AK57" s="155"/>
      <c r="AL57" s="155"/>
    </row>
    <row r="58" spans="1:38" ht="21.9" customHeight="1">
      <c r="A58" s="154">
        <f t="shared" si="32"/>
        <v>31</v>
      </c>
      <c r="B58" s="176" t="s">
        <v>419</v>
      </c>
      <c r="C58" s="161" t="s">
        <v>408</v>
      </c>
      <c r="D58" s="161" t="s">
        <v>79</v>
      </c>
      <c r="E58" s="163" t="s">
        <v>47</v>
      </c>
      <c r="F58" s="155">
        <f t="shared" ref="F58:F68" si="40">467+30+50+50</f>
        <v>597</v>
      </c>
      <c r="G58" s="155">
        <f t="shared" si="29"/>
        <v>7164</v>
      </c>
      <c r="H58" s="155">
        <v>70</v>
      </c>
      <c r="I58" s="155"/>
      <c r="J58" s="155">
        <f t="shared" si="35"/>
        <v>597</v>
      </c>
      <c r="K58" s="155">
        <v>300</v>
      </c>
      <c r="L58" s="155"/>
      <c r="M58" s="155"/>
      <c r="N58" s="155">
        <v>30</v>
      </c>
      <c r="O58" s="155">
        <v>100</v>
      </c>
      <c r="P58" s="155">
        <f t="shared" si="38"/>
        <v>679.09</v>
      </c>
      <c r="Q58" s="226"/>
      <c r="R58" s="155">
        <f>P58/13</f>
        <v>52.237692307692313</v>
      </c>
      <c r="S58" s="155"/>
      <c r="T58" s="155"/>
      <c r="U58" s="155">
        <f t="shared" si="33"/>
        <v>582.08000000000004</v>
      </c>
      <c r="V58" s="155">
        <f t="shared" si="36"/>
        <v>44.775384615384617</v>
      </c>
      <c r="W58" s="155"/>
      <c r="X58" s="155"/>
      <c r="Y58" s="155">
        <f t="shared" si="39"/>
        <v>1261.17</v>
      </c>
      <c r="Z58" s="155">
        <f t="shared" si="34"/>
        <v>77.61</v>
      </c>
      <c r="AA58" s="155">
        <f t="shared" si="31"/>
        <v>5.97</v>
      </c>
      <c r="AB58" s="225"/>
      <c r="AC58" s="225"/>
      <c r="AD58" s="155"/>
      <c r="AE58" s="155"/>
      <c r="AF58" s="155"/>
      <c r="AG58" s="155"/>
      <c r="AH58" s="225"/>
      <c r="AI58" s="225"/>
      <c r="AJ58" s="225"/>
      <c r="AK58" s="155"/>
      <c r="AL58" s="155"/>
    </row>
    <row r="59" spans="1:38" ht="21.9" customHeight="1">
      <c r="A59" s="154">
        <f t="shared" si="32"/>
        <v>32</v>
      </c>
      <c r="B59" s="176" t="s">
        <v>419</v>
      </c>
      <c r="C59" s="161" t="s">
        <v>408</v>
      </c>
      <c r="D59" s="161" t="s">
        <v>79</v>
      </c>
      <c r="E59" s="163" t="s">
        <v>47</v>
      </c>
      <c r="F59" s="155">
        <f t="shared" si="40"/>
        <v>597</v>
      </c>
      <c r="G59" s="155">
        <f t="shared" si="29"/>
        <v>7164</v>
      </c>
      <c r="H59" s="155">
        <v>70</v>
      </c>
      <c r="I59" s="155"/>
      <c r="J59" s="155">
        <f t="shared" si="35"/>
        <v>597</v>
      </c>
      <c r="K59" s="155">
        <v>300</v>
      </c>
      <c r="L59" s="155"/>
      <c r="M59" s="155">
        <v>125</v>
      </c>
      <c r="N59" s="155">
        <v>30</v>
      </c>
      <c r="O59" s="155">
        <v>100</v>
      </c>
      <c r="P59" s="155">
        <f t="shared" si="38"/>
        <v>679.09</v>
      </c>
      <c r="Q59" s="226"/>
      <c r="R59" s="155">
        <f>P59/13</f>
        <v>52.237692307692313</v>
      </c>
      <c r="S59" s="155"/>
      <c r="T59" s="155"/>
      <c r="U59" s="155">
        <f t="shared" si="33"/>
        <v>582.08000000000004</v>
      </c>
      <c r="V59" s="155">
        <f t="shared" si="36"/>
        <v>44.775384615384617</v>
      </c>
      <c r="W59" s="155"/>
      <c r="X59" s="155"/>
      <c r="Y59" s="155">
        <f t="shared" si="39"/>
        <v>1261.17</v>
      </c>
      <c r="Z59" s="155">
        <f t="shared" si="34"/>
        <v>77.61</v>
      </c>
      <c r="AA59" s="155">
        <f t="shared" si="31"/>
        <v>5.97</v>
      </c>
      <c r="AB59" s="225"/>
      <c r="AC59" s="225"/>
      <c r="AD59" s="155"/>
      <c r="AE59" s="155"/>
      <c r="AF59" s="155"/>
      <c r="AG59" s="155"/>
      <c r="AH59" s="225"/>
      <c r="AI59" s="225"/>
      <c r="AJ59" s="225"/>
      <c r="AK59" s="155"/>
      <c r="AL59" s="155"/>
    </row>
    <row r="60" spans="1:38" ht="21.9" customHeight="1">
      <c r="A60" s="154">
        <f t="shared" si="32"/>
        <v>33</v>
      </c>
      <c r="B60" s="176" t="s">
        <v>419</v>
      </c>
      <c r="C60" s="161" t="s">
        <v>408</v>
      </c>
      <c r="D60" s="161" t="s">
        <v>79</v>
      </c>
      <c r="E60" s="163" t="s">
        <v>47</v>
      </c>
      <c r="F60" s="155">
        <f t="shared" si="40"/>
        <v>597</v>
      </c>
      <c r="G60" s="155">
        <f t="shared" si="29"/>
        <v>7164</v>
      </c>
      <c r="H60" s="155">
        <v>70</v>
      </c>
      <c r="I60" s="155"/>
      <c r="J60" s="155">
        <f t="shared" si="35"/>
        <v>597</v>
      </c>
      <c r="K60" s="155">
        <v>300</v>
      </c>
      <c r="L60" s="155"/>
      <c r="M60" s="155">
        <v>125</v>
      </c>
      <c r="N60" s="155">
        <v>30</v>
      </c>
      <c r="O60" s="155">
        <v>100</v>
      </c>
      <c r="P60" s="155"/>
      <c r="Q60" s="155"/>
      <c r="R60" s="155"/>
      <c r="S60" s="155"/>
      <c r="T60" s="155"/>
      <c r="U60" s="155">
        <f t="shared" si="33"/>
        <v>582.08000000000004</v>
      </c>
      <c r="V60" s="155">
        <f t="shared" si="36"/>
        <v>44.775384615384617</v>
      </c>
      <c r="W60" s="155">
        <f>F60*0.06*13</f>
        <v>465.66</v>
      </c>
      <c r="X60" s="155">
        <f>W60/12</f>
        <v>38.805</v>
      </c>
      <c r="Y60" s="155">
        <f t="shared" si="39"/>
        <v>1047.74</v>
      </c>
      <c r="Z60" s="155">
        <f t="shared" si="34"/>
        <v>77.61</v>
      </c>
      <c r="AA60" s="155">
        <f t="shared" si="31"/>
        <v>5.97</v>
      </c>
      <c r="AB60" s="225"/>
      <c r="AC60" s="225"/>
      <c r="AD60" s="155"/>
      <c r="AE60" s="155"/>
      <c r="AF60" s="155"/>
      <c r="AG60" s="155"/>
      <c r="AH60" s="225"/>
      <c r="AI60" s="225"/>
      <c r="AJ60" s="225"/>
      <c r="AK60" s="155"/>
      <c r="AL60" s="155"/>
    </row>
    <row r="61" spans="1:38" ht="21.9" customHeight="1">
      <c r="A61" s="154">
        <f t="shared" si="32"/>
        <v>34</v>
      </c>
      <c r="B61" s="176" t="s">
        <v>419</v>
      </c>
      <c r="C61" s="161" t="s">
        <v>408</v>
      </c>
      <c r="D61" s="161" t="s">
        <v>79</v>
      </c>
      <c r="E61" s="163" t="s">
        <v>47</v>
      </c>
      <c r="F61" s="155">
        <f t="shared" si="40"/>
        <v>597</v>
      </c>
      <c r="G61" s="155">
        <f t="shared" si="29"/>
        <v>7164</v>
      </c>
      <c r="H61" s="155">
        <v>70</v>
      </c>
      <c r="I61" s="155"/>
      <c r="J61" s="155">
        <f t="shared" si="35"/>
        <v>597</v>
      </c>
      <c r="K61" s="155">
        <v>300</v>
      </c>
      <c r="L61" s="155"/>
      <c r="M61" s="155">
        <v>125</v>
      </c>
      <c r="N61" s="155">
        <v>30</v>
      </c>
      <c r="O61" s="155">
        <v>100</v>
      </c>
      <c r="P61" s="155">
        <f t="shared" ref="P61:P66" si="41">ROUND(F61*0.0875*13,2)</f>
        <v>679.09</v>
      </c>
      <c r="Q61" s="155">
        <f>P61/13</f>
        <v>52.237692307692313</v>
      </c>
      <c r="R61" s="155"/>
      <c r="S61" s="155"/>
      <c r="T61" s="155"/>
      <c r="U61" s="155">
        <f t="shared" si="33"/>
        <v>582.08000000000004</v>
      </c>
      <c r="V61" s="155">
        <f t="shared" si="36"/>
        <v>44.775384615384617</v>
      </c>
      <c r="W61" s="155"/>
      <c r="X61" s="155"/>
      <c r="Y61" s="155">
        <f t="shared" si="39"/>
        <v>1261.17</v>
      </c>
      <c r="Z61" s="155">
        <f t="shared" si="34"/>
        <v>77.61</v>
      </c>
      <c r="AA61" s="155">
        <f t="shared" si="31"/>
        <v>5.97</v>
      </c>
      <c r="AB61" s="225"/>
      <c r="AC61" s="155"/>
      <c r="AD61" s="155"/>
      <c r="AE61" s="155"/>
      <c r="AF61" s="155"/>
      <c r="AG61" s="155"/>
      <c r="AH61" s="225"/>
      <c r="AI61" s="225"/>
      <c r="AJ61" s="225"/>
      <c r="AK61" s="155"/>
      <c r="AL61" s="155"/>
    </row>
    <row r="62" spans="1:38" ht="21.9" customHeight="1">
      <c r="A62" s="154">
        <f t="shared" si="32"/>
        <v>35</v>
      </c>
      <c r="B62" s="176" t="s">
        <v>419</v>
      </c>
      <c r="C62" s="161" t="s">
        <v>408</v>
      </c>
      <c r="D62" s="161" t="s">
        <v>79</v>
      </c>
      <c r="E62" s="163" t="s">
        <v>47</v>
      </c>
      <c r="F62" s="155">
        <f t="shared" si="40"/>
        <v>597</v>
      </c>
      <c r="G62" s="155">
        <f t="shared" si="29"/>
        <v>7164</v>
      </c>
      <c r="H62" s="155">
        <v>70</v>
      </c>
      <c r="I62" s="155"/>
      <c r="J62" s="155">
        <f t="shared" si="35"/>
        <v>597</v>
      </c>
      <c r="K62" s="155">
        <v>300</v>
      </c>
      <c r="L62" s="155"/>
      <c r="M62" s="155">
        <v>125</v>
      </c>
      <c r="N62" s="155">
        <v>30</v>
      </c>
      <c r="O62" s="155">
        <v>100</v>
      </c>
      <c r="P62" s="155">
        <f t="shared" si="41"/>
        <v>679.09</v>
      </c>
      <c r="Q62" s="155">
        <f>P62/13</f>
        <v>52.237692307692313</v>
      </c>
      <c r="R62" s="155"/>
      <c r="S62" s="155"/>
      <c r="T62" s="155"/>
      <c r="U62" s="155">
        <f t="shared" si="33"/>
        <v>582.08000000000004</v>
      </c>
      <c r="V62" s="155">
        <f t="shared" si="36"/>
        <v>44.775384615384617</v>
      </c>
      <c r="W62" s="155"/>
      <c r="X62" s="155"/>
      <c r="Y62" s="155">
        <f t="shared" si="39"/>
        <v>1261.17</v>
      </c>
      <c r="Z62" s="155">
        <f t="shared" si="34"/>
        <v>77.61</v>
      </c>
      <c r="AA62" s="155">
        <f t="shared" si="31"/>
        <v>5.97</v>
      </c>
      <c r="AB62" s="155"/>
      <c r="AC62" s="155"/>
      <c r="AD62" s="155"/>
      <c r="AE62" s="155"/>
      <c r="AF62" s="155"/>
      <c r="AG62" s="155"/>
      <c r="AH62" s="155"/>
      <c r="AI62" s="155"/>
      <c r="AJ62" s="281"/>
      <c r="AK62" s="281"/>
      <c r="AL62" s="281"/>
    </row>
    <row r="63" spans="1:38" ht="21.9" customHeight="1">
      <c r="A63" s="154">
        <f t="shared" si="32"/>
        <v>36</v>
      </c>
      <c r="B63" s="176" t="s">
        <v>419</v>
      </c>
      <c r="C63" s="161" t="s">
        <v>408</v>
      </c>
      <c r="D63" s="161" t="s">
        <v>79</v>
      </c>
      <c r="E63" s="163" t="s">
        <v>47</v>
      </c>
      <c r="F63" s="155">
        <f t="shared" si="40"/>
        <v>597</v>
      </c>
      <c r="G63" s="155">
        <f t="shared" si="29"/>
        <v>7164</v>
      </c>
      <c r="H63" s="155">
        <v>70</v>
      </c>
      <c r="I63" s="155"/>
      <c r="J63" s="155">
        <f t="shared" si="35"/>
        <v>597</v>
      </c>
      <c r="K63" s="155">
        <v>300</v>
      </c>
      <c r="L63" s="155"/>
      <c r="M63" s="155">
        <v>125</v>
      </c>
      <c r="N63" s="155">
        <v>30</v>
      </c>
      <c r="O63" s="155">
        <v>100</v>
      </c>
      <c r="P63" s="155">
        <f t="shared" si="41"/>
        <v>679.09</v>
      </c>
      <c r="Q63" s="155">
        <f>P63/13</f>
        <v>52.237692307692313</v>
      </c>
      <c r="R63" s="155"/>
      <c r="S63" s="155"/>
      <c r="T63" s="155"/>
      <c r="U63" s="155">
        <f t="shared" si="33"/>
        <v>582.08000000000004</v>
      </c>
      <c r="V63" s="155">
        <f t="shared" si="36"/>
        <v>44.775384615384617</v>
      </c>
      <c r="W63" s="155"/>
      <c r="X63" s="155"/>
      <c r="Y63" s="155">
        <f t="shared" ref="Y63:Y84" si="42">P63+S63+U63+W63</f>
        <v>1261.17</v>
      </c>
      <c r="Z63" s="155">
        <f t="shared" si="34"/>
        <v>77.61</v>
      </c>
      <c r="AA63" s="155">
        <f t="shared" si="31"/>
        <v>5.97</v>
      </c>
      <c r="AB63" s="225"/>
      <c r="AC63" s="225"/>
      <c r="AD63" s="155"/>
      <c r="AE63" s="155"/>
      <c r="AF63" s="155"/>
      <c r="AG63" s="155"/>
      <c r="AH63" s="225"/>
      <c r="AI63" s="225"/>
      <c r="AJ63" s="225"/>
      <c r="AK63" s="155"/>
      <c r="AL63" s="155"/>
    </row>
    <row r="64" spans="1:38" ht="21.9" customHeight="1">
      <c r="A64" s="154">
        <f t="shared" si="32"/>
        <v>37</v>
      </c>
      <c r="B64" s="176" t="s">
        <v>419</v>
      </c>
      <c r="C64" s="161" t="s">
        <v>408</v>
      </c>
      <c r="D64" s="161" t="s">
        <v>79</v>
      </c>
      <c r="E64" s="163" t="s">
        <v>47</v>
      </c>
      <c r="F64" s="155">
        <f t="shared" si="40"/>
        <v>597</v>
      </c>
      <c r="G64" s="155">
        <f t="shared" si="29"/>
        <v>7164</v>
      </c>
      <c r="H64" s="155">
        <v>70</v>
      </c>
      <c r="I64" s="155"/>
      <c r="J64" s="155">
        <f t="shared" si="35"/>
        <v>597</v>
      </c>
      <c r="K64" s="155">
        <v>300</v>
      </c>
      <c r="L64" s="155"/>
      <c r="M64" s="155">
        <v>125</v>
      </c>
      <c r="N64" s="155">
        <v>30</v>
      </c>
      <c r="O64" s="155">
        <v>100</v>
      </c>
      <c r="P64" s="155">
        <f t="shared" si="41"/>
        <v>679.09</v>
      </c>
      <c r="Q64" s="155">
        <f>P64/13</f>
        <v>52.237692307692313</v>
      </c>
      <c r="R64" s="155"/>
      <c r="S64" s="155"/>
      <c r="T64" s="155"/>
      <c r="U64" s="155">
        <f t="shared" si="33"/>
        <v>582.08000000000004</v>
      </c>
      <c r="V64" s="155">
        <f t="shared" si="36"/>
        <v>44.775384615384617</v>
      </c>
      <c r="W64" s="155"/>
      <c r="X64" s="155"/>
      <c r="Y64" s="155">
        <f t="shared" si="42"/>
        <v>1261.17</v>
      </c>
      <c r="Z64" s="155">
        <f t="shared" si="34"/>
        <v>77.61</v>
      </c>
      <c r="AA64" s="155">
        <f t="shared" si="31"/>
        <v>5.97</v>
      </c>
      <c r="AB64" s="225"/>
      <c r="AC64" s="225"/>
      <c r="AD64" s="155"/>
      <c r="AE64" s="155"/>
      <c r="AF64" s="155"/>
      <c r="AG64" s="155"/>
      <c r="AH64" s="225"/>
      <c r="AI64" s="225"/>
      <c r="AJ64" s="225"/>
      <c r="AK64" s="155"/>
      <c r="AL64" s="155"/>
    </row>
    <row r="65" spans="1:38" ht="21.9" customHeight="1">
      <c r="A65" s="154">
        <f t="shared" si="32"/>
        <v>38</v>
      </c>
      <c r="B65" s="176" t="s">
        <v>419</v>
      </c>
      <c r="C65" s="161" t="s">
        <v>408</v>
      </c>
      <c r="D65" s="161" t="s">
        <v>79</v>
      </c>
      <c r="E65" s="163" t="s">
        <v>47</v>
      </c>
      <c r="F65" s="155">
        <f t="shared" si="40"/>
        <v>597</v>
      </c>
      <c r="G65" s="155">
        <f t="shared" si="29"/>
        <v>7164</v>
      </c>
      <c r="H65" s="155">
        <v>70</v>
      </c>
      <c r="I65" s="155"/>
      <c r="J65" s="155">
        <f t="shared" si="35"/>
        <v>597</v>
      </c>
      <c r="K65" s="155">
        <v>300</v>
      </c>
      <c r="L65" s="155"/>
      <c r="M65" s="155">
        <v>125</v>
      </c>
      <c r="N65" s="155">
        <v>30</v>
      </c>
      <c r="O65" s="155">
        <v>100</v>
      </c>
      <c r="P65" s="155">
        <f t="shared" si="41"/>
        <v>679.09</v>
      </c>
      <c r="Q65" s="155">
        <f>P65/13</f>
        <v>52.237692307692313</v>
      </c>
      <c r="R65" s="155"/>
      <c r="S65" s="155"/>
      <c r="T65" s="155"/>
      <c r="U65" s="155">
        <f t="shared" si="33"/>
        <v>582.08000000000004</v>
      </c>
      <c r="V65" s="155">
        <f t="shared" si="36"/>
        <v>44.775384615384617</v>
      </c>
      <c r="W65" s="155"/>
      <c r="X65" s="155"/>
      <c r="Y65" s="155">
        <f t="shared" si="42"/>
        <v>1261.17</v>
      </c>
      <c r="Z65" s="155">
        <f t="shared" si="34"/>
        <v>77.61</v>
      </c>
      <c r="AA65" s="155">
        <f t="shared" si="31"/>
        <v>5.97</v>
      </c>
      <c r="AB65" s="225"/>
      <c r="AC65" s="225"/>
      <c r="AD65" s="155"/>
      <c r="AE65" s="155"/>
      <c r="AF65" s="155"/>
      <c r="AG65" s="155"/>
      <c r="AH65" s="225"/>
      <c r="AI65" s="225"/>
      <c r="AJ65" s="225"/>
      <c r="AK65" s="155"/>
      <c r="AL65" s="155"/>
    </row>
    <row r="66" spans="1:38" ht="21.9" customHeight="1">
      <c r="A66" s="154">
        <f t="shared" si="32"/>
        <v>39</v>
      </c>
      <c r="B66" s="176" t="s">
        <v>419</v>
      </c>
      <c r="C66" s="161" t="s">
        <v>408</v>
      </c>
      <c r="D66" s="161" t="s">
        <v>79</v>
      </c>
      <c r="E66" s="163" t="s">
        <v>47</v>
      </c>
      <c r="F66" s="155">
        <f t="shared" si="40"/>
        <v>597</v>
      </c>
      <c r="G66" s="155">
        <f t="shared" si="29"/>
        <v>7164</v>
      </c>
      <c r="H66" s="155">
        <v>70</v>
      </c>
      <c r="I66" s="155"/>
      <c r="J66" s="155">
        <f t="shared" si="35"/>
        <v>597</v>
      </c>
      <c r="K66" s="155">
        <v>300</v>
      </c>
      <c r="L66" s="155"/>
      <c r="M66" s="155">
        <v>125</v>
      </c>
      <c r="N66" s="155">
        <v>30</v>
      </c>
      <c r="O66" s="155">
        <v>100</v>
      </c>
      <c r="P66" s="155">
        <f t="shared" si="41"/>
        <v>679.09</v>
      </c>
      <c r="Q66" s="226"/>
      <c r="R66" s="155">
        <f>P66/13</f>
        <v>52.237692307692313</v>
      </c>
      <c r="S66" s="155"/>
      <c r="T66" s="155"/>
      <c r="U66" s="155">
        <f t="shared" si="33"/>
        <v>582.08000000000004</v>
      </c>
      <c r="V66" s="155">
        <f t="shared" si="36"/>
        <v>44.775384615384617</v>
      </c>
      <c r="W66" s="155"/>
      <c r="X66" s="155"/>
      <c r="Y66" s="155">
        <f t="shared" si="42"/>
        <v>1261.17</v>
      </c>
      <c r="Z66" s="155">
        <f t="shared" si="34"/>
        <v>77.61</v>
      </c>
      <c r="AA66" s="155">
        <f t="shared" si="31"/>
        <v>5.97</v>
      </c>
      <c r="AB66" s="225"/>
      <c r="AC66" s="225"/>
      <c r="AD66" s="155"/>
      <c r="AE66" s="155"/>
      <c r="AF66" s="155"/>
      <c r="AG66" s="155"/>
      <c r="AH66" s="225"/>
      <c r="AI66" s="225"/>
      <c r="AJ66" s="225"/>
      <c r="AK66" s="155"/>
      <c r="AL66" s="155"/>
    </row>
    <row r="67" spans="1:38" ht="21.9" customHeight="1">
      <c r="A67" s="154">
        <f t="shared" si="32"/>
        <v>40</v>
      </c>
      <c r="B67" s="176" t="s">
        <v>419</v>
      </c>
      <c r="C67" s="161" t="s">
        <v>408</v>
      </c>
      <c r="D67" s="161" t="s">
        <v>79</v>
      </c>
      <c r="E67" s="163" t="s">
        <v>47</v>
      </c>
      <c r="F67" s="155">
        <f t="shared" si="40"/>
        <v>597</v>
      </c>
      <c r="G67" s="155">
        <f t="shared" si="29"/>
        <v>7164</v>
      </c>
      <c r="H67" s="155">
        <v>70</v>
      </c>
      <c r="I67" s="155"/>
      <c r="J67" s="155">
        <f t="shared" si="35"/>
        <v>597</v>
      </c>
      <c r="K67" s="155">
        <v>300</v>
      </c>
      <c r="L67" s="155"/>
      <c r="M67" s="155">
        <v>125</v>
      </c>
      <c r="N67" s="155">
        <v>30</v>
      </c>
      <c r="O67" s="155">
        <v>100</v>
      </c>
      <c r="P67" s="155">
        <f t="shared" ref="P67" si="43">ROUND(F67*0.0875*13,2)</f>
        <v>679.09</v>
      </c>
      <c r="Q67" s="226"/>
      <c r="R67" s="155">
        <f>P67/13</f>
        <v>52.237692307692313</v>
      </c>
      <c r="S67" s="155"/>
      <c r="T67" s="155"/>
      <c r="U67" s="155">
        <f t="shared" si="33"/>
        <v>582.08000000000004</v>
      </c>
      <c r="V67" s="155">
        <f t="shared" si="36"/>
        <v>44.775384615384617</v>
      </c>
      <c r="W67" s="155"/>
      <c r="X67" s="155"/>
      <c r="Y67" s="155">
        <f t="shared" si="42"/>
        <v>1261.17</v>
      </c>
      <c r="Z67" s="155">
        <f t="shared" si="34"/>
        <v>77.61</v>
      </c>
      <c r="AA67" s="155">
        <f t="shared" si="31"/>
        <v>5.97</v>
      </c>
      <c r="AB67" s="225"/>
      <c r="AC67" s="225"/>
      <c r="AD67" s="155"/>
      <c r="AE67" s="155"/>
      <c r="AF67" s="155"/>
      <c r="AG67" s="155"/>
      <c r="AH67" s="225"/>
      <c r="AI67" s="225"/>
      <c r="AJ67" s="225"/>
      <c r="AK67" s="155"/>
      <c r="AL67" s="155"/>
    </row>
    <row r="68" spans="1:38" ht="21.9" customHeight="1">
      <c r="A68" s="154">
        <f t="shared" si="32"/>
        <v>41</v>
      </c>
      <c r="B68" s="176" t="s">
        <v>419</v>
      </c>
      <c r="C68" s="161" t="s">
        <v>408</v>
      </c>
      <c r="D68" s="161" t="s">
        <v>79</v>
      </c>
      <c r="E68" s="163" t="s">
        <v>47</v>
      </c>
      <c r="F68" s="155">
        <f t="shared" si="40"/>
        <v>597</v>
      </c>
      <c r="G68" s="155">
        <f t="shared" si="29"/>
        <v>7164</v>
      </c>
      <c r="H68" s="155">
        <v>70</v>
      </c>
      <c r="I68" s="155"/>
      <c r="J68" s="155">
        <f t="shared" si="35"/>
        <v>597</v>
      </c>
      <c r="K68" s="155">
        <v>300</v>
      </c>
      <c r="L68" s="155"/>
      <c r="M68" s="155"/>
      <c r="N68" s="155">
        <v>30</v>
      </c>
      <c r="O68" s="155">
        <v>100</v>
      </c>
      <c r="P68" s="155"/>
      <c r="Q68" s="155"/>
      <c r="R68" s="155"/>
      <c r="S68" s="155"/>
      <c r="T68" s="155"/>
      <c r="U68" s="155">
        <f t="shared" si="33"/>
        <v>582.08000000000004</v>
      </c>
      <c r="V68" s="155">
        <f t="shared" si="36"/>
        <v>44.775384615384617</v>
      </c>
      <c r="W68" s="155">
        <f>F68*0.06*13</f>
        <v>465.66</v>
      </c>
      <c r="X68" s="155">
        <f>W68/12</f>
        <v>38.805</v>
      </c>
      <c r="Y68" s="155">
        <f t="shared" si="42"/>
        <v>1047.74</v>
      </c>
      <c r="Z68" s="155">
        <f t="shared" si="34"/>
        <v>77.61</v>
      </c>
      <c r="AA68" s="155">
        <f t="shared" si="31"/>
        <v>5.97</v>
      </c>
      <c r="AB68" s="225"/>
      <c r="AC68" s="225"/>
      <c r="AD68" s="155"/>
      <c r="AE68" s="155"/>
      <c r="AF68" s="155"/>
      <c r="AG68" s="155"/>
      <c r="AH68" s="225"/>
      <c r="AI68" s="225"/>
      <c r="AJ68" s="225"/>
      <c r="AK68" s="155"/>
      <c r="AL68" s="155"/>
    </row>
    <row r="69" spans="1:38" ht="21.9" customHeight="1">
      <c r="A69" s="154">
        <f t="shared" si="32"/>
        <v>42</v>
      </c>
      <c r="B69" s="176" t="s">
        <v>421</v>
      </c>
      <c r="C69" s="161" t="s">
        <v>408</v>
      </c>
      <c r="D69" s="161" t="s">
        <v>79</v>
      </c>
      <c r="E69" s="163" t="s">
        <v>47</v>
      </c>
      <c r="F69" s="155">
        <f>417+30+50+50</f>
        <v>547</v>
      </c>
      <c r="G69" s="155">
        <f t="shared" si="29"/>
        <v>6564</v>
      </c>
      <c r="H69" s="155">
        <v>70</v>
      </c>
      <c r="I69" s="155"/>
      <c r="J69" s="155">
        <f t="shared" si="35"/>
        <v>547</v>
      </c>
      <c r="K69" s="155">
        <v>300</v>
      </c>
      <c r="L69" s="155"/>
      <c r="M69" s="155">
        <v>125</v>
      </c>
      <c r="N69" s="155">
        <v>30</v>
      </c>
      <c r="O69" s="155">
        <v>100</v>
      </c>
      <c r="P69" s="155">
        <f>ROUND(F69*0.0875*13,2)</f>
        <v>622.21</v>
      </c>
      <c r="Q69" s="155">
        <f>P69/13</f>
        <v>47.862307692307695</v>
      </c>
      <c r="R69" s="155"/>
      <c r="S69" s="155"/>
      <c r="T69" s="155"/>
      <c r="U69" s="155">
        <f t="shared" si="33"/>
        <v>533.33000000000004</v>
      </c>
      <c r="V69" s="155">
        <f t="shared" si="36"/>
        <v>41.025384615384617</v>
      </c>
      <c r="W69" s="155"/>
      <c r="X69" s="155"/>
      <c r="Y69" s="155">
        <f t="shared" si="42"/>
        <v>1155.54</v>
      </c>
      <c r="Z69" s="155">
        <f t="shared" si="34"/>
        <v>71.11</v>
      </c>
      <c r="AA69" s="155">
        <f t="shared" si="31"/>
        <v>5.47</v>
      </c>
      <c r="AB69" s="225"/>
      <c r="AC69" s="225"/>
      <c r="AD69" s="155"/>
      <c r="AE69" s="155"/>
      <c r="AF69" s="155"/>
      <c r="AG69" s="155"/>
      <c r="AH69" s="225"/>
      <c r="AI69" s="225"/>
      <c r="AJ69" s="225"/>
      <c r="AK69" s="155"/>
      <c r="AL69" s="155"/>
    </row>
    <row r="70" spans="1:38" ht="21.9" customHeight="1">
      <c r="A70" s="154">
        <f t="shared" si="32"/>
        <v>43</v>
      </c>
      <c r="B70" s="176" t="s">
        <v>421</v>
      </c>
      <c r="C70" s="161" t="s">
        <v>408</v>
      </c>
      <c r="D70" s="161" t="s">
        <v>79</v>
      </c>
      <c r="E70" s="163" t="s">
        <v>47</v>
      </c>
      <c r="F70" s="155">
        <f>417+30+50+50</f>
        <v>547</v>
      </c>
      <c r="G70" s="155">
        <f t="shared" si="29"/>
        <v>6564</v>
      </c>
      <c r="H70" s="155">
        <v>70</v>
      </c>
      <c r="I70" s="155"/>
      <c r="J70" s="155">
        <f t="shared" si="35"/>
        <v>547</v>
      </c>
      <c r="K70" s="155">
        <v>300</v>
      </c>
      <c r="L70" s="155"/>
      <c r="M70" s="155">
        <v>125</v>
      </c>
      <c r="N70" s="155">
        <v>30</v>
      </c>
      <c r="O70" s="155">
        <v>100</v>
      </c>
      <c r="P70" s="155">
        <f>ROUND(F70*0.0875*13,2)</f>
        <v>622.21</v>
      </c>
      <c r="Q70" s="155">
        <f>P70/13</f>
        <v>47.862307692307695</v>
      </c>
      <c r="R70" s="155"/>
      <c r="S70" s="155"/>
      <c r="T70" s="155"/>
      <c r="U70" s="155">
        <f t="shared" si="33"/>
        <v>533.33000000000004</v>
      </c>
      <c r="V70" s="155">
        <f t="shared" si="36"/>
        <v>41.025384615384617</v>
      </c>
      <c r="W70" s="155"/>
      <c r="X70" s="155"/>
      <c r="Y70" s="155">
        <f t="shared" si="42"/>
        <v>1155.54</v>
      </c>
      <c r="Z70" s="155">
        <f t="shared" si="34"/>
        <v>71.11</v>
      </c>
      <c r="AA70" s="155">
        <f t="shared" si="31"/>
        <v>5.47</v>
      </c>
      <c r="AB70" s="225"/>
      <c r="AC70" s="225"/>
      <c r="AD70" s="155"/>
      <c r="AE70" s="155"/>
      <c r="AF70" s="155"/>
      <c r="AG70" s="155"/>
      <c r="AH70" s="225"/>
      <c r="AI70" s="225"/>
      <c r="AJ70" s="225"/>
      <c r="AK70" s="155"/>
      <c r="AL70" s="155"/>
    </row>
    <row r="71" spans="1:38" ht="21.9" customHeight="1">
      <c r="A71" s="154">
        <f t="shared" si="32"/>
        <v>44</v>
      </c>
      <c r="B71" s="176" t="s">
        <v>435</v>
      </c>
      <c r="C71" s="161" t="s">
        <v>408</v>
      </c>
      <c r="D71" s="161" t="s">
        <v>79</v>
      </c>
      <c r="E71" s="163" t="s">
        <v>47</v>
      </c>
      <c r="F71" s="155">
        <f>387+30+50+50</f>
        <v>517</v>
      </c>
      <c r="G71" s="155">
        <f t="shared" si="29"/>
        <v>6204</v>
      </c>
      <c r="H71" s="155">
        <v>70</v>
      </c>
      <c r="I71" s="155"/>
      <c r="J71" s="155">
        <f t="shared" si="35"/>
        <v>517</v>
      </c>
      <c r="K71" s="155">
        <v>300</v>
      </c>
      <c r="L71" s="155"/>
      <c r="M71" s="155">
        <v>125</v>
      </c>
      <c r="N71" s="155">
        <v>30</v>
      </c>
      <c r="O71" s="155">
        <v>100</v>
      </c>
      <c r="P71" s="155">
        <f>ROUND(F71*0.0875*13,2)</f>
        <v>588.09</v>
      </c>
      <c r="Q71" s="226"/>
      <c r="R71" s="155">
        <f>P71/13</f>
        <v>45.237692307692313</v>
      </c>
      <c r="S71" s="155"/>
      <c r="T71" s="155"/>
      <c r="U71" s="155">
        <f t="shared" si="33"/>
        <v>504.08</v>
      </c>
      <c r="V71" s="155">
        <f t="shared" si="36"/>
        <v>38.775384615384617</v>
      </c>
      <c r="W71" s="155"/>
      <c r="X71" s="155"/>
      <c r="Y71" s="155">
        <f t="shared" si="42"/>
        <v>1092.17</v>
      </c>
      <c r="Z71" s="155">
        <f t="shared" si="34"/>
        <v>67.209999999999994</v>
      </c>
      <c r="AA71" s="155">
        <f t="shared" si="31"/>
        <v>5.17</v>
      </c>
      <c r="AB71" s="225"/>
      <c r="AC71" s="225"/>
      <c r="AD71" s="155"/>
      <c r="AE71" s="155"/>
      <c r="AF71" s="155"/>
      <c r="AG71" s="155"/>
      <c r="AH71" s="225"/>
      <c r="AI71" s="225"/>
      <c r="AJ71" s="225"/>
      <c r="AK71" s="155"/>
      <c r="AL71" s="155"/>
    </row>
    <row r="72" spans="1:38" ht="21.9" customHeight="1">
      <c r="A72" s="154">
        <f t="shared" si="32"/>
        <v>45</v>
      </c>
      <c r="B72" s="176" t="s">
        <v>435</v>
      </c>
      <c r="C72" s="161" t="s">
        <v>408</v>
      </c>
      <c r="D72" s="161" t="s">
        <v>79</v>
      </c>
      <c r="E72" s="163" t="s">
        <v>47</v>
      </c>
      <c r="F72" s="155">
        <f>387+30+50+50</f>
        <v>517</v>
      </c>
      <c r="G72" s="155">
        <f t="shared" si="29"/>
        <v>6204</v>
      </c>
      <c r="H72" s="155">
        <v>70</v>
      </c>
      <c r="I72" s="155"/>
      <c r="J72" s="155">
        <f t="shared" si="35"/>
        <v>517</v>
      </c>
      <c r="K72" s="155">
        <v>300</v>
      </c>
      <c r="L72" s="155"/>
      <c r="M72" s="155">
        <v>125</v>
      </c>
      <c r="N72" s="155">
        <v>30</v>
      </c>
      <c r="O72" s="155">
        <v>100</v>
      </c>
      <c r="P72" s="155"/>
      <c r="Q72" s="226"/>
      <c r="R72" s="155"/>
      <c r="S72" s="155"/>
      <c r="T72" s="155"/>
      <c r="U72" s="155">
        <f t="shared" si="33"/>
        <v>504.08</v>
      </c>
      <c r="V72" s="155">
        <f t="shared" si="36"/>
        <v>38.775384615384617</v>
      </c>
      <c r="W72" s="155">
        <f>F72*0.06*13</f>
        <v>403.26</v>
      </c>
      <c r="X72" s="155">
        <f>W72/12</f>
        <v>33.604999999999997</v>
      </c>
      <c r="Y72" s="155">
        <f t="shared" si="42"/>
        <v>907.33999999999992</v>
      </c>
      <c r="Z72" s="155">
        <f t="shared" si="34"/>
        <v>67.209999999999994</v>
      </c>
      <c r="AA72" s="155">
        <f t="shared" si="31"/>
        <v>5.17</v>
      </c>
      <c r="AB72" s="225"/>
      <c r="AC72" s="225"/>
      <c r="AD72" s="155"/>
      <c r="AE72" s="225"/>
      <c r="AF72" s="155"/>
      <c r="AG72" s="155"/>
      <c r="AH72" s="225"/>
      <c r="AI72" s="225"/>
      <c r="AJ72" s="225"/>
      <c r="AK72" s="225"/>
      <c r="AL72" s="155"/>
    </row>
    <row r="73" spans="1:38" ht="21.9" customHeight="1">
      <c r="A73" s="154">
        <f t="shared" si="32"/>
        <v>46</v>
      </c>
      <c r="B73" s="176" t="s">
        <v>435</v>
      </c>
      <c r="C73" s="161" t="s">
        <v>408</v>
      </c>
      <c r="D73" s="161" t="s">
        <v>79</v>
      </c>
      <c r="E73" s="163" t="s">
        <v>47</v>
      </c>
      <c r="F73" s="155">
        <f>387+30+50+50</f>
        <v>517</v>
      </c>
      <c r="G73" s="155">
        <f t="shared" si="29"/>
        <v>6204</v>
      </c>
      <c r="H73" s="155">
        <v>70</v>
      </c>
      <c r="I73" s="155"/>
      <c r="J73" s="155">
        <f t="shared" si="35"/>
        <v>517</v>
      </c>
      <c r="K73" s="155">
        <v>300</v>
      </c>
      <c r="L73" s="155"/>
      <c r="M73" s="155">
        <v>125</v>
      </c>
      <c r="N73" s="155">
        <v>30</v>
      </c>
      <c r="O73" s="155">
        <v>100</v>
      </c>
      <c r="P73" s="155">
        <f t="shared" ref="P73:P141" si="44">ROUND(F73*0.0875*13,2)</f>
        <v>588.09</v>
      </c>
      <c r="Q73" s="155"/>
      <c r="R73" s="155">
        <f>P73/13</f>
        <v>45.237692307692313</v>
      </c>
      <c r="S73" s="155"/>
      <c r="T73" s="155"/>
      <c r="U73" s="155">
        <f t="shared" si="33"/>
        <v>504.08</v>
      </c>
      <c r="V73" s="155">
        <f t="shared" si="36"/>
        <v>38.775384615384617</v>
      </c>
      <c r="W73" s="155"/>
      <c r="X73" s="155"/>
      <c r="Y73" s="155">
        <f t="shared" si="42"/>
        <v>1092.17</v>
      </c>
      <c r="Z73" s="155">
        <f t="shared" si="34"/>
        <v>67.209999999999994</v>
      </c>
      <c r="AA73" s="155">
        <f t="shared" si="31"/>
        <v>5.17</v>
      </c>
      <c r="AB73" s="225"/>
      <c r="AC73" s="225"/>
      <c r="AD73" s="155"/>
      <c r="AE73" s="155"/>
      <c r="AF73" s="155"/>
      <c r="AG73" s="155"/>
      <c r="AH73" s="225"/>
      <c r="AI73" s="225"/>
      <c r="AJ73" s="225"/>
      <c r="AK73" s="155"/>
      <c r="AL73" s="155"/>
    </row>
    <row r="74" spans="1:38" ht="21.9" customHeight="1">
      <c r="A74" s="154">
        <f t="shared" si="32"/>
        <v>47</v>
      </c>
      <c r="B74" s="176" t="s">
        <v>435</v>
      </c>
      <c r="C74" s="161" t="s">
        <v>408</v>
      </c>
      <c r="D74" s="161" t="s">
        <v>79</v>
      </c>
      <c r="E74" s="163" t="s">
        <v>47</v>
      </c>
      <c r="F74" s="155">
        <f>387+30+50+50</f>
        <v>517</v>
      </c>
      <c r="G74" s="155">
        <f t="shared" si="29"/>
        <v>6204</v>
      </c>
      <c r="H74" s="155">
        <v>70</v>
      </c>
      <c r="I74" s="155"/>
      <c r="J74" s="155">
        <f t="shared" si="35"/>
        <v>517</v>
      </c>
      <c r="K74" s="155">
        <v>300</v>
      </c>
      <c r="L74" s="155"/>
      <c r="M74" s="155">
        <v>125</v>
      </c>
      <c r="N74" s="155">
        <v>30</v>
      </c>
      <c r="O74" s="155">
        <v>100</v>
      </c>
      <c r="P74" s="155">
        <f t="shared" si="44"/>
        <v>588.09</v>
      </c>
      <c r="Q74" s="155"/>
      <c r="R74" s="155">
        <f>P74/13</f>
        <v>45.237692307692313</v>
      </c>
      <c r="S74" s="155"/>
      <c r="T74" s="155"/>
      <c r="U74" s="155">
        <f t="shared" si="33"/>
        <v>504.08</v>
      </c>
      <c r="V74" s="155">
        <f t="shared" si="36"/>
        <v>38.775384615384617</v>
      </c>
      <c r="W74" s="155"/>
      <c r="X74" s="155"/>
      <c r="Y74" s="155">
        <f t="shared" si="42"/>
        <v>1092.17</v>
      </c>
      <c r="Z74" s="155">
        <f t="shared" si="34"/>
        <v>67.209999999999994</v>
      </c>
      <c r="AA74" s="155">
        <f t="shared" si="31"/>
        <v>5.17</v>
      </c>
      <c r="AB74" s="225"/>
      <c r="AC74" s="225"/>
      <c r="AD74" s="155"/>
      <c r="AE74" s="155"/>
      <c r="AF74" s="155"/>
      <c r="AG74" s="155"/>
      <c r="AH74" s="225"/>
      <c r="AI74" s="225"/>
      <c r="AJ74" s="225"/>
      <c r="AK74" s="155"/>
      <c r="AL74" s="155"/>
    </row>
    <row r="75" spans="1:38" ht="21.9" customHeight="1">
      <c r="A75" s="154">
        <f t="shared" si="32"/>
        <v>48</v>
      </c>
      <c r="B75" s="177" t="s">
        <v>444</v>
      </c>
      <c r="C75" s="161" t="s">
        <v>408</v>
      </c>
      <c r="D75" s="161" t="s">
        <v>79</v>
      </c>
      <c r="E75" s="163" t="s">
        <v>47</v>
      </c>
      <c r="F75" s="155">
        <f>417+50</f>
        <v>467</v>
      </c>
      <c r="G75" s="155">
        <f t="shared" si="29"/>
        <v>5604</v>
      </c>
      <c r="H75" s="155">
        <v>70</v>
      </c>
      <c r="I75" s="155"/>
      <c r="J75" s="155">
        <f t="shared" si="35"/>
        <v>467</v>
      </c>
      <c r="K75" s="155">
        <v>300</v>
      </c>
      <c r="L75" s="155"/>
      <c r="M75" s="155">
        <v>125</v>
      </c>
      <c r="N75" s="155">
        <v>30</v>
      </c>
      <c r="O75" s="155">
        <v>100</v>
      </c>
      <c r="P75" s="155">
        <f t="shared" si="44"/>
        <v>531.21</v>
      </c>
      <c r="Q75" s="155">
        <f t="shared" ref="Q75:Q80" si="45">P75/13</f>
        <v>40.862307692307695</v>
      </c>
      <c r="R75" s="155"/>
      <c r="S75" s="155"/>
      <c r="T75" s="155"/>
      <c r="U75" s="155">
        <f t="shared" si="33"/>
        <v>455.33</v>
      </c>
      <c r="V75" s="155">
        <f t="shared" si="36"/>
        <v>35.025384615384617</v>
      </c>
      <c r="W75" s="155"/>
      <c r="X75" s="155"/>
      <c r="Y75" s="155">
        <f t="shared" si="42"/>
        <v>986.54</v>
      </c>
      <c r="Z75" s="155">
        <f t="shared" si="34"/>
        <v>60.71</v>
      </c>
      <c r="AA75" s="155">
        <f t="shared" si="31"/>
        <v>4.67</v>
      </c>
      <c r="AB75" s="225"/>
      <c r="AC75" s="225"/>
      <c r="AD75" s="155"/>
      <c r="AE75" s="155"/>
      <c r="AF75" s="155"/>
      <c r="AG75" s="155"/>
      <c r="AH75" s="225"/>
      <c r="AI75" s="225"/>
      <c r="AJ75" s="225"/>
      <c r="AK75" s="155"/>
      <c r="AL75" s="155"/>
    </row>
    <row r="76" spans="1:38" ht="21.9" customHeight="1">
      <c r="A76" s="154">
        <f t="shared" si="32"/>
        <v>49</v>
      </c>
      <c r="B76" s="177" t="s">
        <v>444</v>
      </c>
      <c r="C76" s="161" t="s">
        <v>408</v>
      </c>
      <c r="D76" s="161" t="s">
        <v>79</v>
      </c>
      <c r="E76" s="163" t="s">
        <v>47</v>
      </c>
      <c r="F76" s="155">
        <v>417</v>
      </c>
      <c r="G76" s="155">
        <f t="shared" si="29"/>
        <v>5004</v>
      </c>
      <c r="H76" s="155">
        <v>70</v>
      </c>
      <c r="I76" s="155"/>
      <c r="J76" s="155">
        <f t="shared" si="35"/>
        <v>417</v>
      </c>
      <c r="K76" s="155">
        <v>300</v>
      </c>
      <c r="L76" s="155"/>
      <c r="M76" s="155">
        <v>125</v>
      </c>
      <c r="N76" s="155">
        <v>30</v>
      </c>
      <c r="O76" s="155">
        <v>100</v>
      </c>
      <c r="P76" s="155">
        <f t="shared" si="44"/>
        <v>474.34</v>
      </c>
      <c r="Q76" s="155">
        <f t="shared" si="45"/>
        <v>36.487692307692306</v>
      </c>
      <c r="R76" s="155"/>
      <c r="S76" s="155"/>
      <c r="T76" s="155"/>
      <c r="U76" s="155">
        <f t="shared" si="33"/>
        <v>406.58</v>
      </c>
      <c r="V76" s="155">
        <f t="shared" si="36"/>
        <v>31.275384615384613</v>
      </c>
      <c r="W76" s="155"/>
      <c r="X76" s="155"/>
      <c r="Y76" s="155">
        <f t="shared" si="42"/>
        <v>880.92</v>
      </c>
      <c r="Z76" s="155">
        <f t="shared" si="34"/>
        <v>54.21</v>
      </c>
      <c r="AA76" s="155">
        <f t="shared" si="31"/>
        <v>4.17</v>
      </c>
      <c r="AB76" s="225"/>
      <c r="AC76" s="225"/>
      <c r="AD76" s="155"/>
      <c r="AE76" s="155"/>
      <c r="AF76" s="155"/>
      <c r="AG76" s="155"/>
      <c r="AH76" s="225"/>
      <c r="AI76" s="225"/>
      <c r="AJ76" s="225"/>
      <c r="AK76" s="155"/>
      <c r="AL76" s="155"/>
    </row>
    <row r="77" spans="1:38" ht="21.9" customHeight="1">
      <c r="A77" s="154">
        <f t="shared" si="32"/>
        <v>50</v>
      </c>
      <c r="B77" s="177" t="s">
        <v>444</v>
      </c>
      <c r="C77" s="161" t="s">
        <v>408</v>
      </c>
      <c r="D77" s="161" t="s">
        <v>79</v>
      </c>
      <c r="E77" s="163" t="s">
        <v>47</v>
      </c>
      <c r="F77" s="155">
        <v>417</v>
      </c>
      <c r="G77" s="155">
        <f t="shared" si="29"/>
        <v>5004</v>
      </c>
      <c r="H77" s="155">
        <v>70</v>
      </c>
      <c r="I77" s="155"/>
      <c r="J77" s="155">
        <f t="shared" si="35"/>
        <v>417</v>
      </c>
      <c r="K77" s="155">
        <v>300</v>
      </c>
      <c r="L77" s="155"/>
      <c r="M77" s="155">
        <v>125</v>
      </c>
      <c r="N77" s="155">
        <v>30</v>
      </c>
      <c r="O77" s="155">
        <v>100</v>
      </c>
      <c r="P77" s="155">
        <f t="shared" si="44"/>
        <v>474.34</v>
      </c>
      <c r="Q77" s="155">
        <f t="shared" si="45"/>
        <v>36.487692307692306</v>
      </c>
      <c r="R77" s="155"/>
      <c r="S77" s="155"/>
      <c r="T77" s="155"/>
      <c r="U77" s="155">
        <f t="shared" si="33"/>
        <v>406.58</v>
      </c>
      <c r="V77" s="155">
        <f t="shared" si="36"/>
        <v>31.275384615384613</v>
      </c>
      <c r="W77" s="155"/>
      <c r="X77" s="155"/>
      <c r="Y77" s="155">
        <f t="shared" si="42"/>
        <v>880.92</v>
      </c>
      <c r="Z77" s="155">
        <f t="shared" si="34"/>
        <v>54.21</v>
      </c>
      <c r="AA77" s="155">
        <f t="shared" si="31"/>
        <v>4.17</v>
      </c>
      <c r="AB77" s="225"/>
      <c r="AC77" s="225"/>
      <c r="AD77" s="155"/>
      <c r="AE77" s="155"/>
      <c r="AF77" s="155"/>
      <c r="AG77" s="155"/>
      <c r="AH77" s="225"/>
      <c r="AI77" s="225"/>
      <c r="AJ77" s="225"/>
      <c r="AK77" s="155"/>
      <c r="AL77" s="155"/>
    </row>
    <row r="78" spans="1:38" ht="21.9" customHeight="1">
      <c r="A78" s="154">
        <f t="shared" si="32"/>
        <v>51</v>
      </c>
      <c r="B78" s="177" t="s">
        <v>444</v>
      </c>
      <c r="C78" s="161" t="s">
        <v>408</v>
      </c>
      <c r="D78" s="161" t="s">
        <v>79</v>
      </c>
      <c r="E78" s="163" t="s">
        <v>47</v>
      </c>
      <c r="F78" s="155">
        <v>417</v>
      </c>
      <c r="G78" s="155">
        <f t="shared" ref="G78:G84" si="46">F78*12</f>
        <v>5004</v>
      </c>
      <c r="H78" s="155">
        <v>70</v>
      </c>
      <c r="I78" s="155"/>
      <c r="J78" s="155">
        <f t="shared" si="35"/>
        <v>417</v>
      </c>
      <c r="K78" s="155">
        <v>300</v>
      </c>
      <c r="L78" s="155"/>
      <c r="M78" s="155">
        <v>125</v>
      </c>
      <c r="N78" s="155">
        <v>30</v>
      </c>
      <c r="O78" s="155">
        <v>100</v>
      </c>
      <c r="P78" s="155">
        <f t="shared" si="44"/>
        <v>474.34</v>
      </c>
      <c r="Q78" s="155"/>
      <c r="R78" s="155">
        <f>P78/13</f>
        <v>36.487692307692306</v>
      </c>
      <c r="S78" s="155"/>
      <c r="T78" s="155"/>
      <c r="U78" s="155">
        <f t="shared" si="33"/>
        <v>406.58</v>
      </c>
      <c r="V78" s="155">
        <f t="shared" si="36"/>
        <v>31.275384615384613</v>
      </c>
      <c r="W78" s="155"/>
      <c r="X78" s="155"/>
      <c r="Y78" s="155">
        <f t="shared" si="42"/>
        <v>880.92</v>
      </c>
      <c r="Z78" s="155">
        <f t="shared" si="34"/>
        <v>54.21</v>
      </c>
      <c r="AA78" s="155">
        <f t="shared" ref="AA78:AA84" si="47">Z78/13</f>
        <v>4.17</v>
      </c>
      <c r="AB78" s="225"/>
      <c r="AC78" s="225"/>
      <c r="AD78" s="155"/>
      <c r="AE78" s="155"/>
      <c r="AF78" s="155"/>
      <c r="AG78" s="155"/>
      <c r="AH78" s="225"/>
      <c r="AI78" s="225"/>
      <c r="AJ78" s="225"/>
      <c r="AK78" s="155"/>
      <c r="AL78" s="155"/>
    </row>
    <row r="79" spans="1:38" ht="21.9" customHeight="1">
      <c r="A79" s="154">
        <f t="shared" ref="A79:A90" si="48">A78+1</f>
        <v>52</v>
      </c>
      <c r="B79" s="177" t="s">
        <v>444</v>
      </c>
      <c r="C79" s="161" t="s">
        <v>408</v>
      </c>
      <c r="D79" s="161" t="s">
        <v>79</v>
      </c>
      <c r="E79" s="163" t="s">
        <v>47</v>
      </c>
      <c r="F79" s="155">
        <v>417</v>
      </c>
      <c r="G79" s="155">
        <f t="shared" si="46"/>
        <v>5004</v>
      </c>
      <c r="H79" s="155">
        <v>70</v>
      </c>
      <c r="I79" s="155"/>
      <c r="J79" s="155">
        <f t="shared" si="35"/>
        <v>417</v>
      </c>
      <c r="K79" s="155">
        <v>300</v>
      </c>
      <c r="L79" s="155"/>
      <c r="M79" s="155"/>
      <c r="N79" s="155">
        <v>30</v>
      </c>
      <c r="O79" s="155">
        <v>100</v>
      </c>
      <c r="P79" s="155">
        <f t="shared" si="44"/>
        <v>474.34</v>
      </c>
      <c r="Q79" s="155"/>
      <c r="R79" s="155">
        <f>P79/13</f>
        <v>36.487692307692306</v>
      </c>
      <c r="S79" s="155"/>
      <c r="T79" s="155"/>
      <c r="U79" s="155">
        <f t="shared" si="33"/>
        <v>406.58</v>
      </c>
      <c r="V79" s="155">
        <f t="shared" si="36"/>
        <v>31.275384615384613</v>
      </c>
      <c r="W79" s="155"/>
      <c r="X79" s="155"/>
      <c r="Y79" s="155">
        <f t="shared" si="42"/>
        <v>880.92</v>
      </c>
      <c r="Z79" s="155">
        <f t="shared" si="34"/>
        <v>54.21</v>
      </c>
      <c r="AA79" s="155">
        <f t="shared" si="47"/>
        <v>4.17</v>
      </c>
      <c r="AB79" s="225"/>
      <c r="AC79" s="225"/>
      <c r="AD79" s="155"/>
      <c r="AE79" s="155"/>
      <c r="AF79" s="155"/>
      <c r="AG79" s="155"/>
      <c r="AH79" s="225"/>
      <c r="AI79" s="225"/>
      <c r="AJ79" s="225"/>
      <c r="AK79" s="155"/>
      <c r="AL79" s="155"/>
    </row>
    <row r="80" spans="1:38" ht="21.9" customHeight="1">
      <c r="A80" s="154">
        <f t="shared" si="48"/>
        <v>53</v>
      </c>
      <c r="B80" s="177" t="s">
        <v>444</v>
      </c>
      <c r="C80" s="161" t="s">
        <v>408</v>
      </c>
      <c r="D80" s="161" t="s">
        <v>79</v>
      </c>
      <c r="E80" s="163" t="s">
        <v>47</v>
      </c>
      <c r="F80" s="155">
        <v>417</v>
      </c>
      <c r="G80" s="155">
        <f t="shared" si="46"/>
        <v>5004</v>
      </c>
      <c r="H80" s="155">
        <v>70</v>
      </c>
      <c r="I80" s="155"/>
      <c r="J80" s="155">
        <f t="shared" si="35"/>
        <v>417</v>
      </c>
      <c r="K80" s="155">
        <v>300</v>
      </c>
      <c r="L80" s="155"/>
      <c r="M80" s="155">
        <v>125</v>
      </c>
      <c r="N80" s="155">
        <v>30</v>
      </c>
      <c r="O80" s="155">
        <v>100</v>
      </c>
      <c r="P80" s="155">
        <f t="shared" si="44"/>
        <v>474.34</v>
      </c>
      <c r="Q80" s="155">
        <f t="shared" si="45"/>
        <v>36.487692307692306</v>
      </c>
      <c r="R80" s="155"/>
      <c r="S80" s="155"/>
      <c r="T80" s="155"/>
      <c r="U80" s="155">
        <f t="shared" si="33"/>
        <v>406.58</v>
      </c>
      <c r="V80" s="155">
        <f t="shared" si="36"/>
        <v>31.275384615384613</v>
      </c>
      <c r="W80" s="155"/>
      <c r="X80" s="155"/>
      <c r="Y80" s="155">
        <f t="shared" si="42"/>
        <v>880.92</v>
      </c>
      <c r="Z80" s="155">
        <f t="shared" si="34"/>
        <v>54.21</v>
      </c>
      <c r="AA80" s="155">
        <f t="shared" si="47"/>
        <v>4.17</v>
      </c>
      <c r="AB80" s="225"/>
      <c r="AC80" s="225"/>
      <c r="AD80" s="155"/>
      <c r="AE80" s="155"/>
      <c r="AF80" s="155"/>
      <c r="AG80" s="155"/>
      <c r="AH80" s="225"/>
      <c r="AI80" s="225"/>
      <c r="AJ80" s="225"/>
      <c r="AK80" s="155"/>
      <c r="AL80" s="155"/>
    </row>
    <row r="81" spans="1:38" ht="21.9" customHeight="1">
      <c r="A81" s="154">
        <f t="shared" si="48"/>
        <v>54</v>
      </c>
      <c r="B81" s="177" t="s">
        <v>444</v>
      </c>
      <c r="C81" s="161" t="s">
        <v>408</v>
      </c>
      <c r="D81" s="161" t="s">
        <v>79</v>
      </c>
      <c r="E81" s="163" t="s">
        <v>47</v>
      </c>
      <c r="F81" s="155">
        <v>417</v>
      </c>
      <c r="G81" s="155">
        <f t="shared" si="46"/>
        <v>5004</v>
      </c>
      <c r="H81" s="155">
        <v>70</v>
      </c>
      <c r="I81" s="155"/>
      <c r="J81" s="155">
        <f t="shared" si="35"/>
        <v>417</v>
      </c>
      <c r="K81" s="155">
        <v>300</v>
      </c>
      <c r="L81" s="155"/>
      <c r="M81" s="155">
        <v>125</v>
      </c>
      <c r="N81" s="155">
        <v>30</v>
      </c>
      <c r="O81" s="155">
        <v>100</v>
      </c>
      <c r="P81" s="155">
        <f t="shared" si="44"/>
        <v>474.34</v>
      </c>
      <c r="Q81" s="227"/>
      <c r="R81" s="155">
        <f>P81/13</f>
        <v>36.487692307692306</v>
      </c>
      <c r="S81" s="155"/>
      <c r="T81" s="155"/>
      <c r="U81" s="155">
        <f t="shared" si="33"/>
        <v>406.58</v>
      </c>
      <c r="V81" s="155">
        <f t="shared" si="36"/>
        <v>31.275384615384613</v>
      </c>
      <c r="W81" s="155"/>
      <c r="X81" s="155"/>
      <c r="Y81" s="155">
        <f t="shared" si="42"/>
        <v>880.92</v>
      </c>
      <c r="Z81" s="155">
        <f t="shared" si="34"/>
        <v>54.21</v>
      </c>
      <c r="AA81" s="155">
        <f t="shared" si="47"/>
        <v>4.17</v>
      </c>
      <c r="AB81" s="225"/>
      <c r="AC81" s="225"/>
      <c r="AD81" s="155"/>
      <c r="AE81" s="155"/>
      <c r="AF81" s="155"/>
      <c r="AG81" s="155"/>
      <c r="AH81" s="225"/>
      <c r="AI81" s="225"/>
      <c r="AJ81" s="225"/>
      <c r="AK81" s="155"/>
      <c r="AL81" s="155"/>
    </row>
    <row r="82" spans="1:38" ht="21.9" customHeight="1">
      <c r="A82" s="154">
        <f t="shared" si="48"/>
        <v>55</v>
      </c>
      <c r="B82" s="177" t="s">
        <v>444</v>
      </c>
      <c r="C82" s="161" t="s">
        <v>408</v>
      </c>
      <c r="D82" s="161" t="s">
        <v>79</v>
      </c>
      <c r="E82" s="163" t="s">
        <v>47</v>
      </c>
      <c r="F82" s="155">
        <v>417</v>
      </c>
      <c r="G82" s="155">
        <f t="shared" si="46"/>
        <v>5004</v>
      </c>
      <c r="H82" s="155">
        <v>70</v>
      </c>
      <c r="I82" s="155"/>
      <c r="J82" s="155">
        <f t="shared" si="35"/>
        <v>417</v>
      </c>
      <c r="K82" s="155">
        <v>300</v>
      </c>
      <c r="L82" s="155"/>
      <c r="M82" s="155">
        <v>125</v>
      </c>
      <c r="N82" s="155">
        <v>30</v>
      </c>
      <c r="O82" s="155">
        <v>100</v>
      </c>
      <c r="P82" s="155">
        <f t="shared" si="44"/>
        <v>474.34</v>
      </c>
      <c r="Q82" s="155">
        <f>P82/13</f>
        <v>36.487692307692306</v>
      </c>
      <c r="R82" s="155"/>
      <c r="S82" s="155"/>
      <c r="T82" s="155"/>
      <c r="U82" s="155">
        <f t="shared" si="33"/>
        <v>406.58</v>
      </c>
      <c r="V82" s="155">
        <f t="shared" si="36"/>
        <v>31.275384615384613</v>
      </c>
      <c r="W82" s="155"/>
      <c r="X82" s="155"/>
      <c r="Y82" s="155">
        <f t="shared" si="42"/>
        <v>880.92</v>
      </c>
      <c r="Z82" s="155">
        <f t="shared" si="34"/>
        <v>54.21</v>
      </c>
      <c r="AA82" s="155">
        <f t="shared" si="47"/>
        <v>4.17</v>
      </c>
      <c r="AB82" s="225"/>
      <c r="AC82" s="225"/>
      <c r="AD82" s="155"/>
      <c r="AE82" s="155"/>
      <c r="AF82" s="155"/>
      <c r="AG82" s="155"/>
      <c r="AH82" s="225"/>
      <c r="AI82" s="225"/>
      <c r="AJ82" s="225"/>
      <c r="AK82" s="155"/>
      <c r="AL82" s="155"/>
    </row>
    <row r="83" spans="1:38" ht="21.9" customHeight="1">
      <c r="A83" s="154">
        <f t="shared" si="48"/>
        <v>56</v>
      </c>
      <c r="B83" s="177" t="s">
        <v>444</v>
      </c>
      <c r="C83" s="161" t="s">
        <v>408</v>
      </c>
      <c r="D83" s="161" t="s">
        <v>79</v>
      </c>
      <c r="E83" s="163" t="s">
        <v>47</v>
      </c>
      <c r="F83" s="155">
        <v>417</v>
      </c>
      <c r="G83" s="155">
        <f t="shared" si="46"/>
        <v>5004</v>
      </c>
      <c r="H83" s="155">
        <v>70</v>
      </c>
      <c r="I83" s="155"/>
      <c r="J83" s="155">
        <f t="shared" si="35"/>
        <v>417</v>
      </c>
      <c r="K83" s="155">
        <v>300</v>
      </c>
      <c r="L83" s="155"/>
      <c r="M83" s="155"/>
      <c r="N83" s="155">
        <v>30</v>
      </c>
      <c r="O83" s="155">
        <v>100</v>
      </c>
      <c r="P83" s="155">
        <f t="shared" si="44"/>
        <v>474.34</v>
      </c>
      <c r="Q83" s="155"/>
      <c r="R83" s="155">
        <f>P83/13</f>
        <v>36.487692307692306</v>
      </c>
      <c r="S83" s="155"/>
      <c r="T83" s="155"/>
      <c r="U83" s="155">
        <f t="shared" si="33"/>
        <v>406.58</v>
      </c>
      <c r="V83" s="155">
        <f t="shared" si="36"/>
        <v>31.275384615384613</v>
      </c>
      <c r="W83" s="155"/>
      <c r="X83" s="155"/>
      <c r="Y83" s="155">
        <f t="shared" si="42"/>
        <v>880.92</v>
      </c>
      <c r="Z83" s="155">
        <f t="shared" si="34"/>
        <v>54.21</v>
      </c>
      <c r="AA83" s="155">
        <f t="shared" si="47"/>
        <v>4.17</v>
      </c>
      <c r="AB83" s="225"/>
      <c r="AC83" s="225"/>
      <c r="AD83" s="155"/>
      <c r="AE83" s="155"/>
      <c r="AF83" s="155"/>
      <c r="AG83" s="155"/>
      <c r="AH83" s="225"/>
      <c r="AI83" s="225"/>
      <c r="AJ83" s="225"/>
      <c r="AK83" s="155"/>
      <c r="AL83" s="155"/>
    </row>
    <row r="84" spans="1:38" ht="21.9" customHeight="1">
      <c r="A84" s="154">
        <f t="shared" si="48"/>
        <v>57</v>
      </c>
      <c r="B84" s="177" t="s">
        <v>444</v>
      </c>
      <c r="C84" s="161" t="s">
        <v>408</v>
      </c>
      <c r="D84" s="161" t="s">
        <v>79</v>
      </c>
      <c r="E84" s="163" t="s">
        <v>47</v>
      </c>
      <c r="F84" s="155">
        <v>417</v>
      </c>
      <c r="G84" s="155">
        <f t="shared" si="46"/>
        <v>5004</v>
      </c>
      <c r="H84" s="155">
        <v>70</v>
      </c>
      <c r="I84" s="155"/>
      <c r="J84" s="155">
        <f t="shared" si="35"/>
        <v>417</v>
      </c>
      <c r="K84" s="155">
        <v>300</v>
      </c>
      <c r="L84" s="155"/>
      <c r="M84" s="155">
        <v>125</v>
      </c>
      <c r="N84" s="155">
        <v>30</v>
      </c>
      <c r="O84" s="155">
        <v>100</v>
      </c>
      <c r="P84" s="155"/>
      <c r="Q84" s="155"/>
      <c r="R84" s="155"/>
      <c r="S84" s="155"/>
      <c r="T84" s="155"/>
      <c r="U84" s="155">
        <f t="shared" si="33"/>
        <v>406.58</v>
      </c>
      <c r="V84" s="155">
        <f t="shared" si="36"/>
        <v>31.275384615384613</v>
      </c>
      <c r="W84" s="155">
        <f>F84*0.06*13</f>
        <v>325.26</v>
      </c>
      <c r="X84" s="155">
        <f>W84/12</f>
        <v>27.105</v>
      </c>
      <c r="Y84" s="155">
        <f t="shared" si="42"/>
        <v>731.83999999999992</v>
      </c>
      <c r="Z84" s="155">
        <f t="shared" si="34"/>
        <v>54.21</v>
      </c>
      <c r="AA84" s="155">
        <f t="shared" si="47"/>
        <v>4.17</v>
      </c>
      <c r="AB84" s="225"/>
      <c r="AC84" s="225"/>
      <c r="AD84" s="155"/>
      <c r="AE84" s="155"/>
      <c r="AF84" s="155"/>
      <c r="AG84" s="155"/>
      <c r="AH84" s="225"/>
      <c r="AI84" s="225"/>
      <c r="AJ84" s="225"/>
      <c r="AK84" s="155"/>
      <c r="AL84" s="155"/>
    </row>
    <row r="85" spans="1:38" ht="21.9" customHeight="1">
      <c r="A85" s="154">
        <f t="shared" si="48"/>
        <v>58</v>
      </c>
      <c r="B85" s="177" t="s">
        <v>444</v>
      </c>
      <c r="C85" s="161" t="s">
        <v>408</v>
      </c>
      <c r="D85" s="161" t="s">
        <v>79</v>
      </c>
      <c r="E85" s="163" t="s">
        <v>47</v>
      </c>
      <c r="F85" s="155">
        <v>417</v>
      </c>
      <c r="G85" s="155">
        <f t="shared" ref="G85:G90" si="49">F85*12</f>
        <v>5004</v>
      </c>
      <c r="H85" s="155">
        <v>70</v>
      </c>
      <c r="I85" s="155"/>
      <c r="J85" s="155">
        <f t="shared" ref="J85:J90" si="50">F85</f>
        <v>417</v>
      </c>
      <c r="K85" s="155">
        <v>300</v>
      </c>
      <c r="L85" s="155"/>
      <c r="M85" s="155"/>
      <c r="N85" s="155">
        <v>30</v>
      </c>
      <c r="O85" s="155">
        <v>100</v>
      </c>
      <c r="P85" s="155">
        <f t="shared" ref="P85:P90" si="51">ROUND(F85*0.0875*13,2)</f>
        <v>474.34</v>
      </c>
      <c r="Q85" s="155"/>
      <c r="R85" s="155">
        <f t="shared" ref="R85:R90" si="52">P85/13</f>
        <v>36.487692307692306</v>
      </c>
      <c r="S85" s="155"/>
      <c r="T85" s="155"/>
      <c r="U85" s="155">
        <f t="shared" ref="U85:U90" si="53">ROUND(F85*0.075*13,2)</f>
        <v>406.58</v>
      </c>
      <c r="V85" s="155">
        <f t="shared" ref="V85:V90" si="54">U85/13</f>
        <v>31.275384615384613</v>
      </c>
      <c r="W85" s="155"/>
      <c r="X85" s="155"/>
      <c r="Y85" s="155">
        <f t="shared" ref="Y85:Y90" si="55">P85+S85+U85+W85</f>
        <v>880.92</v>
      </c>
      <c r="Z85" s="155">
        <f t="shared" ref="Z85:Z90" si="56">ROUND(F85*0.01*13,2)</f>
        <v>54.21</v>
      </c>
      <c r="AA85" s="155">
        <f t="shared" ref="AA85:AA90" si="57">Z85/13</f>
        <v>4.17</v>
      </c>
      <c r="AB85" s="225"/>
      <c r="AC85" s="225"/>
      <c r="AD85" s="155"/>
      <c r="AE85" s="155"/>
      <c r="AF85" s="155"/>
      <c r="AG85" s="155"/>
      <c r="AH85" s="225"/>
      <c r="AI85" s="225"/>
      <c r="AJ85" s="225"/>
      <c r="AK85" s="155"/>
      <c r="AL85" s="155"/>
    </row>
    <row r="86" spans="1:38" ht="21.9" customHeight="1">
      <c r="A86" s="154">
        <f t="shared" si="48"/>
        <v>59</v>
      </c>
      <c r="B86" s="177" t="s">
        <v>444</v>
      </c>
      <c r="C86" s="161" t="s">
        <v>408</v>
      </c>
      <c r="D86" s="161" t="s">
        <v>79</v>
      </c>
      <c r="E86" s="163" t="s">
        <v>47</v>
      </c>
      <c r="F86" s="155">
        <v>417</v>
      </c>
      <c r="G86" s="155">
        <f t="shared" si="49"/>
        <v>5004</v>
      </c>
      <c r="H86" s="155">
        <v>70</v>
      </c>
      <c r="I86" s="155"/>
      <c r="J86" s="155">
        <f t="shared" si="50"/>
        <v>417</v>
      </c>
      <c r="K86" s="155">
        <v>300</v>
      </c>
      <c r="L86" s="155"/>
      <c r="M86" s="155"/>
      <c r="N86" s="155">
        <v>30</v>
      </c>
      <c r="O86" s="155">
        <v>100</v>
      </c>
      <c r="P86" s="155">
        <f t="shared" si="51"/>
        <v>474.34</v>
      </c>
      <c r="Q86" s="155"/>
      <c r="R86" s="155">
        <f t="shared" si="52"/>
        <v>36.487692307692306</v>
      </c>
      <c r="S86" s="155"/>
      <c r="T86" s="155"/>
      <c r="U86" s="155">
        <f t="shared" si="53"/>
        <v>406.58</v>
      </c>
      <c r="V86" s="155">
        <f t="shared" si="54"/>
        <v>31.275384615384613</v>
      </c>
      <c r="W86" s="155"/>
      <c r="X86" s="155"/>
      <c r="Y86" s="155">
        <f t="shared" si="55"/>
        <v>880.92</v>
      </c>
      <c r="Z86" s="155">
        <f t="shared" si="56"/>
        <v>54.21</v>
      </c>
      <c r="AA86" s="155">
        <f t="shared" si="57"/>
        <v>4.17</v>
      </c>
      <c r="AB86" s="225"/>
      <c r="AC86" s="225"/>
      <c r="AD86" s="155"/>
      <c r="AE86" s="155"/>
      <c r="AF86" s="155"/>
      <c r="AG86" s="155"/>
      <c r="AH86" s="225"/>
      <c r="AI86" s="225"/>
      <c r="AJ86" s="225"/>
      <c r="AK86" s="155"/>
      <c r="AL86" s="155"/>
    </row>
    <row r="87" spans="1:38" ht="21.9" customHeight="1">
      <c r="A87" s="154">
        <f t="shared" si="48"/>
        <v>60</v>
      </c>
      <c r="B87" s="177" t="s">
        <v>444</v>
      </c>
      <c r="C87" s="161" t="s">
        <v>408</v>
      </c>
      <c r="D87" s="161" t="s">
        <v>79</v>
      </c>
      <c r="E87" s="163" t="s">
        <v>47</v>
      </c>
      <c r="F87" s="155">
        <v>417</v>
      </c>
      <c r="G87" s="155">
        <f t="shared" si="49"/>
        <v>5004</v>
      </c>
      <c r="H87" s="155">
        <v>70</v>
      </c>
      <c r="I87" s="155"/>
      <c r="J87" s="155">
        <f t="shared" si="50"/>
        <v>417</v>
      </c>
      <c r="K87" s="155">
        <v>300</v>
      </c>
      <c r="L87" s="155"/>
      <c r="M87" s="155"/>
      <c r="N87" s="155">
        <v>30</v>
      </c>
      <c r="O87" s="155">
        <v>100</v>
      </c>
      <c r="P87" s="155">
        <f t="shared" si="51"/>
        <v>474.34</v>
      </c>
      <c r="Q87" s="155"/>
      <c r="R87" s="155">
        <f t="shared" si="52"/>
        <v>36.487692307692306</v>
      </c>
      <c r="S87" s="155"/>
      <c r="T87" s="155"/>
      <c r="U87" s="155">
        <f t="shared" si="53"/>
        <v>406.58</v>
      </c>
      <c r="V87" s="155">
        <f t="shared" si="54"/>
        <v>31.275384615384613</v>
      </c>
      <c r="W87" s="155"/>
      <c r="X87" s="155"/>
      <c r="Y87" s="155">
        <f t="shared" si="55"/>
        <v>880.92</v>
      </c>
      <c r="Z87" s="155">
        <f t="shared" si="56"/>
        <v>54.21</v>
      </c>
      <c r="AA87" s="155">
        <f t="shared" si="57"/>
        <v>4.17</v>
      </c>
      <c r="AB87" s="225"/>
      <c r="AC87" s="225"/>
      <c r="AD87" s="155"/>
      <c r="AE87" s="155"/>
      <c r="AF87" s="155"/>
      <c r="AG87" s="155"/>
      <c r="AH87" s="225"/>
      <c r="AI87" s="225"/>
      <c r="AJ87" s="225"/>
      <c r="AK87" s="155"/>
      <c r="AL87" s="155"/>
    </row>
    <row r="88" spans="1:38" ht="21.9" customHeight="1">
      <c r="A88" s="154">
        <f t="shared" si="48"/>
        <v>61</v>
      </c>
      <c r="B88" s="177" t="s">
        <v>444</v>
      </c>
      <c r="C88" s="161" t="s">
        <v>408</v>
      </c>
      <c r="D88" s="161" t="s">
        <v>79</v>
      </c>
      <c r="E88" s="163" t="s">
        <v>47</v>
      </c>
      <c r="F88" s="155">
        <v>417</v>
      </c>
      <c r="G88" s="155">
        <f t="shared" si="49"/>
        <v>5004</v>
      </c>
      <c r="H88" s="155">
        <v>70</v>
      </c>
      <c r="I88" s="155"/>
      <c r="J88" s="155">
        <f t="shared" si="50"/>
        <v>417</v>
      </c>
      <c r="K88" s="155">
        <v>300</v>
      </c>
      <c r="L88" s="155"/>
      <c r="M88" s="155"/>
      <c r="N88" s="155">
        <v>30</v>
      </c>
      <c r="O88" s="155">
        <v>100</v>
      </c>
      <c r="P88" s="155">
        <f t="shared" si="51"/>
        <v>474.34</v>
      </c>
      <c r="Q88" s="155"/>
      <c r="R88" s="155">
        <f t="shared" si="52"/>
        <v>36.487692307692306</v>
      </c>
      <c r="S88" s="155"/>
      <c r="T88" s="155"/>
      <c r="U88" s="155">
        <f t="shared" si="53"/>
        <v>406.58</v>
      </c>
      <c r="V88" s="155">
        <f t="shared" si="54"/>
        <v>31.275384615384613</v>
      </c>
      <c r="W88" s="155"/>
      <c r="X88" s="155"/>
      <c r="Y88" s="155">
        <f t="shared" si="55"/>
        <v>880.92</v>
      </c>
      <c r="Z88" s="155">
        <f t="shared" si="56"/>
        <v>54.21</v>
      </c>
      <c r="AA88" s="155">
        <f t="shared" si="57"/>
        <v>4.17</v>
      </c>
      <c r="AB88" s="225"/>
      <c r="AC88" s="225"/>
      <c r="AD88" s="155"/>
      <c r="AE88" s="155"/>
      <c r="AF88" s="155"/>
      <c r="AG88" s="155"/>
      <c r="AH88" s="225"/>
      <c r="AI88" s="225"/>
      <c r="AJ88" s="225"/>
      <c r="AK88" s="155"/>
      <c r="AL88" s="155"/>
    </row>
    <row r="89" spans="1:38" ht="21.9" customHeight="1">
      <c r="A89" s="154">
        <f t="shared" si="48"/>
        <v>62</v>
      </c>
      <c r="B89" s="177" t="s">
        <v>444</v>
      </c>
      <c r="C89" s="161" t="s">
        <v>408</v>
      </c>
      <c r="D89" s="161" t="s">
        <v>79</v>
      </c>
      <c r="E89" s="163" t="s">
        <v>47</v>
      </c>
      <c r="F89" s="155">
        <v>417</v>
      </c>
      <c r="G89" s="155">
        <f t="shared" si="49"/>
        <v>5004</v>
      </c>
      <c r="H89" s="155">
        <v>70</v>
      </c>
      <c r="I89" s="155"/>
      <c r="J89" s="155">
        <f t="shared" si="50"/>
        <v>417</v>
      </c>
      <c r="K89" s="155">
        <v>300</v>
      </c>
      <c r="L89" s="155"/>
      <c r="M89" s="155"/>
      <c r="N89" s="155">
        <v>30</v>
      </c>
      <c r="O89" s="155">
        <v>100</v>
      </c>
      <c r="P89" s="155">
        <f t="shared" si="51"/>
        <v>474.34</v>
      </c>
      <c r="Q89" s="155"/>
      <c r="R89" s="155">
        <f t="shared" si="52"/>
        <v>36.487692307692306</v>
      </c>
      <c r="S89" s="155"/>
      <c r="T89" s="155"/>
      <c r="U89" s="155">
        <f t="shared" si="53"/>
        <v>406.58</v>
      </c>
      <c r="V89" s="155">
        <f t="shared" si="54"/>
        <v>31.275384615384613</v>
      </c>
      <c r="W89" s="155"/>
      <c r="X89" s="155"/>
      <c r="Y89" s="155">
        <f t="shared" si="55"/>
        <v>880.92</v>
      </c>
      <c r="Z89" s="155">
        <f t="shared" si="56"/>
        <v>54.21</v>
      </c>
      <c r="AA89" s="155">
        <f t="shared" si="57"/>
        <v>4.17</v>
      </c>
      <c r="AB89" s="225"/>
      <c r="AC89" s="225"/>
      <c r="AD89" s="155"/>
      <c r="AE89" s="155"/>
      <c r="AF89" s="155"/>
      <c r="AG89" s="155"/>
      <c r="AH89" s="225"/>
      <c r="AI89" s="225"/>
      <c r="AJ89" s="225"/>
      <c r="AK89" s="155"/>
      <c r="AL89" s="155"/>
    </row>
    <row r="90" spans="1:38" ht="21.9" customHeight="1">
      <c r="A90" s="154">
        <f t="shared" si="48"/>
        <v>63</v>
      </c>
      <c r="B90" s="177" t="s">
        <v>444</v>
      </c>
      <c r="C90" s="161" t="s">
        <v>408</v>
      </c>
      <c r="D90" s="161" t="s">
        <v>79</v>
      </c>
      <c r="E90" s="163" t="s">
        <v>47</v>
      </c>
      <c r="F90" s="155">
        <v>417</v>
      </c>
      <c r="G90" s="155">
        <f t="shared" si="49"/>
        <v>5004</v>
      </c>
      <c r="H90" s="155">
        <v>70</v>
      </c>
      <c r="I90" s="155"/>
      <c r="J90" s="155">
        <f t="shared" si="50"/>
        <v>417</v>
      </c>
      <c r="K90" s="155">
        <v>300</v>
      </c>
      <c r="L90" s="155"/>
      <c r="M90" s="155"/>
      <c r="N90" s="155">
        <v>30</v>
      </c>
      <c r="O90" s="155">
        <v>100</v>
      </c>
      <c r="P90" s="155">
        <f t="shared" si="51"/>
        <v>474.34</v>
      </c>
      <c r="Q90" s="155"/>
      <c r="R90" s="155">
        <f t="shared" si="52"/>
        <v>36.487692307692306</v>
      </c>
      <c r="S90" s="155"/>
      <c r="T90" s="155"/>
      <c r="U90" s="155">
        <f t="shared" si="53"/>
        <v>406.58</v>
      </c>
      <c r="V90" s="155">
        <f t="shared" si="54"/>
        <v>31.275384615384613</v>
      </c>
      <c r="W90" s="155"/>
      <c r="X90" s="155"/>
      <c r="Y90" s="155">
        <f t="shared" si="55"/>
        <v>880.92</v>
      </c>
      <c r="Z90" s="155">
        <f t="shared" si="56"/>
        <v>54.21</v>
      </c>
      <c r="AA90" s="155">
        <f t="shared" si="57"/>
        <v>4.17</v>
      </c>
      <c r="AB90" s="225"/>
      <c r="AC90" s="225"/>
      <c r="AD90" s="155"/>
      <c r="AE90" s="155"/>
      <c r="AF90" s="155"/>
      <c r="AG90" s="155"/>
      <c r="AH90" s="225"/>
      <c r="AI90" s="225"/>
      <c r="AJ90" s="225"/>
      <c r="AK90" s="155"/>
      <c r="AL90" s="155"/>
    </row>
    <row r="91" spans="1:38" ht="21.9" customHeight="1">
      <c r="A91" s="154"/>
      <c r="B91" s="277"/>
      <c r="C91" s="210"/>
      <c r="D91" s="161"/>
      <c r="E91" s="163"/>
      <c r="F91" s="152">
        <f t="shared" ref="F91:Q91" si="58">SUM(F48:F90)</f>
        <v>23462.3</v>
      </c>
      <c r="G91" s="152">
        <f t="shared" si="58"/>
        <v>281547.59999999998</v>
      </c>
      <c r="H91" s="152">
        <f t="shared" si="58"/>
        <v>3010</v>
      </c>
      <c r="I91" s="152">
        <f t="shared" si="58"/>
        <v>0</v>
      </c>
      <c r="J91" s="152">
        <f t="shared" si="58"/>
        <v>23462.3</v>
      </c>
      <c r="K91" s="152">
        <f t="shared" si="58"/>
        <v>12900</v>
      </c>
      <c r="L91" s="152">
        <f t="shared" si="58"/>
        <v>0</v>
      </c>
      <c r="M91" s="152">
        <f t="shared" si="58"/>
        <v>4000</v>
      </c>
      <c r="N91" s="152">
        <f t="shared" si="58"/>
        <v>1290</v>
      </c>
      <c r="O91" s="152">
        <f t="shared" si="58"/>
        <v>4300</v>
      </c>
      <c r="P91" s="152">
        <f t="shared" si="58"/>
        <v>22749.100000000002</v>
      </c>
      <c r="Q91" s="152">
        <f t="shared" si="58"/>
        <v>692.21384615384636</v>
      </c>
      <c r="R91" s="152">
        <f>SUM(R48:R90)+0.04</f>
        <v>1057.7569230769234</v>
      </c>
      <c r="S91" s="152">
        <f>SUM(S48:S90)</f>
        <v>0</v>
      </c>
      <c r="T91" s="152">
        <f>SUM(T48:T90)</f>
        <v>0</v>
      </c>
      <c r="U91" s="152">
        <f>SUM(U48:U90)</f>
        <v>22875.920000000027</v>
      </c>
      <c r="V91" s="152">
        <f>SUM(V48:V90)+0.16</f>
        <v>1759.8461538461538</v>
      </c>
      <c r="W91" s="152">
        <f>SUM(W48:W90)</f>
        <v>2701.2570000000005</v>
      </c>
      <c r="X91" s="152">
        <f>SUM(X48:X90)+0.02</f>
        <v>225.12475000000001</v>
      </c>
      <c r="Y91" s="152">
        <f t="shared" ref="Y91:AL91" si="59">SUM(Y48:Y90)</f>
        <v>48326.276999999973</v>
      </c>
      <c r="Z91" s="152">
        <f t="shared" si="59"/>
        <v>3050.0999999999995</v>
      </c>
      <c r="AA91" s="152">
        <f t="shared" si="59"/>
        <v>234.62307692307667</v>
      </c>
      <c r="AB91" s="152">
        <f t="shared" si="59"/>
        <v>224.03571428571428</v>
      </c>
      <c r="AC91" s="152">
        <f t="shared" si="59"/>
        <v>17.36</v>
      </c>
      <c r="AD91" s="152">
        <f t="shared" si="59"/>
        <v>0</v>
      </c>
      <c r="AE91" s="152">
        <f t="shared" si="59"/>
        <v>16.8</v>
      </c>
      <c r="AF91" s="152">
        <f t="shared" si="59"/>
        <v>0</v>
      </c>
      <c r="AG91" s="152">
        <f t="shared" si="59"/>
        <v>34.159999999999997</v>
      </c>
      <c r="AH91" s="152">
        <f t="shared" si="59"/>
        <v>2.2403571428571429</v>
      </c>
      <c r="AI91" s="152">
        <f t="shared" si="59"/>
        <v>0</v>
      </c>
      <c r="AJ91" s="152">
        <f t="shared" si="59"/>
        <v>0</v>
      </c>
      <c r="AK91" s="152">
        <f t="shared" si="59"/>
        <v>0</v>
      </c>
      <c r="AL91" s="152">
        <f t="shared" si="59"/>
        <v>0</v>
      </c>
    </row>
    <row r="92" spans="1:38" ht="21.9" customHeight="1">
      <c r="A92" s="154">
        <f>A90+1</f>
        <v>64</v>
      </c>
      <c r="B92" s="177" t="s">
        <v>394</v>
      </c>
      <c r="C92" s="208" t="s">
        <v>395</v>
      </c>
      <c r="D92" s="182" t="s">
        <v>79</v>
      </c>
      <c r="E92" s="174" t="s">
        <v>47</v>
      </c>
      <c r="F92" s="155">
        <v>1025</v>
      </c>
      <c r="G92" s="155">
        <f t="shared" ref="G92:G97" si="60">F92*12</f>
        <v>12300</v>
      </c>
      <c r="H92" s="155">
        <v>70</v>
      </c>
      <c r="I92" s="155"/>
      <c r="J92" s="155">
        <f t="shared" ref="J92:J97" si="61">F92</f>
        <v>1025</v>
      </c>
      <c r="K92" s="155">
        <v>300</v>
      </c>
      <c r="L92" s="155"/>
      <c r="M92" s="155"/>
      <c r="N92" s="155">
        <v>30</v>
      </c>
      <c r="O92" s="155">
        <v>100</v>
      </c>
      <c r="P92" s="155">
        <f t="shared" si="44"/>
        <v>1165.94</v>
      </c>
      <c r="Q92" s="226"/>
      <c r="R92" s="155">
        <f>P92/13</f>
        <v>89.687692307692316</v>
      </c>
      <c r="S92" s="155"/>
      <c r="T92" s="155"/>
      <c r="U92" s="155">
        <f>75*13</f>
        <v>975</v>
      </c>
      <c r="V92" s="155">
        <f t="shared" ref="V92:V97" si="62">U92/13</f>
        <v>75</v>
      </c>
      <c r="W92" s="155"/>
      <c r="X92" s="155"/>
      <c r="Y92" s="155">
        <f t="shared" ref="Y92:Y97" si="63">P92+S92+U92+W92</f>
        <v>2140.94</v>
      </c>
      <c r="Z92" s="155">
        <f t="shared" ref="Z92:Z97" si="64">ROUND(F92*0.01*13,2)</f>
        <v>133.25</v>
      </c>
      <c r="AA92" s="155">
        <f t="shared" ref="AA92:AA97" si="65">Z92/13</f>
        <v>10.25</v>
      </c>
      <c r="AB92" s="225"/>
      <c r="AC92" s="225"/>
      <c r="AD92" s="155"/>
      <c r="AE92" s="225"/>
      <c r="AF92" s="155"/>
      <c r="AG92" s="155"/>
      <c r="AH92" s="225"/>
      <c r="AI92" s="225"/>
      <c r="AJ92" s="225"/>
      <c r="AK92" s="225"/>
      <c r="AL92" s="155"/>
    </row>
    <row r="93" spans="1:38" ht="21.9" customHeight="1">
      <c r="A93" s="154">
        <f>A92+1</f>
        <v>65</v>
      </c>
      <c r="B93" s="193" t="s">
        <v>143</v>
      </c>
      <c r="C93" s="208" t="s">
        <v>395</v>
      </c>
      <c r="D93" s="182" t="s">
        <v>79</v>
      </c>
      <c r="E93" s="190" t="s">
        <v>47</v>
      </c>
      <c r="F93" s="187">
        <v>500</v>
      </c>
      <c r="G93" s="155">
        <f t="shared" si="60"/>
        <v>6000</v>
      </c>
      <c r="H93" s="155">
        <v>70</v>
      </c>
      <c r="I93" s="155"/>
      <c r="J93" s="155">
        <f t="shared" si="61"/>
        <v>500</v>
      </c>
      <c r="K93" s="155">
        <v>300</v>
      </c>
      <c r="L93" s="155"/>
      <c r="M93" s="155"/>
      <c r="N93" s="155">
        <v>30</v>
      </c>
      <c r="O93" s="155">
        <v>100</v>
      </c>
      <c r="P93" s="155">
        <f t="shared" ref="P93" si="66">ROUND(F93*0.0875*13,2)</f>
        <v>568.75</v>
      </c>
      <c r="Q93" s="155">
        <f>P93/13</f>
        <v>43.75</v>
      </c>
      <c r="R93" s="155"/>
      <c r="S93" s="155"/>
      <c r="T93" s="155"/>
      <c r="U93" s="155">
        <f>75*13</f>
        <v>975</v>
      </c>
      <c r="V93" s="155">
        <f t="shared" si="62"/>
        <v>75</v>
      </c>
      <c r="W93" s="155"/>
      <c r="X93" s="155"/>
      <c r="Y93" s="155">
        <f t="shared" si="63"/>
        <v>1543.75</v>
      </c>
      <c r="Z93" s="155">
        <f t="shared" si="64"/>
        <v>65</v>
      </c>
      <c r="AA93" s="155">
        <f t="shared" si="65"/>
        <v>5</v>
      </c>
      <c r="AB93" s="225"/>
      <c r="AC93" s="225"/>
      <c r="AD93" s="155"/>
      <c r="AE93" s="225"/>
      <c r="AF93" s="155"/>
      <c r="AG93" s="155"/>
      <c r="AH93" s="225"/>
      <c r="AI93" s="225"/>
      <c r="AJ93" s="225"/>
      <c r="AK93" s="225"/>
      <c r="AL93" s="155"/>
    </row>
    <row r="94" spans="1:38" ht="21.9" customHeight="1">
      <c r="A94" s="154">
        <f>A93+1</f>
        <v>66</v>
      </c>
      <c r="B94" s="177" t="s">
        <v>631</v>
      </c>
      <c r="C94" s="208" t="s">
        <v>395</v>
      </c>
      <c r="D94" s="182" t="s">
        <v>79</v>
      </c>
      <c r="E94" s="174" t="s">
        <v>47</v>
      </c>
      <c r="F94" s="155">
        <v>700</v>
      </c>
      <c r="G94" s="155">
        <f t="shared" si="60"/>
        <v>8400</v>
      </c>
      <c r="H94" s="155">
        <v>70</v>
      </c>
      <c r="I94" s="155"/>
      <c r="J94" s="155">
        <f t="shared" si="61"/>
        <v>700</v>
      </c>
      <c r="K94" s="155">
        <v>300</v>
      </c>
      <c r="L94" s="155"/>
      <c r="M94" s="155">
        <v>125</v>
      </c>
      <c r="N94" s="155">
        <v>30</v>
      </c>
      <c r="O94" s="155">
        <v>100</v>
      </c>
      <c r="P94" s="155">
        <f t="shared" si="44"/>
        <v>796.25</v>
      </c>
      <c r="Q94" s="155">
        <f>P94/13</f>
        <v>61.25</v>
      </c>
      <c r="R94" s="155"/>
      <c r="S94" s="155"/>
      <c r="T94" s="155"/>
      <c r="U94" s="155">
        <f>ROUND(F94*0.075*13,2)</f>
        <v>682.5</v>
      </c>
      <c r="V94" s="155">
        <f t="shared" si="62"/>
        <v>52.5</v>
      </c>
      <c r="W94" s="155"/>
      <c r="X94" s="155"/>
      <c r="Y94" s="155">
        <f t="shared" si="63"/>
        <v>1478.75</v>
      </c>
      <c r="Z94" s="155">
        <f t="shared" si="64"/>
        <v>91</v>
      </c>
      <c r="AA94" s="155">
        <f t="shared" si="65"/>
        <v>7</v>
      </c>
      <c r="AB94" s="225"/>
      <c r="AC94" s="225"/>
      <c r="AD94" s="155"/>
      <c r="AE94" s="225"/>
      <c r="AF94" s="155"/>
      <c r="AG94" s="155"/>
      <c r="AH94" s="225"/>
      <c r="AI94" s="225"/>
      <c r="AJ94" s="225"/>
      <c r="AK94" s="225"/>
      <c r="AL94" s="155"/>
    </row>
    <row r="95" spans="1:38" ht="21.9" customHeight="1">
      <c r="A95" s="154">
        <f t="shared" ref="A95:A97" si="67">A94+1</f>
        <v>67</v>
      </c>
      <c r="B95" s="177" t="s">
        <v>135</v>
      </c>
      <c r="C95" s="208" t="s">
        <v>395</v>
      </c>
      <c r="D95" s="182" t="s">
        <v>79</v>
      </c>
      <c r="E95" s="174" t="s">
        <v>47</v>
      </c>
      <c r="F95" s="155">
        <v>500</v>
      </c>
      <c r="G95" s="155">
        <f t="shared" si="60"/>
        <v>6000</v>
      </c>
      <c r="H95" s="155">
        <v>70</v>
      </c>
      <c r="I95" s="155"/>
      <c r="J95" s="155">
        <f t="shared" si="61"/>
        <v>500</v>
      </c>
      <c r="K95" s="155">
        <v>300</v>
      </c>
      <c r="L95" s="155"/>
      <c r="M95" s="155">
        <v>125</v>
      </c>
      <c r="N95" s="155">
        <v>30</v>
      </c>
      <c r="O95" s="155">
        <v>100</v>
      </c>
      <c r="P95" s="155">
        <f t="shared" si="44"/>
        <v>568.75</v>
      </c>
      <c r="Q95" s="155">
        <f>P95/13</f>
        <v>43.75</v>
      </c>
      <c r="R95" s="155"/>
      <c r="S95" s="155"/>
      <c r="T95" s="155"/>
      <c r="U95" s="155">
        <f>ROUND(F95*0.075*13,2)</f>
        <v>487.5</v>
      </c>
      <c r="V95" s="155">
        <f t="shared" si="62"/>
        <v>37.5</v>
      </c>
      <c r="W95" s="155"/>
      <c r="X95" s="155"/>
      <c r="Y95" s="155">
        <f t="shared" si="63"/>
        <v>1056.25</v>
      </c>
      <c r="Z95" s="155">
        <f t="shared" si="64"/>
        <v>65</v>
      </c>
      <c r="AA95" s="155">
        <f t="shared" si="65"/>
        <v>5</v>
      </c>
      <c r="AB95" s="225"/>
      <c r="AC95" s="225"/>
      <c r="AD95" s="155"/>
      <c r="AE95" s="225"/>
      <c r="AF95" s="155"/>
      <c r="AG95" s="155"/>
      <c r="AH95" s="225"/>
      <c r="AI95" s="225"/>
      <c r="AJ95" s="225"/>
      <c r="AK95" s="225"/>
      <c r="AL95" s="155"/>
    </row>
    <row r="96" spans="1:38" ht="21.9" customHeight="1">
      <c r="A96" s="154">
        <f t="shared" si="67"/>
        <v>68</v>
      </c>
      <c r="B96" s="211" t="s">
        <v>137</v>
      </c>
      <c r="C96" s="208" t="s">
        <v>395</v>
      </c>
      <c r="D96" s="182" t="s">
        <v>79</v>
      </c>
      <c r="E96" s="174" t="s">
        <v>47</v>
      </c>
      <c r="F96" s="155">
        <v>417</v>
      </c>
      <c r="G96" s="155">
        <f t="shared" si="60"/>
        <v>5004</v>
      </c>
      <c r="H96" s="155">
        <v>70</v>
      </c>
      <c r="I96" s="155"/>
      <c r="J96" s="155">
        <f t="shared" si="61"/>
        <v>417</v>
      </c>
      <c r="K96" s="155">
        <v>300</v>
      </c>
      <c r="L96" s="155"/>
      <c r="M96" s="155">
        <v>125</v>
      </c>
      <c r="N96" s="155">
        <v>30</v>
      </c>
      <c r="O96" s="155">
        <v>100</v>
      </c>
      <c r="P96" s="155">
        <f t="shared" si="44"/>
        <v>474.34</v>
      </c>
      <c r="Q96" s="155">
        <f>P96/13</f>
        <v>36.487692307692306</v>
      </c>
      <c r="R96" s="155"/>
      <c r="S96" s="155"/>
      <c r="T96" s="155"/>
      <c r="U96" s="155">
        <f>ROUND(F96*0.075*13,2)</f>
        <v>406.58</v>
      </c>
      <c r="V96" s="155">
        <f t="shared" si="62"/>
        <v>31.275384615384613</v>
      </c>
      <c r="W96" s="155"/>
      <c r="X96" s="155"/>
      <c r="Y96" s="155">
        <f t="shared" si="63"/>
        <v>880.92</v>
      </c>
      <c r="Z96" s="155">
        <f t="shared" si="64"/>
        <v>54.21</v>
      </c>
      <c r="AA96" s="155">
        <f t="shared" si="65"/>
        <v>4.17</v>
      </c>
      <c r="AB96" s="225"/>
      <c r="AC96" s="225"/>
      <c r="AD96" s="155"/>
      <c r="AE96" s="155"/>
      <c r="AF96" s="155"/>
      <c r="AG96" s="155"/>
      <c r="AH96" s="225"/>
      <c r="AI96" s="225"/>
      <c r="AJ96" s="225"/>
      <c r="AK96" s="225"/>
      <c r="AL96" s="155"/>
    </row>
    <row r="97" spans="1:38" ht="21.9" customHeight="1">
      <c r="A97" s="154">
        <f t="shared" si="67"/>
        <v>69</v>
      </c>
      <c r="B97" s="210" t="s">
        <v>137</v>
      </c>
      <c r="C97" s="208" t="s">
        <v>395</v>
      </c>
      <c r="D97" s="182" t="s">
        <v>79</v>
      </c>
      <c r="E97" s="174" t="s">
        <v>47</v>
      </c>
      <c r="F97" s="155">
        <v>417</v>
      </c>
      <c r="G97" s="155">
        <f t="shared" si="60"/>
        <v>5004</v>
      </c>
      <c r="H97" s="155">
        <v>70</v>
      </c>
      <c r="I97" s="155"/>
      <c r="J97" s="155">
        <f t="shared" si="61"/>
        <v>417</v>
      </c>
      <c r="K97" s="155">
        <v>300</v>
      </c>
      <c r="L97" s="155"/>
      <c r="M97" s="155"/>
      <c r="N97" s="155">
        <v>30</v>
      </c>
      <c r="O97" s="155">
        <v>100</v>
      </c>
      <c r="P97" s="155">
        <f t="shared" si="44"/>
        <v>474.34</v>
      </c>
      <c r="Q97" s="155">
        <f>P97/13</f>
        <v>36.487692307692306</v>
      </c>
      <c r="R97" s="155"/>
      <c r="S97" s="155"/>
      <c r="T97" s="155"/>
      <c r="U97" s="155">
        <f>ROUND(F97*0.075*13,2)</f>
        <v>406.58</v>
      </c>
      <c r="V97" s="155">
        <f t="shared" si="62"/>
        <v>31.275384615384613</v>
      </c>
      <c r="W97" s="155"/>
      <c r="X97" s="155"/>
      <c r="Y97" s="155">
        <f t="shared" si="63"/>
        <v>880.92</v>
      </c>
      <c r="Z97" s="155">
        <f t="shared" si="64"/>
        <v>54.21</v>
      </c>
      <c r="AA97" s="155">
        <f t="shared" si="65"/>
        <v>4.17</v>
      </c>
      <c r="AB97" s="225"/>
      <c r="AC97" s="225"/>
      <c r="AD97" s="155"/>
      <c r="AE97" s="155"/>
      <c r="AF97" s="155"/>
      <c r="AG97" s="155"/>
      <c r="AH97" s="225"/>
      <c r="AI97" s="225"/>
      <c r="AJ97" s="225"/>
      <c r="AK97" s="225"/>
      <c r="AL97" s="155"/>
    </row>
    <row r="98" spans="1:38" ht="21.9" customHeight="1">
      <c r="A98" s="154"/>
      <c r="B98" s="277"/>
      <c r="C98" s="210"/>
      <c r="D98" s="161"/>
      <c r="E98" s="163"/>
      <c r="F98" s="152">
        <f t="shared" ref="F98:O98" si="68">SUM(F92:F97)</f>
        <v>3559</v>
      </c>
      <c r="G98" s="152">
        <f t="shared" si="68"/>
        <v>42708</v>
      </c>
      <c r="H98" s="152">
        <f t="shared" si="68"/>
        <v>420</v>
      </c>
      <c r="I98" s="152">
        <f t="shared" si="68"/>
        <v>0</v>
      </c>
      <c r="J98" s="152">
        <f t="shared" si="68"/>
        <v>3559</v>
      </c>
      <c r="K98" s="152">
        <f t="shared" si="68"/>
        <v>1800</v>
      </c>
      <c r="L98" s="152">
        <f t="shared" si="68"/>
        <v>0</v>
      </c>
      <c r="M98" s="152">
        <f t="shared" si="68"/>
        <v>375</v>
      </c>
      <c r="N98" s="152">
        <f t="shared" si="68"/>
        <v>180</v>
      </c>
      <c r="O98" s="152">
        <f t="shared" si="68"/>
        <v>600</v>
      </c>
      <c r="P98" s="152">
        <f t="shared" ref="P98:U98" si="69">SUM(P92:P97)</f>
        <v>4048.3700000000003</v>
      </c>
      <c r="Q98" s="152">
        <f t="shared" si="69"/>
        <v>221.7253846153846</v>
      </c>
      <c r="R98" s="152">
        <f t="shared" si="69"/>
        <v>89.687692307692316</v>
      </c>
      <c r="S98" s="152">
        <f t="shared" si="69"/>
        <v>0</v>
      </c>
      <c r="T98" s="152">
        <f t="shared" si="69"/>
        <v>0</v>
      </c>
      <c r="U98" s="152">
        <f t="shared" si="69"/>
        <v>3933.16</v>
      </c>
      <c r="V98" s="152">
        <f>SUM(V92:V97)+0.01</f>
        <v>302.56076923076921</v>
      </c>
      <c r="W98" s="152">
        <f>SUM(W92:X97)</f>
        <v>0</v>
      </c>
      <c r="X98" s="152">
        <f>SUM(X92:X97)</f>
        <v>0</v>
      </c>
      <c r="Y98" s="152">
        <f>SUM(Y92:Y97)</f>
        <v>7981.5300000000007</v>
      </c>
      <c r="Z98" s="152">
        <f>SUM(Z92:Z97)</f>
        <v>462.66999999999996</v>
      </c>
      <c r="AA98" s="152">
        <f>SUM(AA92:AA97)</f>
        <v>35.590000000000003</v>
      </c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</row>
    <row r="99" spans="1:38" ht="21.9" customHeight="1">
      <c r="A99" s="154">
        <f>A97+1</f>
        <v>70</v>
      </c>
      <c r="B99" s="177" t="s">
        <v>198</v>
      </c>
      <c r="C99" s="161" t="s">
        <v>199</v>
      </c>
      <c r="D99" s="161" t="s">
        <v>79</v>
      </c>
      <c r="E99" s="163" t="s">
        <v>47</v>
      </c>
      <c r="F99" s="155">
        <v>800</v>
      </c>
      <c r="G99" s="155">
        <f>F99*12</f>
        <v>9600</v>
      </c>
      <c r="H99" s="155">
        <v>70</v>
      </c>
      <c r="I99" s="155"/>
      <c r="J99" s="155">
        <f>F99</f>
        <v>800</v>
      </c>
      <c r="K99" s="155">
        <v>300</v>
      </c>
      <c r="L99" s="155"/>
      <c r="M99" s="155">
        <v>125</v>
      </c>
      <c r="N99" s="155">
        <v>30</v>
      </c>
      <c r="O99" s="155">
        <v>100</v>
      </c>
      <c r="P99" s="155">
        <f t="shared" si="44"/>
        <v>910</v>
      </c>
      <c r="Q99" s="155">
        <f>P99/13</f>
        <v>70</v>
      </c>
      <c r="R99" s="155"/>
      <c r="S99" s="155"/>
      <c r="T99" s="155"/>
      <c r="U99" s="155">
        <f>ROUND(F99*0.075*13,2)</f>
        <v>780</v>
      </c>
      <c r="V99" s="155">
        <f>U99/13</f>
        <v>60</v>
      </c>
      <c r="W99" s="155"/>
      <c r="X99" s="155"/>
      <c r="Y99" s="155">
        <f>P99+S99+U99+W99</f>
        <v>1690</v>
      </c>
      <c r="Z99" s="155">
        <f>ROUND(F99*0.01*13,2)</f>
        <v>104</v>
      </c>
      <c r="AA99" s="155">
        <f>Z99/13</f>
        <v>8</v>
      </c>
      <c r="AB99" s="225"/>
      <c r="AC99" s="225"/>
      <c r="AD99" s="155"/>
      <c r="AE99" s="225"/>
      <c r="AF99" s="155"/>
      <c r="AG99" s="155"/>
      <c r="AH99" s="225"/>
      <c r="AI99" s="225"/>
      <c r="AJ99" s="225"/>
      <c r="AK99" s="225"/>
      <c r="AL99" s="155"/>
    </row>
    <row r="100" spans="1:38" ht="21.9" customHeight="1">
      <c r="A100" s="154">
        <f>A99+1</f>
        <v>71</v>
      </c>
      <c r="B100" s="176" t="s">
        <v>201</v>
      </c>
      <c r="C100" s="161" t="s">
        <v>199</v>
      </c>
      <c r="D100" s="161" t="s">
        <v>79</v>
      </c>
      <c r="E100" s="163" t="s">
        <v>47</v>
      </c>
      <c r="F100" s="155">
        <f>567+30+50+50</f>
        <v>697</v>
      </c>
      <c r="G100" s="155">
        <f>F100*12</f>
        <v>8364</v>
      </c>
      <c r="H100" s="155">
        <v>70</v>
      </c>
      <c r="I100" s="155"/>
      <c r="J100" s="155">
        <f>F100</f>
        <v>697</v>
      </c>
      <c r="K100" s="155">
        <v>300</v>
      </c>
      <c r="L100" s="155"/>
      <c r="M100" s="155">
        <v>125</v>
      </c>
      <c r="N100" s="155">
        <v>30</v>
      </c>
      <c r="O100" s="155">
        <v>100</v>
      </c>
      <c r="P100" s="155"/>
      <c r="Q100" s="282"/>
      <c r="R100" s="155"/>
      <c r="S100" s="155"/>
      <c r="T100" s="155"/>
      <c r="U100" s="155">
        <f>ROUND(F100*0.075*13,2)</f>
        <v>679.58</v>
      </c>
      <c r="V100" s="155">
        <f>U100/13</f>
        <v>52.275384615384617</v>
      </c>
      <c r="W100" s="155">
        <f>F100*0.06*13</f>
        <v>543.66</v>
      </c>
      <c r="X100" s="155">
        <v>34.020000000000003</v>
      </c>
      <c r="Y100" s="155">
        <f>P100+S100+U100+W100</f>
        <v>1223.24</v>
      </c>
      <c r="Z100" s="155">
        <f>ROUND(F100*0.01*13,2)</f>
        <v>90.61</v>
      </c>
      <c r="AA100" s="155">
        <f>Z100/13</f>
        <v>6.97</v>
      </c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</row>
    <row r="101" spans="1:38" ht="21.9" customHeight="1">
      <c r="A101" s="154">
        <f t="shared" ref="A101:A103" si="70">A100+1</f>
        <v>72</v>
      </c>
      <c r="B101" s="176" t="s">
        <v>123</v>
      </c>
      <c r="C101" s="161" t="s">
        <v>199</v>
      </c>
      <c r="D101" s="161" t="s">
        <v>79</v>
      </c>
      <c r="E101" s="163" t="s">
        <v>47</v>
      </c>
      <c r="F101" s="155">
        <f>567+30+50+50</f>
        <v>697</v>
      </c>
      <c r="G101" s="155">
        <f>F101*12</f>
        <v>8364</v>
      </c>
      <c r="H101" s="155">
        <v>70</v>
      </c>
      <c r="I101" s="155"/>
      <c r="J101" s="155">
        <f>F101</f>
        <v>697</v>
      </c>
      <c r="K101" s="155">
        <v>300</v>
      </c>
      <c r="L101" s="155"/>
      <c r="M101" s="155"/>
      <c r="N101" s="155">
        <v>30</v>
      </c>
      <c r="O101" s="155">
        <v>100</v>
      </c>
      <c r="P101" s="155">
        <f t="shared" si="44"/>
        <v>792.84</v>
      </c>
      <c r="Q101" s="226"/>
      <c r="R101" s="155">
        <f>P101/13</f>
        <v>60.987692307692313</v>
      </c>
      <c r="S101" s="155"/>
      <c r="T101" s="155"/>
      <c r="U101" s="155">
        <f>ROUND(F101*0.075*13,2)</f>
        <v>679.58</v>
      </c>
      <c r="V101" s="155">
        <f>U101/13</f>
        <v>52.275384615384617</v>
      </c>
      <c r="W101" s="155"/>
      <c r="X101" s="155"/>
      <c r="Y101" s="155">
        <f>P101+S101+U101+W101</f>
        <v>1472.42</v>
      </c>
      <c r="Z101" s="155">
        <f>ROUND(F101*0.01*13,2)</f>
        <v>90.61</v>
      </c>
      <c r="AA101" s="155">
        <f>Z101/13</f>
        <v>6.97</v>
      </c>
      <c r="AB101" s="225"/>
      <c r="AC101" s="225"/>
      <c r="AD101" s="155"/>
      <c r="AE101" s="225"/>
      <c r="AF101" s="155"/>
      <c r="AG101" s="155"/>
      <c r="AH101" s="225"/>
      <c r="AI101" s="225"/>
      <c r="AJ101" s="225"/>
      <c r="AK101" s="225"/>
      <c r="AL101" s="155"/>
    </row>
    <row r="102" spans="1:38" ht="21.9" customHeight="1">
      <c r="A102" s="154">
        <f>A101+1</f>
        <v>73</v>
      </c>
      <c r="B102" s="168" t="s">
        <v>754</v>
      </c>
      <c r="C102" s="189" t="s">
        <v>766</v>
      </c>
      <c r="D102" s="203" t="s">
        <v>79</v>
      </c>
      <c r="E102" s="190" t="s">
        <v>47</v>
      </c>
      <c r="F102" s="155">
        <v>900</v>
      </c>
      <c r="G102" s="155">
        <f>F102*12</f>
        <v>10800</v>
      </c>
      <c r="H102" s="155">
        <v>70</v>
      </c>
      <c r="I102" s="155"/>
      <c r="J102" s="155">
        <f>F102</f>
        <v>900</v>
      </c>
      <c r="K102" s="155">
        <v>300</v>
      </c>
      <c r="L102" s="155"/>
      <c r="M102" s="155"/>
      <c r="N102" s="155">
        <v>30</v>
      </c>
      <c r="O102" s="155">
        <v>100</v>
      </c>
      <c r="P102" s="155">
        <f t="shared" ref="P102" si="71">ROUND(F102*0.0875*13,2)</f>
        <v>1023.75</v>
      </c>
      <c r="Q102" s="226"/>
      <c r="R102" s="155">
        <f>P102/13</f>
        <v>78.75</v>
      </c>
      <c r="S102" s="155"/>
      <c r="T102" s="155"/>
      <c r="U102" s="155">
        <f>ROUND(F102*0.075*13,2)</f>
        <v>877.5</v>
      </c>
      <c r="V102" s="155">
        <f>U102/13</f>
        <v>67.5</v>
      </c>
      <c r="W102" s="155"/>
      <c r="X102" s="155"/>
      <c r="Y102" s="155">
        <f>P102+S102+U102+W102</f>
        <v>1901.25</v>
      </c>
      <c r="Z102" s="155">
        <f>ROUND(F102*0.01*13,2)</f>
        <v>117</v>
      </c>
      <c r="AA102" s="155">
        <f>Z102/13</f>
        <v>9</v>
      </c>
      <c r="AB102" s="225"/>
      <c r="AC102" s="225"/>
      <c r="AD102" s="155"/>
      <c r="AE102" s="225"/>
      <c r="AF102" s="155"/>
      <c r="AG102" s="155"/>
      <c r="AH102" s="225"/>
      <c r="AI102" s="225"/>
      <c r="AJ102" s="225"/>
      <c r="AK102" s="225"/>
      <c r="AL102" s="155"/>
    </row>
    <row r="103" spans="1:38" ht="21.9" customHeight="1">
      <c r="A103" s="154">
        <f t="shared" si="70"/>
        <v>74</v>
      </c>
      <c r="B103" s="141" t="s">
        <v>755</v>
      </c>
      <c r="C103" s="189" t="s">
        <v>766</v>
      </c>
      <c r="D103" s="203" t="s">
        <v>79</v>
      </c>
      <c r="E103" s="190" t="s">
        <v>47</v>
      </c>
      <c r="F103" s="155">
        <v>417</v>
      </c>
      <c r="G103" s="155">
        <f>F103*12</f>
        <v>5004</v>
      </c>
      <c r="H103" s="155">
        <v>70</v>
      </c>
      <c r="I103" s="155"/>
      <c r="J103" s="155">
        <f>F103</f>
        <v>417</v>
      </c>
      <c r="K103" s="155">
        <v>300</v>
      </c>
      <c r="L103" s="155"/>
      <c r="M103" s="155">
        <v>125</v>
      </c>
      <c r="N103" s="155">
        <v>30</v>
      </c>
      <c r="O103" s="155">
        <v>100</v>
      </c>
      <c r="P103" s="155">
        <f t="shared" si="44"/>
        <v>474.34</v>
      </c>
      <c r="Q103" s="226"/>
      <c r="R103" s="155">
        <f>P103/13</f>
        <v>36.487692307692306</v>
      </c>
      <c r="S103" s="155"/>
      <c r="T103" s="155"/>
      <c r="U103" s="155">
        <f>ROUND(F103*0.075*13,2)</f>
        <v>406.58</v>
      </c>
      <c r="V103" s="155">
        <f>U103/13</f>
        <v>31.275384615384613</v>
      </c>
      <c r="W103" s="155"/>
      <c r="X103" s="155"/>
      <c r="Y103" s="155">
        <f>P103+S103+U103+W103</f>
        <v>880.92</v>
      </c>
      <c r="Z103" s="155">
        <f>ROUND(F103*0.01*13,2)</f>
        <v>54.21</v>
      </c>
      <c r="AA103" s="155">
        <f>Z103/13</f>
        <v>4.17</v>
      </c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</row>
    <row r="104" spans="1:38" ht="21.9" customHeight="1">
      <c r="A104" s="164"/>
      <c r="B104" s="277"/>
      <c r="C104" s="210"/>
      <c r="D104" s="161"/>
      <c r="E104" s="163"/>
      <c r="F104" s="152">
        <f>SUM(F99:F103)</f>
        <v>3511</v>
      </c>
      <c r="G104" s="152">
        <f t="shared" ref="G104:AL104" si="72">SUM(G99:G103)</f>
        <v>42132</v>
      </c>
      <c r="H104" s="152">
        <f t="shared" si="72"/>
        <v>350</v>
      </c>
      <c r="I104" s="152">
        <f t="shared" si="72"/>
        <v>0</v>
      </c>
      <c r="J104" s="152">
        <f t="shared" si="72"/>
        <v>3511</v>
      </c>
      <c r="K104" s="152">
        <f t="shared" si="72"/>
        <v>1500</v>
      </c>
      <c r="L104" s="152">
        <f t="shared" si="72"/>
        <v>0</v>
      </c>
      <c r="M104" s="152">
        <f t="shared" si="72"/>
        <v>375</v>
      </c>
      <c r="N104" s="152">
        <f t="shared" si="72"/>
        <v>150</v>
      </c>
      <c r="O104" s="152">
        <f t="shared" si="72"/>
        <v>500</v>
      </c>
      <c r="P104" s="152">
        <f t="shared" si="72"/>
        <v>3200.9300000000003</v>
      </c>
      <c r="Q104" s="152">
        <f t="shared" si="72"/>
        <v>70</v>
      </c>
      <c r="R104" s="152">
        <f t="shared" si="72"/>
        <v>176.22538461538463</v>
      </c>
      <c r="S104" s="152">
        <f t="shared" si="72"/>
        <v>0</v>
      </c>
      <c r="T104" s="152">
        <f t="shared" si="72"/>
        <v>0</v>
      </c>
      <c r="U104" s="152">
        <f t="shared" si="72"/>
        <v>3423.24</v>
      </c>
      <c r="V104" s="152">
        <f t="shared" si="72"/>
        <v>263.32615384615383</v>
      </c>
      <c r="W104" s="152">
        <f t="shared" si="72"/>
        <v>543.66</v>
      </c>
      <c r="X104" s="152">
        <f t="shared" si="72"/>
        <v>34.020000000000003</v>
      </c>
      <c r="Y104" s="152">
        <f t="shared" si="72"/>
        <v>7167.83</v>
      </c>
      <c r="Z104" s="152">
        <f t="shared" si="72"/>
        <v>456.43</v>
      </c>
      <c r="AA104" s="152">
        <f t="shared" si="72"/>
        <v>35.11</v>
      </c>
      <c r="AB104" s="152">
        <f t="shared" si="72"/>
        <v>0</v>
      </c>
      <c r="AC104" s="152">
        <f t="shared" si="72"/>
        <v>0</v>
      </c>
      <c r="AD104" s="152">
        <f t="shared" si="72"/>
        <v>0</v>
      </c>
      <c r="AE104" s="152">
        <f t="shared" si="72"/>
        <v>0</v>
      </c>
      <c r="AF104" s="152">
        <f t="shared" si="72"/>
        <v>0</v>
      </c>
      <c r="AG104" s="152">
        <f t="shared" si="72"/>
        <v>0</v>
      </c>
      <c r="AH104" s="152">
        <f t="shared" si="72"/>
        <v>0</v>
      </c>
      <c r="AI104" s="152">
        <f t="shared" si="72"/>
        <v>0</v>
      </c>
      <c r="AJ104" s="152">
        <f t="shared" si="72"/>
        <v>0</v>
      </c>
      <c r="AK104" s="152">
        <f t="shared" si="72"/>
        <v>0</v>
      </c>
      <c r="AL104" s="152">
        <f t="shared" si="72"/>
        <v>0</v>
      </c>
    </row>
    <row r="105" spans="1:38" ht="21.9" customHeight="1">
      <c r="A105" s="154">
        <f>A103+1</f>
        <v>75</v>
      </c>
      <c r="B105" s="178" t="s">
        <v>690</v>
      </c>
      <c r="C105" s="161" t="s">
        <v>116</v>
      </c>
      <c r="D105" s="161" t="s">
        <v>79</v>
      </c>
      <c r="E105" s="163" t="s">
        <v>47</v>
      </c>
      <c r="F105" s="155">
        <v>700</v>
      </c>
      <c r="G105" s="155">
        <f>F105*12</f>
        <v>8400</v>
      </c>
      <c r="H105" s="155">
        <v>70</v>
      </c>
      <c r="I105" s="155"/>
      <c r="J105" s="155">
        <f>F105</f>
        <v>700</v>
      </c>
      <c r="K105" s="155">
        <v>300</v>
      </c>
      <c r="L105" s="155"/>
      <c r="M105" s="155">
        <v>125</v>
      </c>
      <c r="N105" s="155">
        <v>30</v>
      </c>
      <c r="O105" s="155">
        <v>100</v>
      </c>
      <c r="P105" s="155">
        <f t="shared" si="44"/>
        <v>796.25</v>
      </c>
      <c r="Q105" s="155"/>
      <c r="R105" s="155">
        <f>P105/13</f>
        <v>61.25</v>
      </c>
      <c r="S105" s="155"/>
      <c r="T105" s="155"/>
      <c r="U105" s="155">
        <f>ROUND(F105*0.075*13,2)</f>
        <v>682.5</v>
      </c>
      <c r="V105" s="155">
        <f>U105/13</f>
        <v>52.5</v>
      </c>
      <c r="W105" s="155"/>
      <c r="X105" s="155"/>
      <c r="Y105" s="155">
        <f>P105+S105+U105+W105</f>
        <v>1478.75</v>
      </c>
      <c r="Z105" s="155">
        <f>ROUND(F105*0.01*13,2)</f>
        <v>91</v>
      </c>
      <c r="AA105" s="155">
        <f>Z105/13</f>
        <v>7</v>
      </c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</row>
    <row r="106" spans="1:38" ht="21.9" customHeight="1">
      <c r="A106" s="154">
        <f>A105+1</f>
        <v>76</v>
      </c>
      <c r="B106" s="178" t="s">
        <v>91</v>
      </c>
      <c r="C106" s="161" t="s">
        <v>116</v>
      </c>
      <c r="D106" s="161" t="s">
        <v>79</v>
      </c>
      <c r="E106" s="163" t="s">
        <v>47</v>
      </c>
      <c r="F106" s="155">
        <v>517</v>
      </c>
      <c r="G106" s="155">
        <f>F106*12</f>
        <v>6204</v>
      </c>
      <c r="H106" s="155">
        <v>70</v>
      </c>
      <c r="I106" s="155"/>
      <c r="J106" s="155">
        <f>F106</f>
        <v>517</v>
      </c>
      <c r="K106" s="155">
        <v>300</v>
      </c>
      <c r="L106" s="155"/>
      <c r="M106" s="155"/>
      <c r="N106" s="155">
        <v>30</v>
      </c>
      <c r="O106" s="155">
        <v>100</v>
      </c>
      <c r="P106" s="155">
        <f t="shared" si="44"/>
        <v>588.09</v>
      </c>
      <c r="Q106" s="155">
        <f>P106/13</f>
        <v>45.237692307692313</v>
      </c>
      <c r="R106" s="155"/>
      <c r="S106" s="155"/>
      <c r="T106" s="155"/>
      <c r="U106" s="155">
        <f>ROUND(F106*0.075*13,2)</f>
        <v>504.08</v>
      </c>
      <c r="V106" s="155">
        <f>U106/13</f>
        <v>38.775384615384617</v>
      </c>
      <c r="W106" s="155"/>
      <c r="X106" s="155"/>
      <c r="Y106" s="155">
        <f>P106+S106+U106+W106</f>
        <v>1092.17</v>
      </c>
      <c r="Z106" s="155">
        <f>ROUND(F106*0.01*13,2)</f>
        <v>67.209999999999994</v>
      </c>
      <c r="AA106" s="155">
        <f>Z106/13</f>
        <v>5.17</v>
      </c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</row>
    <row r="107" spans="1:38" ht="21.9" customHeight="1">
      <c r="A107" s="165"/>
      <c r="B107" s="283"/>
      <c r="C107" s="284"/>
      <c r="D107" s="161"/>
      <c r="E107" s="163"/>
      <c r="F107" s="152">
        <f>SUM(F105:F106)</f>
        <v>1217</v>
      </c>
      <c r="G107" s="152">
        <f>SUM(G105:G106)</f>
        <v>14604</v>
      </c>
      <c r="H107" s="152">
        <f>H105+H106</f>
        <v>140</v>
      </c>
      <c r="I107" s="152">
        <f>SUM(I105:I106)</f>
        <v>0</v>
      </c>
      <c r="J107" s="152">
        <f>SUM(J105:J106)</f>
        <v>1217</v>
      </c>
      <c r="K107" s="152">
        <f>SUM(K105:K106)</f>
        <v>600</v>
      </c>
      <c r="L107" s="155"/>
      <c r="M107" s="152">
        <f t="shared" ref="M107:R107" si="73">SUM(M105:M106)</f>
        <v>125</v>
      </c>
      <c r="N107" s="152">
        <f t="shared" si="73"/>
        <v>60</v>
      </c>
      <c r="O107" s="152">
        <f t="shared" si="73"/>
        <v>200</v>
      </c>
      <c r="P107" s="152">
        <f t="shared" si="73"/>
        <v>1384.3400000000001</v>
      </c>
      <c r="Q107" s="152">
        <f t="shared" si="73"/>
        <v>45.237692307692313</v>
      </c>
      <c r="R107" s="152">
        <f t="shared" si="73"/>
        <v>61.25</v>
      </c>
      <c r="S107" s="155">
        <f>SUM(S105)</f>
        <v>0</v>
      </c>
      <c r="T107" s="155">
        <f>SUM(T105)</f>
        <v>0</v>
      </c>
      <c r="U107" s="152">
        <f>SUM(U105:U106)</f>
        <v>1186.58</v>
      </c>
      <c r="V107" s="152">
        <f>SUM(V105:V106)</f>
        <v>91.27538461538461</v>
      </c>
      <c r="W107" s="155"/>
      <c r="X107" s="155"/>
      <c r="Y107" s="152">
        <f>SUM(Y105:Y106)</f>
        <v>2570.92</v>
      </c>
      <c r="Z107" s="152">
        <f>SUM(Z105:Z106)</f>
        <v>158.20999999999998</v>
      </c>
      <c r="AA107" s="152">
        <f>SUM(AA105:AA106)</f>
        <v>12.17</v>
      </c>
      <c r="AB107" s="225"/>
      <c r="AC107" s="225"/>
      <c r="AD107" s="155"/>
      <c r="AE107" s="225"/>
      <c r="AF107" s="155"/>
      <c r="AG107" s="155"/>
      <c r="AH107" s="225"/>
      <c r="AI107" s="225"/>
      <c r="AJ107" s="225"/>
      <c r="AK107" s="225"/>
      <c r="AL107" s="155"/>
    </row>
    <row r="108" spans="1:38" ht="21.9" customHeight="1">
      <c r="A108" s="154">
        <f>A106+1</f>
        <v>77</v>
      </c>
      <c r="B108" s="178" t="s">
        <v>677</v>
      </c>
      <c r="C108" s="208" t="s">
        <v>675</v>
      </c>
      <c r="D108" s="161" t="s">
        <v>79</v>
      </c>
      <c r="E108" s="163" t="s">
        <v>47</v>
      </c>
      <c r="F108" s="155">
        <v>1900</v>
      </c>
      <c r="G108" s="155">
        <f>F108*12</f>
        <v>22800</v>
      </c>
      <c r="H108" s="155">
        <v>70</v>
      </c>
      <c r="I108" s="155"/>
      <c r="J108" s="155">
        <f>F108</f>
        <v>1900</v>
      </c>
      <c r="K108" s="155">
        <v>300</v>
      </c>
      <c r="L108" s="155">
        <v>1900</v>
      </c>
      <c r="M108" s="155">
        <v>125</v>
      </c>
      <c r="N108" s="155">
        <v>30</v>
      </c>
      <c r="O108" s="155">
        <v>100</v>
      </c>
      <c r="P108" s="155">
        <f t="shared" si="44"/>
        <v>2161.25</v>
      </c>
      <c r="Q108" s="155">
        <f>P108/13</f>
        <v>166.25</v>
      </c>
      <c r="R108" s="155"/>
      <c r="S108" s="155"/>
      <c r="T108" s="155"/>
      <c r="U108" s="155">
        <f>75*13</f>
        <v>975</v>
      </c>
      <c r="V108" s="155">
        <f>U108/13</f>
        <v>75</v>
      </c>
      <c r="W108" s="155"/>
      <c r="X108" s="155"/>
      <c r="Y108" s="155">
        <f>P108+S108+U108+W108</f>
        <v>3136.25</v>
      </c>
      <c r="Z108" s="155">
        <f>10*13</f>
        <v>130</v>
      </c>
      <c r="AA108" s="155">
        <f>Z108/13</f>
        <v>10</v>
      </c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</row>
    <row r="109" spans="1:38" ht="21.9" customHeight="1">
      <c r="A109" s="154">
        <f>A108+1</f>
        <v>78</v>
      </c>
      <c r="B109" s="177" t="s">
        <v>162</v>
      </c>
      <c r="C109" s="208" t="s">
        <v>675</v>
      </c>
      <c r="D109" s="182" t="s">
        <v>79</v>
      </c>
      <c r="E109" s="163" t="s">
        <v>47</v>
      </c>
      <c r="F109" s="155">
        <v>1025</v>
      </c>
      <c r="G109" s="155">
        <f>F109*12</f>
        <v>12300</v>
      </c>
      <c r="H109" s="155">
        <v>70</v>
      </c>
      <c r="I109" s="186"/>
      <c r="J109" s="155">
        <f>F109</f>
        <v>1025</v>
      </c>
      <c r="K109" s="285">
        <v>300</v>
      </c>
      <c r="L109" s="149"/>
      <c r="M109" s="155">
        <v>125</v>
      </c>
      <c r="N109" s="155">
        <v>30</v>
      </c>
      <c r="O109" s="155">
        <v>100</v>
      </c>
      <c r="P109" s="155">
        <f t="shared" si="44"/>
        <v>1165.94</v>
      </c>
      <c r="Q109" s="155">
        <f>P109/13</f>
        <v>89.687692307692316</v>
      </c>
      <c r="R109" s="155"/>
      <c r="S109" s="155"/>
      <c r="T109" s="155"/>
      <c r="U109" s="155">
        <f>75*13</f>
        <v>975</v>
      </c>
      <c r="V109" s="155">
        <f>U109/13</f>
        <v>75</v>
      </c>
      <c r="W109" s="280"/>
      <c r="X109" s="280"/>
      <c r="Y109" s="155">
        <f>P109+S109+U109+W109</f>
        <v>2140.94</v>
      </c>
      <c r="Z109" s="155">
        <f>10*13</f>
        <v>130</v>
      </c>
      <c r="AA109" s="155">
        <f>Z109/13</f>
        <v>10</v>
      </c>
      <c r="AB109" s="280"/>
      <c r="AC109" s="280"/>
      <c r="AD109" s="280"/>
      <c r="AE109" s="280"/>
      <c r="AF109" s="280"/>
      <c r="AG109" s="280"/>
      <c r="AH109" s="280"/>
      <c r="AI109" s="280"/>
      <c r="AJ109" s="280"/>
      <c r="AK109" s="280"/>
      <c r="AL109" s="280"/>
    </row>
    <row r="110" spans="1:38" ht="21.9" customHeight="1">
      <c r="A110" s="154">
        <f>A109+1</f>
        <v>79</v>
      </c>
      <c r="B110" s="178" t="s">
        <v>112</v>
      </c>
      <c r="C110" s="208" t="s">
        <v>675</v>
      </c>
      <c r="D110" s="161" t="s">
        <v>79</v>
      </c>
      <c r="E110" s="163" t="s">
        <v>47</v>
      </c>
      <c r="F110" s="155">
        <v>727</v>
      </c>
      <c r="G110" s="155">
        <f>F110*12</f>
        <v>8724</v>
      </c>
      <c r="H110" s="155">
        <v>70</v>
      </c>
      <c r="I110" s="155"/>
      <c r="J110" s="155">
        <f>F110</f>
        <v>727</v>
      </c>
      <c r="K110" s="155">
        <v>300</v>
      </c>
      <c r="L110" s="155"/>
      <c r="M110" s="155">
        <v>125</v>
      </c>
      <c r="N110" s="155">
        <v>30</v>
      </c>
      <c r="O110" s="155">
        <v>100</v>
      </c>
      <c r="P110" s="155">
        <f t="shared" si="44"/>
        <v>826.96</v>
      </c>
      <c r="Q110" s="155">
        <f>P110/13</f>
        <v>63.612307692307695</v>
      </c>
      <c r="R110" s="155"/>
      <c r="S110" s="155"/>
      <c r="T110" s="155"/>
      <c r="U110" s="155">
        <f>ROUND(F110*0.075*13,2)</f>
        <v>708.83</v>
      </c>
      <c r="V110" s="155">
        <f>U110/13</f>
        <v>54.525384615384617</v>
      </c>
      <c r="W110" s="155"/>
      <c r="X110" s="155"/>
      <c r="Y110" s="155">
        <f>P110+S110+U110+W110</f>
        <v>1535.79</v>
      </c>
      <c r="Z110" s="155">
        <f>ROUND(F110*0.01*13,2)</f>
        <v>94.51</v>
      </c>
      <c r="AA110" s="155">
        <f>Z110/13</f>
        <v>7.2700000000000005</v>
      </c>
      <c r="AB110" s="155">
        <f>F110/30/7*1.5*45</f>
        <v>233.67857142857144</v>
      </c>
      <c r="AC110" s="155">
        <f>ROUND(AB110*0.0775,2)</f>
        <v>18.11</v>
      </c>
      <c r="AD110" s="155"/>
      <c r="AE110" s="155">
        <f>ROUND(AB110*0.075,2)</f>
        <v>17.53</v>
      </c>
      <c r="AF110" s="155"/>
      <c r="AG110" s="155">
        <f>AC110+AD110+AE110+AF110</f>
        <v>35.64</v>
      </c>
      <c r="AH110" s="155">
        <f>AB110*0.01</f>
        <v>2.3367857142857145</v>
      </c>
      <c r="AI110" s="155"/>
      <c r="AJ110" s="155"/>
      <c r="AK110" s="155"/>
      <c r="AL110" s="155"/>
    </row>
    <row r="111" spans="1:38" ht="21.9" customHeight="1">
      <c r="A111" s="154">
        <f>A110+1</f>
        <v>80</v>
      </c>
      <c r="B111" s="178" t="s">
        <v>680</v>
      </c>
      <c r="C111" s="208" t="s">
        <v>675</v>
      </c>
      <c r="D111" s="182" t="s">
        <v>79</v>
      </c>
      <c r="E111" s="163" t="s">
        <v>47</v>
      </c>
      <c r="F111" s="155">
        <v>1300</v>
      </c>
      <c r="G111" s="155">
        <f>F111*12</f>
        <v>15600</v>
      </c>
      <c r="H111" s="155">
        <v>70</v>
      </c>
      <c r="I111" s="155"/>
      <c r="J111" s="155">
        <f>F111</f>
        <v>1300</v>
      </c>
      <c r="K111" s="155">
        <v>300</v>
      </c>
      <c r="L111" s="155"/>
      <c r="M111" s="155">
        <v>125</v>
      </c>
      <c r="N111" s="155">
        <v>30</v>
      </c>
      <c r="O111" s="155">
        <v>100</v>
      </c>
      <c r="P111" s="155">
        <f t="shared" si="44"/>
        <v>1478.75</v>
      </c>
      <c r="Q111" s="155">
        <f>P111/13</f>
        <v>113.75</v>
      </c>
      <c r="R111" s="155"/>
      <c r="S111" s="155"/>
      <c r="T111" s="155"/>
      <c r="U111" s="155">
        <f>75*13</f>
        <v>975</v>
      </c>
      <c r="V111" s="155">
        <f>U111/13</f>
        <v>75</v>
      </c>
      <c r="W111" s="155"/>
      <c r="X111" s="155"/>
      <c r="Y111" s="155">
        <f>P111+S111+U111+W111</f>
        <v>2453.75</v>
      </c>
      <c r="Z111" s="155">
        <f>10*13</f>
        <v>130</v>
      </c>
      <c r="AA111" s="155">
        <f>Z111/13</f>
        <v>10</v>
      </c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</row>
    <row r="112" spans="1:38" ht="21.9" customHeight="1">
      <c r="A112" s="154"/>
      <c r="B112" s="277"/>
      <c r="C112" s="161"/>
      <c r="D112" s="161"/>
      <c r="E112" s="163"/>
      <c r="F112" s="152">
        <f t="shared" ref="F112:L112" si="74">SUM(F108:F111)</f>
        <v>4952</v>
      </c>
      <c r="G112" s="152">
        <f t="shared" si="74"/>
        <v>59424</v>
      </c>
      <c r="H112" s="152">
        <f t="shared" si="74"/>
        <v>280</v>
      </c>
      <c r="I112" s="152">
        <f t="shared" si="74"/>
        <v>0</v>
      </c>
      <c r="J112" s="152">
        <f t="shared" si="74"/>
        <v>4952</v>
      </c>
      <c r="K112" s="152">
        <f t="shared" si="74"/>
        <v>1200</v>
      </c>
      <c r="L112" s="152">
        <f t="shared" si="74"/>
        <v>1900</v>
      </c>
      <c r="M112" s="152">
        <f t="shared" ref="M112:AL112" si="75">SUM(M108:M111)</f>
        <v>500</v>
      </c>
      <c r="N112" s="152">
        <f t="shared" si="75"/>
        <v>120</v>
      </c>
      <c r="O112" s="152">
        <f t="shared" si="75"/>
        <v>400</v>
      </c>
      <c r="P112" s="152">
        <f t="shared" si="75"/>
        <v>5632.9</v>
      </c>
      <c r="Q112" s="152">
        <f t="shared" si="75"/>
        <v>433.3</v>
      </c>
      <c r="R112" s="152">
        <f t="shared" si="75"/>
        <v>0</v>
      </c>
      <c r="S112" s="152">
        <f t="shared" si="75"/>
        <v>0</v>
      </c>
      <c r="T112" s="152">
        <f t="shared" si="75"/>
        <v>0</v>
      </c>
      <c r="U112" s="152">
        <f t="shared" si="75"/>
        <v>3633.83</v>
      </c>
      <c r="V112" s="152">
        <f t="shared" si="75"/>
        <v>279.52538461538461</v>
      </c>
      <c r="W112" s="152">
        <f t="shared" si="75"/>
        <v>0</v>
      </c>
      <c r="X112" s="152">
        <f t="shared" si="75"/>
        <v>0</v>
      </c>
      <c r="Y112" s="152">
        <f t="shared" si="75"/>
        <v>9266.73</v>
      </c>
      <c r="Z112" s="152">
        <f t="shared" si="75"/>
        <v>484.51</v>
      </c>
      <c r="AA112" s="152">
        <f t="shared" si="75"/>
        <v>37.269999999999996</v>
      </c>
      <c r="AB112" s="152">
        <f t="shared" si="75"/>
        <v>233.67857142857144</v>
      </c>
      <c r="AC112" s="152">
        <f t="shared" si="75"/>
        <v>18.11</v>
      </c>
      <c r="AD112" s="152">
        <f t="shared" si="75"/>
        <v>0</v>
      </c>
      <c r="AE112" s="152">
        <f t="shared" si="75"/>
        <v>17.53</v>
      </c>
      <c r="AF112" s="152">
        <f t="shared" si="75"/>
        <v>0</v>
      </c>
      <c r="AG112" s="152">
        <f t="shared" si="75"/>
        <v>35.64</v>
      </c>
      <c r="AH112" s="152">
        <f t="shared" si="75"/>
        <v>2.3367857142857145</v>
      </c>
      <c r="AI112" s="152">
        <f t="shared" si="75"/>
        <v>0</v>
      </c>
      <c r="AJ112" s="152">
        <f t="shared" si="75"/>
        <v>0</v>
      </c>
      <c r="AK112" s="152">
        <f t="shared" si="75"/>
        <v>0</v>
      </c>
      <c r="AL112" s="152">
        <f t="shared" si="75"/>
        <v>0</v>
      </c>
    </row>
    <row r="113" spans="1:38" ht="21.9" customHeight="1">
      <c r="A113" s="154">
        <f>A111+1</f>
        <v>81</v>
      </c>
      <c r="B113" s="176" t="s">
        <v>712</v>
      </c>
      <c r="C113" s="161" t="s">
        <v>166</v>
      </c>
      <c r="D113" s="161" t="s">
        <v>79</v>
      </c>
      <c r="E113" s="163" t="s">
        <v>47</v>
      </c>
      <c r="F113" s="155">
        <v>1300</v>
      </c>
      <c r="G113" s="155">
        <f t="shared" ref="G113:G118" si="76">F113*12</f>
        <v>15600</v>
      </c>
      <c r="H113" s="155">
        <v>70</v>
      </c>
      <c r="I113" s="155"/>
      <c r="J113" s="155">
        <f t="shared" ref="J113:J118" si="77">F113</f>
        <v>1300</v>
      </c>
      <c r="K113" s="155">
        <v>300</v>
      </c>
      <c r="L113" s="155">
        <v>1300</v>
      </c>
      <c r="M113" s="155">
        <v>125</v>
      </c>
      <c r="N113" s="155">
        <v>30</v>
      </c>
      <c r="O113" s="155">
        <v>100</v>
      </c>
      <c r="P113" s="155">
        <f t="shared" si="44"/>
        <v>1478.75</v>
      </c>
      <c r="Q113" s="155"/>
      <c r="R113" s="155">
        <f>P113/13</f>
        <v>113.75</v>
      </c>
      <c r="S113" s="155"/>
      <c r="T113" s="155"/>
      <c r="U113" s="155">
        <f>75*13</f>
        <v>975</v>
      </c>
      <c r="V113" s="155">
        <f t="shared" ref="V113:V118" si="78">U113/13</f>
        <v>75</v>
      </c>
      <c r="W113" s="155"/>
      <c r="X113" s="155"/>
      <c r="Y113" s="155">
        <f t="shared" ref="Y113:Y118" si="79">P113+S113+U113+W113</f>
        <v>2453.75</v>
      </c>
      <c r="Z113" s="155">
        <f>10*13</f>
        <v>130</v>
      </c>
      <c r="AA113" s="155">
        <f t="shared" ref="AA113:AA118" si="80">Z113/13</f>
        <v>10</v>
      </c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</row>
    <row r="114" spans="1:38" ht="21.9" customHeight="1">
      <c r="A114" s="154">
        <f>A113+1</f>
        <v>82</v>
      </c>
      <c r="B114" s="176" t="s">
        <v>716</v>
      </c>
      <c r="C114" s="161" t="s">
        <v>166</v>
      </c>
      <c r="D114" s="161" t="s">
        <v>79</v>
      </c>
      <c r="E114" s="163" t="s">
        <v>47</v>
      </c>
      <c r="F114" s="155">
        <v>727</v>
      </c>
      <c r="G114" s="155">
        <f t="shared" si="76"/>
        <v>8724</v>
      </c>
      <c r="H114" s="155">
        <v>70</v>
      </c>
      <c r="I114" s="155"/>
      <c r="J114" s="155">
        <f t="shared" si="77"/>
        <v>727</v>
      </c>
      <c r="K114" s="155">
        <v>300</v>
      </c>
      <c r="L114" s="155"/>
      <c r="M114" s="155">
        <v>125</v>
      </c>
      <c r="N114" s="155">
        <v>30</v>
      </c>
      <c r="O114" s="155">
        <v>100</v>
      </c>
      <c r="P114" s="155">
        <f t="shared" si="44"/>
        <v>826.96</v>
      </c>
      <c r="Q114" s="155">
        <f>P114/13</f>
        <v>63.612307692307695</v>
      </c>
      <c r="R114" s="155"/>
      <c r="S114" s="155"/>
      <c r="T114" s="155"/>
      <c r="U114" s="155">
        <f>ROUND(F114*0.075*13,2)</f>
        <v>708.83</v>
      </c>
      <c r="V114" s="155">
        <f t="shared" si="78"/>
        <v>54.525384615384617</v>
      </c>
      <c r="W114" s="155"/>
      <c r="X114" s="155"/>
      <c r="Y114" s="155">
        <f t="shared" si="79"/>
        <v>1535.79</v>
      </c>
      <c r="Z114" s="155">
        <f>ROUND(F114*0.01*13,2)</f>
        <v>94.51</v>
      </c>
      <c r="AA114" s="155">
        <f t="shared" si="80"/>
        <v>7.2700000000000005</v>
      </c>
      <c r="AB114" s="225"/>
      <c r="AC114" s="225"/>
      <c r="AD114" s="155"/>
      <c r="AE114" s="225"/>
      <c r="AF114" s="155"/>
      <c r="AG114" s="155"/>
      <c r="AH114" s="225"/>
      <c r="AI114" s="225"/>
      <c r="AJ114" s="225"/>
      <c r="AK114" s="225"/>
      <c r="AL114" s="155"/>
    </row>
    <row r="115" spans="1:38" ht="21.9" customHeight="1">
      <c r="A115" s="154">
        <f>A114+1</f>
        <v>83</v>
      </c>
      <c r="B115" s="178" t="s">
        <v>143</v>
      </c>
      <c r="C115" s="161" t="s">
        <v>166</v>
      </c>
      <c r="D115" s="161" t="s">
        <v>79</v>
      </c>
      <c r="E115" s="163" t="s">
        <v>47</v>
      </c>
      <c r="F115" s="155">
        <v>700</v>
      </c>
      <c r="G115" s="155">
        <f t="shared" si="76"/>
        <v>8400</v>
      </c>
      <c r="H115" s="155">
        <v>70</v>
      </c>
      <c r="I115" s="155"/>
      <c r="J115" s="155">
        <f t="shared" si="77"/>
        <v>700</v>
      </c>
      <c r="K115" s="155">
        <v>300</v>
      </c>
      <c r="L115" s="155"/>
      <c r="M115" s="155">
        <v>125</v>
      </c>
      <c r="N115" s="155">
        <v>30</v>
      </c>
      <c r="O115" s="155">
        <v>100</v>
      </c>
      <c r="P115" s="155">
        <f t="shared" si="44"/>
        <v>796.25</v>
      </c>
      <c r="Q115" s="155"/>
      <c r="R115" s="155">
        <f>P115/13</f>
        <v>61.25</v>
      </c>
      <c r="S115" s="155"/>
      <c r="T115" s="155"/>
      <c r="U115" s="155">
        <f>ROUND(F115*0.075*13,2)</f>
        <v>682.5</v>
      </c>
      <c r="V115" s="155">
        <f t="shared" si="78"/>
        <v>52.5</v>
      </c>
      <c r="W115" s="155"/>
      <c r="X115" s="155"/>
      <c r="Y115" s="155">
        <f t="shared" si="79"/>
        <v>1478.75</v>
      </c>
      <c r="Z115" s="155">
        <f>ROUND(F115*0.01*13,2)</f>
        <v>91</v>
      </c>
      <c r="AA115" s="155">
        <f t="shared" si="80"/>
        <v>7</v>
      </c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</row>
    <row r="116" spans="1:38" ht="21.9" customHeight="1">
      <c r="A116" s="154">
        <f t="shared" ref="A116:A118" si="81">A115+1</f>
        <v>84</v>
      </c>
      <c r="B116" s="193" t="s">
        <v>123</v>
      </c>
      <c r="C116" s="189" t="s">
        <v>166</v>
      </c>
      <c r="D116" s="161" t="s">
        <v>79</v>
      </c>
      <c r="E116" s="190" t="s">
        <v>47</v>
      </c>
      <c r="F116" s="155">
        <v>600</v>
      </c>
      <c r="G116" s="155">
        <f t="shared" si="76"/>
        <v>7200</v>
      </c>
      <c r="H116" s="155">
        <v>70</v>
      </c>
      <c r="I116" s="155"/>
      <c r="J116" s="155">
        <f t="shared" si="77"/>
        <v>600</v>
      </c>
      <c r="K116" s="155">
        <v>300</v>
      </c>
      <c r="L116" s="155"/>
      <c r="M116" s="155">
        <v>125</v>
      </c>
      <c r="N116" s="155">
        <v>30</v>
      </c>
      <c r="O116" s="155">
        <v>100</v>
      </c>
      <c r="P116" s="155">
        <f t="shared" ref="P116:P117" si="82">ROUND(F116*0.0875*13,2)</f>
        <v>682.5</v>
      </c>
      <c r="Q116" s="226"/>
      <c r="R116" s="155">
        <f>P116/13</f>
        <v>52.5</v>
      </c>
      <c r="S116" s="155"/>
      <c r="T116" s="155"/>
      <c r="U116" s="155">
        <f>ROUND(F116*0.075*13,2)</f>
        <v>585</v>
      </c>
      <c r="V116" s="155">
        <f t="shared" si="78"/>
        <v>45</v>
      </c>
      <c r="W116" s="155"/>
      <c r="X116" s="155"/>
      <c r="Y116" s="155">
        <f t="shared" si="79"/>
        <v>1267.5</v>
      </c>
      <c r="Z116" s="155">
        <f>ROUND(F116*0.01*13,2)</f>
        <v>78</v>
      </c>
      <c r="AA116" s="155">
        <f t="shared" si="80"/>
        <v>6</v>
      </c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</row>
    <row r="117" spans="1:38" ht="21.9" customHeight="1">
      <c r="A117" s="154">
        <f t="shared" si="81"/>
        <v>85</v>
      </c>
      <c r="B117" s="193" t="s">
        <v>123</v>
      </c>
      <c r="C117" s="189" t="s">
        <v>166</v>
      </c>
      <c r="D117" s="161" t="s">
        <v>79</v>
      </c>
      <c r="E117" s="190" t="s">
        <v>47</v>
      </c>
      <c r="F117" s="155">
        <v>500</v>
      </c>
      <c r="G117" s="155">
        <f t="shared" si="76"/>
        <v>6000</v>
      </c>
      <c r="H117" s="155">
        <v>70</v>
      </c>
      <c r="I117" s="155"/>
      <c r="J117" s="155">
        <f t="shared" si="77"/>
        <v>500</v>
      </c>
      <c r="K117" s="155">
        <v>300</v>
      </c>
      <c r="L117" s="155"/>
      <c r="M117" s="155">
        <v>125</v>
      </c>
      <c r="N117" s="155">
        <v>30</v>
      </c>
      <c r="O117" s="155">
        <v>100</v>
      </c>
      <c r="P117" s="155">
        <f t="shared" si="82"/>
        <v>568.75</v>
      </c>
      <c r="Q117" s="226"/>
      <c r="R117" s="155">
        <f>P117/13</f>
        <v>43.75</v>
      </c>
      <c r="S117" s="155"/>
      <c r="T117" s="155"/>
      <c r="U117" s="155">
        <f>ROUND(F117*0.075*13,2)</f>
        <v>487.5</v>
      </c>
      <c r="V117" s="155">
        <f t="shared" si="78"/>
        <v>37.5</v>
      </c>
      <c r="W117" s="155"/>
      <c r="X117" s="155"/>
      <c r="Y117" s="155">
        <f t="shared" si="79"/>
        <v>1056.25</v>
      </c>
      <c r="Z117" s="155">
        <f>ROUND(F117*0.01*13,2)</f>
        <v>65</v>
      </c>
      <c r="AA117" s="155">
        <f t="shared" si="80"/>
        <v>5</v>
      </c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</row>
    <row r="118" spans="1:38" ht="21.9" customHeight="1">
      <c r="A118" s="154">
        <f t="shared" si="81"/>
        <v>86</v>
      </c>
      <c r="B118" s="193" t="s">
        <v>123</v>
      </c>
      <c r="C118" s="189" t="s">
        <v>166</v>
      </c>
      <c r="D118" s="161" t="s">
        <v>79</v>
      </c>
      <c r="E118" s="190" t="s">
        <v>47</v>
      </c>
      <c r="F118" s="155">
        <v>417</v>
      </c>
      <c r="G118" s="155">
        <f t="shared" si="76"/>
        <v>5004</v>
      </c>
      <c r="H118" s="155">
        <v>70</v>
      </c>
      <c r="I118" s="155"/>
      <c r="J118" s="155">
        <f t="shared" si="77"/>
        <v>417</v>
      </c>
      <c r="K118" s="155">
        <v>300</v>
      </c>
      <c r="L118" s="155"/>
      <c r="M118" s="155">
        <v>125</v>
      </c>
      <c r="N118" s="155">
        <v>30</v>
      </c>
      <c r="O118" s="155">
        <v>100</v>
      </c>
      <c r="P118" s="155">
        <f t="shared" si="44"/>
        <v>474.34</v>
      </c>
      <c r="Q118" s="226"/>
      <c r="R118" s="155">
        <f>P118/13</f>
        <v>36.487692307692306</v>
      </c>
      <c r="S118" s="155"/>
      <c r="T118" s="155"/>
      <c r="U118" s="155">
        <f>ROUND(F118*0.075*13,2)</f>
        <v>406.58</v>
      </c>
      <c r="V118" s="155">
        <f t="shared" si="78"/>
        <v>31.275384615384613</v>
      </c>
      <c r="W118" s="155"/>
      <c r="X118" s="155"/>
      <c r="Y118" s="155">
        <f t="shared" si="79"/>
        <v>880.92</v>
      </c>
      <c r="Z118" s="155">
        <f>ROUND(F118*0.01*13,2)</f>
        <v>54.21</v>
      </c>
      <c r="AA118" s="155">
        <f t="shared" si="80"/>
        <v>4.17</v>
      </c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</row>
    <row r="119" spans="1:38" ht="21.9" customHeight="1">
      <c r="A119" s="154"/>
      <c r="B119" s="286"/>
      <c r="C119" s="161"/>
      <c r="D119" s="161"/>
      <c r="E119" s="163"/>
      <c r="F119" s="152">
        <f t="shared" ref="F119:AL119" si="83">SUM(F113:F118)</f>
        <v>4244</v>
      </c>
      <c r="G119" s="152">
        <f t="shared" si="83"/>
        <v>50928</v>
      </c>
      <c r="H119" s="152">
        <f t="shared" si="83"/>
        <v>420</v>
      </c>
      <c r="I119" s="152">
        <f t="shared" si="83"/>
        <v>0</v>
      </c>
      <c r="J119" s="152">
        <f t="shared" si="83"/>
        <v>4244</v>
      </c>
      <c r="K119" s="152">
        <f t="shared" si="83"/>
        <v>1800</v>
      </c>
      <c r="L119" s="152">
        <f t="shared" si="83"/>
        <v>1300</v>
      </c>
      <c r="M119" s="152">
        <f t="shared" si="83"/>
        <v>750</v>
      </c>
      <c r="N119" s="152">
        <f t="shared" si="83"/>
        <v>180</v>
      </c>
      <c r="O119" s="152">
        <f t="shared" si="83"/>
        <v>600</v>
      </c>
      <c r="P119" s="152">
        <f t="shared" si="83"/>
        <v>4827.55</v>
      </c>
      <c r="Q119" s="152">
        <f t="shared" si="83"/>
        <v>63.612307692307695</v>
      </c>
      <c r="R119" s="152">
        <f t="shared" si="83"/>
        <v>307.73769230769233</v>
      </c>
      <c r="S119" s="152">
        <f t="shared" si="83"/>
        <v>0</v>
      </c>
      <c r="T119" s="152">
        <f t="shared" si="83"/>
        <v>0</v>
      </c>
      <c r="U119" s="152">
        <f t="shared" si="83"/>
        <v>3845.41</v>
      </c>
      <c r="V119" s="152">
        <f t="shared" si="83"/>
        <v>295.80076923076922</v>
      </c>
      <c r="W119" s="152">
        <f t="shared" si="83"/>
        <v>0</v>
      </c>
      <c r="X119" s="152">
        <f t="shared" si="83"/>
        <v>0</v>
      </c>
      <c r="Y119" s="152">
        <f t="shared" si="83"/>
        <v>8672.9599999999991</v>
      </c>
      <c r="Z119" s="152">
        <f t="shared" si="83"/>
        <v>512.72</v>
      </c>
      <c r="AA119" s="152">
        <f t="shared" si="83"/>
        <v>39.44</v>
      </c>
      <c r="AB119" s="152">
        <f t="shared" si="83"/>
        <v>0</v>
      </c>
      <c r="AC119" s="152">
        <f t="shared" si="83"/>
        <v>0</v>
      </c>
      <c r="AD119" s="152">
        <f t="shared" si="83"/>
        <v>0</v>
      </c>
      <c r="AE119" s="152">
        <f t="shared" si="83"/>
        <v>0</v>
      </c>
      <c r="AF119" s="152">
        <f t="shared" si="83"/>
        <v>0</v>
      </c>
      <c r="AG119" s="152">
        <f t="shared" si="83"/>
        <v>0</v>
      </c>
      <c r="AH119" s="152">
        <f t="shared" si="83"/>
        <v>0</v>
      </c>
      <c r="AI119" s="152">
        <f t="shared" si="83"/>
        <v>0</v>
      </c>
      <c r="AJ119" s="152">
        <f t="shared" si="83"/>
        <v>0</v>
      </c>
      <c r="AK119" s="152">
        <f t="shared" si="83"/>
        <v>0</v>
      </c>
      <c r="AL119" s="152">
        <f t="shared" si="83"/>
        <v>0</v>
      </c>
    </row>
    <row r="120" spans="1:38" ht="21.9" customHeight="1">
      <c r="A120" s="154">
        <f>A118+1</f>
        <v>87</v>
      </c>
      <c r="B120" s="212" t="s">
        <v>736</v>
      </c>
      <c r="C120" s="208" t="s">
        <v>626</v>
      </c>
      <c r="D120" s="161" t="s">
        <v>79</v>
      </c>
      <c r="E120" s="163" t="s">
        <v>47</v>
      </c>
      <c r="F120" s="155">
        <v>800</v>
      </c>
      <c r="G120" s="155">
        <f t="shared" ref="G120:G134" si="84">F120*12</f>
        <v>9600</v>
      </c>
      <c r="H120" s="155">
        <v>70</v>
      </c>
      <c r="I120" s="155"/>
      <c r="J120" s="155">
        <f t="shared" ref="J120:J134" si="85">F120</f>
        <v>800</v>
      </c>
      <c r="K120" s="155">
        <v>300</v>
      </c>
      <c r="L120" s="155"/>
      <c r="M120" s="155">
        <v>125</v>
      </c>
      <c r="N120" s="155">
        <v>30</v>
      </c>
      <c r="O120" s="155">
        <v>100</v>
      </c>
      <c r="P120" s="155">
        <f t="shared" si="44"/>
        <v>910</v>
      </c>
      <c r="Q120" s="155"/>
      <c r="R120" s="155">
        <f>P120/13</f>
        <v>70</v>
      </c>
      <c r="S120" s="155"/>
      <c r="T120" s="155"/>
      <c r="U120" s="155">
        <f t="shared" ref="U120:U134" si="86">ROUND(F120*0.075*13,2)</f>
        <v>780</v>
      </c>
      <c r="V120" s="155">
        <f t="shared" ref="V120:V134" si="87">U120/13</f>
        <v>60</v>
      </c>
      <c r="W120" s="155"/>
      <c r="X120" s="155"/>
      <c r="Y120" s="155">
        <f t="shared" ref="Y120:Y129" si="88">P120+S120+U120+W120</f>
        <v>1690</v>
      </c>
      <c r="Z120" s="155">
        <f t="shared" ref="Z120:Z134" si="89">ROUND(F120*0.01*13,2)</f>
        <v>104</v>
      </c>
      <c r="AA120" s="155">
        <f t="shared" ref="AA120:AA134" si="90">Z120/13</f>
        <v>8</v>
      </c>
      <c r="AB120" s="225"/>
      <c r="AC120" s="225"/>
      <c r="AD120" s="155"/>
      <c r="AE120" s="225"/>
      <c r="AF120" s="155"/>
      <c r="AG120" s="155"/>
      <c r="AH120" s="225"/>
      <c r="AI120" s="225"/>
      <c r="AJ120" s="225"/>
      <c r="AK120" s="225"/>
      <c r="AL120" s="155"/>
    </row>
    <row r="121" spans="1:38" ht="21.9" customHeight="1">
      <c r="A121" s="154">
        <f t="shared" ref="A121:A134" si="91">A120+1</f>
        <v>88</v>
      </c>
      <c r="B121" s="212" t="s">
        <v>685</v>
      </c>
      <c r="C121" s="161" t="s">
        <v>173</v>
      </c>
      <c r="D121" s="161" t="s">
        <v>79</v>
      </c>
      <c r="E121" s="163" t="s">
        <v>47</v>
      </c>
      <c r="F121" s="155">
        <v>847</v>
      </c>
      <c r="G121" s="155">
        <f t="shared" si="84"/>
        <v>10164</v>
      </c>
      <c r="H121" s="155">
        <v>70</v>
      </c>
      <c r="I121" s="155"/>
      <c r="J121" s="155">
        <f t="shared" si="85"/>
        <v>847</v>
      </c>
      <c r="K121" s="155">
        <v>300</v>
      </c>
      <c r="L121" s="155"/>
      <c r="M121" s="155">
        <v>125</v>
      </c>
      <c r="N121" s="155">
        <v>30</v>
      </c>
      <c r="O121" s="155">
        <v>100</v>
      </c>
      <c r="P121" s="155">
        <f t="shared" si="44"/>
        <v>963.46</v>
      </c>
      <c r="Q121" s="155">
        <f>P121/13</f>
        <v>74.112307692307695</v>
      </c>
      <c r="R121" s="155"/>
      <c r="S121" s="155"/>
      <c r="T121" s="155"/>
      <c r="U121" s="155">
        <f t="shared" si="86"/>
        <v>825.83</v>
      </c>
      <c r="V121" s="155">
        <f t="shared" si="87"/>
        <v>63.525384615384617</v>
      </c>
      <c r="W121" s="155"/>
      <c r="X121" s="155"/>
      <c r="Y121" s="155">
        <f t="shared" si="88"/>
        <v>1789.29</v>
      </c>
      <c r="Z121" s="155">
        <f t="shared" si="89"/>
        <v>110.11</v>
      </c>
      <c r="AA121" s="155">
        <f t="shared" si="90"/>
        <v>8.4700000000000006</v>
      </c>
      <c r="AB121" s="225"/>
      <c r="AC121" s="225"/>
      <c r="AD121" s="155"/>
      <c r="AE121" s="225"/>
      <c r="AF121" s="155"/>
      <c r="AG121" s="155"/>
      <c r="AH121" s="225"/>
      <c r="AI121" s="225"/>
      <c r="AJ121" s="225"/>
      <c r="AK121" s="225"/>
      <c r="AL121" s="155"/>
    </row>
    <row r="122" spans="1:38" ht="21.9" customHeight="1">
      <c r="A122" s="154">
        <f t="shared" si="91"/>
        <v>89</v>
      </c>
      <c r="B122" s="176" t="s">
        <v>678</v>
      </c>
      <c r="C122" s="161" t="s">
        <v>173</v>
      </c>
      <c r="D122" s="161" t="s">
        <v>79</v>
      </c>
      <c r="E122" s="163" t="s">
        <v>47</v>
      </c>
      <c r="F122" s="155">
        <v>700</v>
      </c>
      <c r="G122" s="155">
        <f t="shared" si="84"/>
        <v>8400</v>
      </c>
      <c r="H122" s="155">
        <v>70</v>
      </c>
      <c r="I122" s="155"/>
      <c r="J122" s="155">
        <f t="shared" si="85"/>
        <v>700</v>
      </c>
      <c r="K122" s="155">
        <v>300</v>
      </c>
      <c r="L122" s="272"/>
      <c r="M122" s="155">
        <v>125</v>
      </c>
      <c r="N122" s="155">
        <v>30</v>
      </c>
      <c r="O122" s="155">
        <v>100</v>
      </c>
      <c r="P122" s="155">
        <f t="shared" si="44"/>
        <v>796.25</v>
      </c>
      <c r="Q122" s="155">
        <f>P122/13</f>
        <v>61.25</v>
      </c>
      <c r="R122" s="155"/>
      <c r="S122" s="155"/>
      <c r="T122" s="155"/>
      <c r="U122" s="155">
        <f t="shared" si="86"/>
        <v>682.5</v>
      </c>
      <c r="V122" s="155">
        <f t="shared" si="87"/>
        <v>52.5</v>
      </c>
      <c r="W122" s="155"/>
      <c r="X122" s="155"/>
      <c r="Y122" s="155">
        <f t="shared" si="88"/>
        <v>1478.75</v>
      </c>
      <c r="Z122" s="155">
        <f t="shared" si="89"/>
        <v>91</v>
      </c>
      <c r="AA122" s="155">
        <f t="shared" si="90"/>
        <v>7</v>
      </c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</row>
    <row r="123" spans="1:38" ht="21.9" customHeight="1">
      <c r="A123" s="154">
        <f t="shared" si="91"/>
        <v>90</v>
      </c>
      <c r="B123" s="176" t="s">
        <v>720</v>
      </c>
      <c r="C123" s="161" t="s">
        <v>173</v>
      </c>
      <c r="D123" s="161" t="s">
        <v>79</v>
      </c>
      <c r="E123" s="163" t="s">
        <v>47</v>
      </c>
      <c r="F123" s="155">
        <f>467+30+50+50</f>
        <v>597</v>
      </c>
      <c r="G123" s="155">
        <f t="shared" si="84"/>
        <v>7164</v>
      </c>
      <c r="H123" s="155">
        <v>70</v>
      </c>
      <c r="I123" s="155"/>
      <c r="J123" s="155">
        <f t="shared" si="85"/>
        <v>597</v>
      </c>
      <c r="K123" s="155">
        <v>300</v>
      </c>
      <c r="L123" s="155"/>
      <c r="M123" s="155">
        <v>125</v>
      </c>
      <c r="N123" s="155">
        <v>30</v>
      </c>
      <c r="O123" s="155">
        <v>100</v>
      </c>
      <c r="P123" s="155">
        <f t="shared" si="44"/>
        <v>679.09</v>
      </c>
      <c r="Q123" s="226"/>
      <c r="R123" s="155">
        <f>P123/13</f>
        <v>52.237692307692313</v>
      </c>
      <c r="S123" s="155"/>
      <c r="T123" s="155"/>
      <c r="U123" s="155">
        <f t="shared" si="86"/>
        <v>582.08000000000004</v>
      </c>
      <c r="V123" s="155">
        <f t="shared" si="87"/>
        <v>44.775384615384617</v>
      </c>
      <c r="W123" s="155"/>
      <c r="X123" s="155"/>
      <c r="Y123" s="155">
        <f t="shared" si="88"/>
        <v>1261.17</v>
      </c>
      <c r="Z123" s="155">
        <f t="shared" si="89"/>
        <v>77.61</v>
      </c>
      <c r="AA123" s="155">
        <f t="shared" si="90"/>
        <v>5.97</v>
      </c>
      <c r="AB123" s="225"/>
      <c r="AC123" s="225"/>
      <c r="AD123" s="155"/>
      <c r="AE123" s="225"/>
      <c r="AF123" s="155"/>
      <c r="AG123" s="155"/>
      <c r="AH123" s="225"/>
      <c r="AI123" s="225"/>
      <c r="AJ123" s="225"/>
      <c r="AK123" s="225"/>
      <c r="AL123" s="155"/>
    </row>
    <row r="124" spans="1:38" ht="21.9" customHeight="1">
      <c r="A124" s="154">
        <f t="shared" si="91"/>
        <v>91</v>
      </c>
      <c r="B124" s="176" t="s">
        <v>177</v>
      </c>
      <c r="C124" s="161" t="s">
        <v>173</v>
      </c>
      <c r="D124" s="161" t="s">
        <v>79</v>
      </c>
      <c r="E124" s="163" t="s">
        <v>47</v>
      </c>
      <c r="F124" s="155">
        <f>605.15+30+50+50</f>
        <v>735.15</v>
      </c>
      <c r="G124" s="155">
        <f>F124*12</f>
        <v>8821.7999999999993</v>
      </c>
      <c r="H124" s="155">
        <v>70</v>
      </c>
      <c r="I124" s="155"/>
      <c r="J124" s="155">
        <f>F124</f>
        <v>735.15</v>
      </c>
      <c r="K124" s="155">
        <v>300</v>
      </c>
      <c r="L124" s="155"/>
      <c r="M124" s="155">
        <v>125</v>
      </c>
      <c r="N124" s="155">
        <v>30</v>
      </c>
      <c r="O124" s="155">
        <v>100</v>
      </c>
      <c r="P124" s="155">
        <f>ROUND(F124*0.0875*13,2)</f>
        <v>836.23</v>
      </c>
      <c r="Q124" s="155">
        <f>P124/13</f>
        <v>64.325384615384621</v>
      </c>
      <c r="R124" s="155"/>
      <c r="S124" s="155"/>
      <c r="T124" s="155"/>
      <c r="U124" s="155">
        <f>ROUND(F124*0.075*13,2)</f>
        <v>716.77</v>
      </c>
      <c r="V124" s="155">
        <f>U124/13</f>
        <v>55.136153846153846</v>
      </c>
      <c r="W124" s="155"/>
      <c r="X124" s="155"/>
      <c r="Y124" s="155">
        <f>P124+S124+U124+W124</f>
        <v>1553</v>
      </c>
      <c r="Z124" s="155">
        <f>ROUND(F124*0.01*13,2)</f>
        <v>95.57</v>
      </c>
      <c r="AA124" s="155">
        <f>Z124/13</f>
        <v>7.3515384615384614</v>
      </c>
      <c r="AB124" s="225"/>
      <c r="AC124" s="225"/>
      <c r="AD124" s="155"/>
      <c r="AE124" s="225"/>
      <c r="AF124" s="155"/>
      <c r="AG124" s="155"/>
      <c r="AH124" s="225"/>
      <c r="AI124" s="225"/>
      <c r="AJ124" s="225"/>
      <c r="AK124" s="225"/>
      <c r="AL124" s="155"/>
    </row>
    <row r="125" spans="1:38" ht="21.9" customHeight="1">
      <c r="A125" s="154">
        <f t="shared" si="91"/>
        <v>92</v>
      </c>
      <c r="B125" s="176" t="s">
        <v>177</v>
      </c>
      <c r="C125" s="161" t="s">
        <v>173</v>
      </c>
      <c r="D125" s="161" t="s">
        <v>79</v>
      </c>
      <c r="E125" s="163" t="s">
        <v>47</v>
      </c>
      <c r="F125" s="155">
        <f>582.29+30+50+50</f>
        <v>712.29</v>
      </c>
      <c r="G125" s="155">
        <f t="shared" si="84"/>
        <v>8547.48</v>
      </c>
      <c r="H125" s="155">
        <v>70</v>
      </c>
      <c r="I125" s="155"/>
      <c r="J125" s="155">
        <f t="shared" si="85"/>
        <v>712.29</v>
      </c>
      <c r="K125" s="155">
        <v>300</v>
      </c>
      <c r="L125" s="155"/>
      <c r="M125" s="155">
        <v>125</v>
      </c>
      <c r="N125" s="155">
        <v>30</v>
      </c>
      <c r="O125" s="155">
        <v>100</v>
      </c>
      <c r="P125" s="155">
        <f t="shared" si="44"/>
        <v>810.23</v>
      </c>
      <c r="Q125" s="155">
        <f>P125/13</f>
        <v>62.325384615384614</v>
      </c>
      <c r="R125" s="155"/>
      <c r="S125" s="155"/>
      <c r="T125" s="155"/>
      <c r="U125" s="155">
        <f t="shared" si="86"/>
        <v>694.48</v>
      </c>
      <c r="V125" s="155">
        <f t="shared" si="87"/>
        <v>53.421538461538461</v>
      </c>
      <c r="W125" s="155"/>
      <c r="X125" s="155"/>
      <c r="Y125" s="155">
        <f t="shared" si="88"/>
        <v>1504.71</v>
      </c>
      <c r="Z125" s="155">
        <f t="shared" si="89"/>
        <v>92.6</v>
      </c>
      <c r="AA125" s="155">
        <f t="shared" si="90"/>
        <v>7.1230769230769226</v>
      </c>
      <c r="AB125" s="225"/>
      <c r="AC125" s="225"/>
      <c r="AD125" s="155"/>
      <c r="AE125" s="225"/>
      <c r="AF125" s="155"/>
      <c r="AG125" s="155"/>
      <c r="AH125" s="225"/>
      <c r="AI125" s="225"/>
      <c r="AJ125" s="225"/>
      <c r="AK125" s="225"/>
      <c r="AL125" s="155"/>
    </row>
    <row r="126" spans="1:38" ht="21.9" customHeight="1">
      <c r="A126" s="154">
        <f t="shared" si="91"/>
        <v>93</v>
      </c>
      <c r="B126" s="176" t="s">
        <v>177</v>
      </c>
      <c r="C126" s="161" t="s">
        <v>173</v>
      </c>
      <c r="D126" s="161" t="s">
        <v>79</v>
      </c>
      <c r="E126" s="163" t="s">
        <v>47</v>
      </c>
      <c r="F126" s="155">
        <f>547+30+50+50</f>
        <v>677</v>
      </c>
      <c r="G126" s="155">
        <f t="shared" si="84"/>
        <v>8124</v>
      </c>
      <c r="H126" s="155">
        <v>70</v>
      </c>
      <c r="I126" s="155"/>
      <c r="J126" s="155">
        <f t="shared" si="85"/>
        <v>677</v>
      </c>
      <c r="K126" s="155">
        <v>300</v>
      </c>
      <c r="L126" s="155"/>
      <c r="M126" s="155">
        <v>125</v>
      </c>
      <c r="N126" s="155">
        <v>30</v>
      </c>
      <c r="O126" s="155">
        <v>100</v>
      </c>
      <c r="P126" s="155">
        <f t="shared" si="44"/>
        <v>770.09</v>
      </c>
      <c r="Q126" s="155">
        <f>P126/13</f>
        <v>59.237692307692313</v>
      </c>
      <c r="R126" s="155"/>
      <c r="S126" s="155"/>
      <c r="T126" s="155"/>
      <c r="U126" s="155">
        <f t="shared" si="86"/>
        <v>660.08</v>
      </c>
      <c r="V126" s="155">
        <f t="shared" si="87"/>
        <v>50.775384615384617</v>
      </c>
      <c r="W126" s="155"/>
      <c r="X126" s="155"/>
      <c r="Y126" s="155">
        <f t="shared" si="88"/>
        <v>1430.17</v>
      </c>
      <c r="Z126" s="155">
        <f t="shared" si="89"/>
        <v>88.01</v>
      </c>
      <c r="AA126" s="155">
        <f t="shared" si="90"/>
        <v>6.7700000000000005</v>
      </c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</row>
    <row r="127" spans="1:38" ht="21.9" customHeight="1">
      <c r="A127" s="154">
        <f t="shared" si="91"/>
        <v>94</v>
      </c>
      <c r="B127" s="176" t="s">
        <v>181</v>
      </c>
      <c r="C127" s="161" t="s">
        <v>173</v>
      </c>
      <c r="D127" s="161" t="s">
        <v>79</v>
      </c>
      <c r="E127" s="163" t="s">
        <v>47</v>
      </c>
      <c r="F127" s="155">
        <f>467+30+50+50</f>
        <v>597</v>
      </c>
      <c r="G127" s="155">
        <f t="shared" si="84"/>
        <v>7164</v>
      </c>
      <c r="H127" s="155">
        <v>70</v>
      </c>
      <c r="I127" s="155"/>
      <c r="J127" s="155">
        <f t="shared" si="85"/>
        <v>597</v>
      </c>
      <c r="K127" s="155">
        <v>300</v>
      </c>
      <c r="L127" s="155"/>
      <c r="M127" s="155">
        <v>125</v>
      </c>
      <c r="N127" s="155">
        <v>30</v>
      </c>
      <c r="O127" s="155">
        <v>100</v>
      </c>
      <c r="P127" s="155">
        <f t="shared" si="44"/>
        <v>679.09</v>
      </c>
      <c r="Q127" s="155">
        <f>P127/13</f>
        <v>52.237692307692313</v>
      </c>
      <c r="R127" s="155"/>
      <c r="S127" s="155"/>
      <c r="T127" s="155"/>
      <c r="U127" s="155">
        <f t="shared" si="86"/>
        <v>582.08000000000004</v>
      </c>
      <c r="V127" s="155">
        <f t="shared" si="87"/>
        <v>44.775384615384617</v>
      </c>
      <c r="W127" s="155"/>
      <c r="X127" s="155"/>
      <c r="Y127" s="155">
        <f t="shared" si="88"/>
        <v>1261.17</v>
      </c>
      <c r="Z127" s="155">
        <f t="shared" si="89"/>
        <v>77.61</v>
      </c>
      <c r="AA127" s="155">
        <f t="shared" si="90"/>
        <v>5.97</v>
      </c>
      <c r="AB127" s="225"/>
      <c r="AC127" s="225"/>
      <c r="AD127" s="155"/>
      <c r="AE127" s="225"/>
      <c r="AF127" s="155"/>
      <c r="AG127" s="155"/>
      <c r="AH127" s="225"/>
      <c r="AI127" s="225"/>
      <c r="AJ127" s="225"/>
      <c r="AK127" s="225"/>
      <c r="AL127" s="155"/>
    </row>
    <row r="128" spans="1:38" ht="21.9" customHeight="1">
      <c r="A128" s="154">
        <f t="shared" si="91"/>
        <v>95</v>
      </c>
      <c r="B128" s="176" t="s">
        <v>181</v>
      </c>
      <c r="C128" s="161" t="s">
        <v>173</v>
      </c>
      <c r="D128" s="161" t="s">
        <v>79</v>
      </c>
      <c r="E128" s="163" t="s">
        <v>47</v>
      </c>
      <c r="F128" s="155">
        <f>467+30+50+50</f>
        <v>597</v>
      </c>
      <c r="G128" s="155">
        <f t="shared" si="84"/>
        <v>7164</v>
      </c>
      <c r="H128" s="155">
        <v>70</v>
      </c>
      <c r="I128" s="155"/>
      <c r="J128" s="155">
        <f t="shared" si="85"/>
        <v>597</v>
      </c>
      <c r="K128" s="155">
        <v>300</v>
      </c>
      <c r="L128" s="155"/>
      <c r="M128" s="155"/>
      <c r="N128" s="155">
        <v>30</v>
      </c>
      <c r="O128" s="155">
        <v>100</v>
      </c>
      <c r="P128" s="155">
        <f t="shared" si="44"/>
        <v>679.09</v>
      </c>
      <c r="Q128" s="155"/>
      <c r="R128" s="155">
        <f t="shared" ref="R128:R134" si="92">P128/13</f>
        <v>52.237692307692313</v>
      </c>
      <c r="S128" s="155"/>
      <c r="T128" s="155"/>
      <c r="U128" s="155">
        <f t="shared" si="86"/>
        <v>582.08000000000004</v>
      </c>
      <c r="V128" s="155">
        <f t="shared" si="87"/>
        <v>44.775384615384617</v>
      </c>
      <c r="W128" s="155"/>
      <c r="X128" s="155"/>
      <c r="Y128" s="155">
        <f t="shared" si="88"/>
        <v>1261.17</v>
      </c>
      <c r="Z128" s="155">
        <f t="shared" si="89"/>
        <v>77.61</v>
      </c>
      <c r="AA128" s="155">
        <f t="shared" si="90"/>
        <v>5.97</v>
      </c>
      <c r="AB128" s="225"/>
      <c r="AC128" s="225"/>
      <c r="AD128" s="155"/>
      <c r="AE128" s="225"/>
      <c r="AF128" s="155"/>
      <c r="AG128" s="155"/>
      <c r="AH128" s="225"/>
      <c r="AI128" s="225"/>
      <c r="AJ128" s="225"/>
      <c r="AK128" s="225"/>
      <c r="AL128" s="155"/>
    </row>
    <row r="129" spans="1:38" ht="21.9" customHeight="1">
      <c r="A129" s="154">
        <f t="shared" si="91"/>
        <v>96</v>
      </c>
      <c r="B129" s="176" t="s">
        <v>181</v>
      </c>
      <c r="C129" s="161" t="s">
        <v>173</v>
      </c>
      <c r="D129" s="161" t="s">
        <v>79</v>
      </c>
      <c r="E129" s="163" t="s">
        <v>47</v>
      </c>
      <c r="F129" s="155">
        <v>517</v>
      </c>
      <c r="G129" s="155">
        <f t="shared" si="84"/>
        <v>6204</v>
      </c>
      <c r="H129" s="155">
        <v>70</v>
      </c>
      <c r="I129" s="155"/>
      <c r="J129" s="155">
        <v>517</v>
      </c>
      <c r="K129" s="155">
        <v>300</v>
      </c>
      <c r="L129" s="155"/>
      <c r="M129" s="155">
        <v>125</v>
      </c>
      <c r="N129" s="155">
        <v>30</v>
      </c>
      <c r="O129" s="155">
        <v>100</v>
      </c>
      <c r="P129" s="155">
        <f t="shared" si="44"/>
        <v>588.09</v>
      </c>
      <c r="Q129" s="226"/>
      <c r="R129" s="155">
        <f t="shared" si="92"/>
        <v>45.237692307692313</v>
      </c>
      <c r="S129" s="155"/>
      <c r="T129" s="155"/>
      <c r="U129" s="155">
        <f t="shared" si="86"/>
        <v>504.08</v>
      </c>
      <c r="V129" s="155">
        <f t="shared" si="87"/>
        <v>38.775384615384617</v>
      </c>
      <c r="W129" s="155"/>
      <c r="X129" s="155"/>
      <c r="Y129" s="155">
        <f t="shared" si="88"/>
        <v>1092.17</v>
      </c>
      <c r="Z129" s="155">
        <f t="shared" si="89"/>
        <v>67.209999999999994</v>
      </c>
      <c r="AA129" s="155">
        <f t="shared" si="90"/>
        <v>5.17</v>
      </c>
      <c r="AB129" s="225"/>
      <c r="AC129" s="225"/>
      <c r="AD129" s="155"/>
      <c r="AE129" s="225"/>
      <c r="AF129" s="155"/>
      <c r="AG129" s="155"/>
      <c r="AH129" s="225"/>
      <c r="AI129" s="225"/>
      <c r="AJ129" s="225"/>
      <c r="AK129" s="225"/>
      <c r="AL129" s="155"/>
    </row>
    <row r="130" spans="1:38" ht="21.9" customHeight="1">
      <c r="A130" s="154">
        <f t="shared" si="91"/>
        <v>97</v>
      </c>
      <c r="B130" s="176" t="s">
        <v>186</v>
      </c>
      <c r="C130" s="161" t="s">
        <v>173</v>
      </c>
      <c r="D130" s="161" t="s">
        <v>79</v>
      </c>
      <c r="E130" s="163" t="s">
        <v>47</v>
      </c>
      <c r="F130" s="155">
        <v>417</v>
      </c>
      <c r="G130" s="155">
        <f t="shared" si="84"/>
        <v>5004</v>
      </c>
      <c r="H130" s="155">
        <v>70</v>
      </c>
      <c r="I130" s="155"/>
      <c r="J130" s="155">
        <f t="shared" si="85"/>
        <v>417</v>
      </c>
      <c r="K130" s="155">
        <v>300</v>
      </c>
      <c r="L130" s="155"/>
      <c r="M130" s="155"/>
      <c r="N130" s="155">
        <v>30</v>
      </c>
      <c r="O130" s="155">
        <v>100</v>
      </c>
      <c r="P130" s="155">
        <f t="shared" si="44"/>
        <v>474.34</v>
      </c>
      <c r="Q130" s="226"/>
      <c r="R130" s="155">
        <f t="shared" si="92"/>
        <v>36.487692307692306</v>
      </c>
      <c r="S130" s="155"/>
      <c r="T130" s="155"/>
      <c r="U130" s="155">
        <f t="shared" si="86"/>
        <v>406.58</v>
      </c>
      <c r="V130" s="155">
        <f t="shared" si="87"/>
        <v>31.275384615384613</v>
      </c>
      <c r="W130" s="155"/>
      <c r="X130" s="155"/>
      <c r="Y130" s="155">
        <f>P130+S130+U130+W130</f>
        <v>880.92</v>
      </c>
      <c r="Z130" s="155">
        <f t="shared" si="89"/>
        <v>54.21</v>
      </c>
      <c r="AA130" s="155">
        <f t="shared" si="90"/>
        <v>4.17</v>
      </c>
      <c r="AB130" s="225"/>
      <c r="AC130" s="225"/>
      <c r="AD130" s="155"/>
      <c r="AE130" s="225"/>
      <c r="AF130" s="155"/>
      <c r="AG130" s="155"/>
      <c r="AH130" s="225"/>
      <c r="AI130" s="225"/>
      <c r="AJ130" s="225"/>
      <c r="AK130" s="225"/>
      <c r="AL130" s="155"/>
    </row>
    <row r="131" spans="1:38" ht="21.9" customHeight="1">
      <c r="A131" s="154">
        <f t="shared" si="91"/>
        <v>98</v>
      </c>
      <c r="B131" s="176" t="s">
        <v>186</v>
      </c>
      <c r="C131" s="161" t="s">
        <v>173</v>
      </c>
      <c r="D131" s="161" t="s">
        <v>79</v>
      </c>
      <c r="E131" s="163" t="s">
        <v>47</v>
      </c>
      <c r="F131" s="155">
        <v>417</v>
      </c>
      <c r="G131" s="155">
        <f t="shared" si="84"/>
        <v>5004</v>
      </c>
      <c r="H131" s="155">
        <v>70</v>
      </c>
      <c r="I131" s="155"/>
      <c r="J131" s="155">
        <f t="shared" si="85"/>
        <v>417</v>
      </c>
      <c r="K131" s="155">
        <v>300</v>
      </c>
      <c r="L131" s="155"/>
      <c r="M131" s="155">
        <v>125</v>
      </c>
      <c r="N131" s="155">
        <v>30</v>
      </c>
      <c r="O131" s="155">
        <v>100</v>
      </c>
      <c r="P131" s="155">
        <f t="shared" si="44"/>
        <v>474.34</v>
      </c>
      <c r="Q131" s="155"/>
      <c r="R131" s="155">
        <f t="shared" si="92"/>
        <v>36.487692307692306</v>
      </c>
      <c r="S131" s="155"/>
      <c r="T131" s="155"/>
      <c r="U131" s="155">
        <f t="shared" si="86"/>
        <v>406.58</v>
      </c>
      <c r="V131" s="155">
        <f t="shared" si="87"/>
        <v>31.275384615384613</v>
      </c>
      <c r="W131" s="155"/>
      <c r="X131" s="155"/>
      <c r="Y131" s="155">
        <f>P131+S131+U131+W131</f>
        <v>880.92</v>
      </c>
      <c r="Z131" s="155">
        <f t="shared" si="89"/>
        <v>54.21</v>
      </c>
      <c r="AA131" s="155">
        <f t="shared" si="90"/>
        <v>4.17</v>
      </c>
      <c r="AB131" s="225"/>
      <c r="AC131" s="225"/>
      <c r="AD131" s="155"/>
      <c r="AE131" s="225"/>
      <c r="AF131" s="155"/>
      <c r="AG131" s="155"/>
      <c r="AH131" s="225"/>
      <c r="AI131" s="225"/>
      <c r="AJ131" s="225"/>
      <c r="AK131" s="225"/>
      <c r="AL131" s="155"/>
    </row>
    <row r="132" spans="1:38" ht="21.9" customHeight="1">
      <c r="A132" s="154">
        <f t="shared" si="91"/>
        <v>99</v>
      </c>
      <c r="B132" s="176" t="s">
        <v>186</v>
      </c>
      <c r="C132" s="161" t="s">
        <v>173</v>
      </c>
      <c r="D132" s="161" t="s">
        <v>79</v>
      </c>
      <c r="E132" s="163" t="s">
        <v>47</v>
      </c>
      <c r="F132" s="155">
        <v>417</v>
      </c>
      <c r="G132" s="155">
        <f t="shared" si="84"/>
        <v>5004</v>
      </c>
      <c r="H132" s="155">
        <v>70</v>
      </c>
      <c r="I132" s="155"/>
      <c r="J132" s="155">
        <f t="shared" si="85"/>
        <v>417</v>
      </c>
      <c r="K132" s="155">
        <v>300</v>
      </c>
      <c r="L132" s="155"/>
      <c r="M132" s="155">
        <v>125</v>
      </c>
      <c r="N132" s="155">
        <v>30</v>
      </c>
      <c r="O132" s="155">
        <v>100</v>
      </c>
      <c r="P132" s="155">
        <f t="shared" si="44"/>
        <v>474.34</v>
      </c>
      <c r="Q132" s="155"/>
      <c r="R132" s="155">
        <f t="shared" si="92"/>
        <v>36.487692307692306</v>
      </c>
      <c r="S132" s="155"/>
      <c r="T132" s="155"/>
      <c r="U132" s="155">
        <f t="shared" si="86"/>
        <v>406.58</v>
      </c>
      <c r="V132" s="155">
        <f t="shared" si="87"/>
        <v>31.275384615384613</v>
      </c>
      <c r="W132" s="155"/>
      <c r="X132" s="155"/>
      <c r="Y132" s="155">
        <f>P132+S132+U132+W132</f>
        <v>880.92</v>
      </c>
      <c r="Z132" s="155">
        <f t="shared" si="89"/>
        <v>54.21</v>
      </c>
      <c r="AA132" s="155">
        <f t="shared" si="90"/>
        <v>4.17</v>
      </c>
      <c r="AB132" s="225"/>
      <c r="AC132" s="225"/>
      <c r="AD132" s="155"/>
      <c r="AE132" s="225"/>
      <c r="AF132" s="155"/>
      <c r="AG132" s="155"/>
      <c r="AH132" s="225"/>
      <c r="AI132" s="225"/>
      <c r="AJ132" s="225"/>
      <c r="AK132" s="225"/>
      <c r="AL132" s="155"/>
    </row>
    <row r="133" spans="1:38" ht="21.9" customHeight="1">
      <c r="A133" s="154">
        <f t="shared" si="91"/>
        <v>100</v>
      </c>
      <c r="B133" s="176" t="s">
        <v>186</v>
      </c>
      <c r="C133" s="161" t="s">
        <v>173</v>
      </c>
      <c r="D133" s="161" t="s">
        <v>79</v>
      </c>
      <c r="E133" s="163" t="s">
        <v>47</v>
      </c>
      <c r="F133" s="155">
        <v>417</v>
      </c>
      <c r="G133" s="155">
        <f t="shared" ref="G133" si="93">F133*12</f>
        <v>5004</v>
      </c>
      <c r="H133" s="155">
        <v>70</v>
      </c>
      <c r="I133" s="155"/>
      <c r="J133" s="155">
        <f t="shared" ref="J133" si="94">F133</f>
        <v>417</v>
      </c>
      <c r="K133" s="155">
        <v>300</v>
      </c>
      <c r="L133" s="155"/>
      <c r="M133" s="155">
        <v>125</v>
      </c>
      <c r="N133" s="155">
        <v>30</v>
      </c>
      <c r="O133" s="155">
        <v>100</v>
      </c>
      <c r="P133" s="155">
        <f t="shared" ref="P133" si="95">ROUND(F133*0.0875*13,2)</f>
        <v>474.34</v>
      </c>
      <c r="Q133" s="155"/>
      <c r="R133" s="155">
        <f t="shared" ref="R133" si="96">P133/13</f>
        <v>36.487692307692306</v>
      </c>
      <c r="S133" s="155"/>
      <c r="T133" s="155"/>
      <c r="U133" s="155">
        <f t="shared" ref="U133" si="97">ROUND(F133*0.075*13,2)</f>
        <v>406.58</v>
      </c>
      <c r="V133" s="155">
        <f t="shared" ref="V133" si="98">U133/13</f>
        <v>31.275384615384613</v>
      </c>
      <c r="W133" s="155"/>
      <c r="X133" s="155"/>
      <c r="Y133" s="155">
        <f>P133+S133+U133+W133</f>
        <v>880.92</v>
      </c>
      <c r="Z133" s="155">
        <f t="shared" ref="Z133" si="99">ROUND(F133*0.01*13,2)</f>
        <v>54.21</v>
      </c>
      <c r="AA133" s="155">
        <f t="shared" ref="AA133" si="100">Z133/13</f>
        <v>4.17</v>
      </c>
      <c r="AB133" s="225"/>
      <c r="AC133" s="225"/>
      <c r="AD133" s="155"/>
      <c r="AE133" s="225"/>
      <c r="AF133" s="155"/>
      <c r="AG133" s="155"/>
      <c r="AH133" s="225"/>
      <c r="AI133" s="225"/>
      <c r="AJ133" s="225"/>
      <c r="AK133" s="225"/>
      <c r="AL133" s="155"/>
    </row>
    <row r="134" spans="1:38" ht="21.9" customHeight="1">
      <c r="A134" s="154">
        <f t="shared" si="91"/>
        <v>101</v>
      </c>
      <c r="B134" s="176" t="s">
        <v>186</v>
      </c>
      <c r="C134" s="161" t="s">
        <v>173</v>
      </c>
      <c r="D134" s="161" t="s">
        <v>79</v>
      </c>
      <c r="E134" s="163" t="s">
        <v>47</v>
      </c>
      <c r="F134" s="155">
        <v>417</v>
      </c>
      <c r="G134" s="155">
        <f t="shared" si="84"/>
        <v>5004</v>
      </c>
      <c r="H134" s="155">
        <v>70</v>
      </c>
      <c r="I134" s="155"/>
      <c r="J134" s="155">
        <f t="shared" si="85"/>
        <v>417</v>
      </c>
      <c r="K134" s="155">
        <v>300</v>
      </c>
      <c r="L134" s="155"/>
      <c r="M134" s="155">
        <v>125</v>
      </c>
      <c r="N134" s="155">
        <v>30</v>
      </c>
      <c r="O134" s="155">
        <v>100</v>
      </c>
      <c r="P134" s="155">
        <f t="shared" si="44"/>
        <v>474.34</v>
      </c>
      <c r="Q134" s="155"/>
      <c r="R134" s="155">
        <f t="shared" si="92"/>
        <v>36.487692307692306</v>
      </c>
      <c r="S134" s="155"/>
      <c r="T134" s="155"/>
      <c r="U134" s="155">
        <f t="shared" si="86"/>
        <v>406.58</v>
      </c>
      <c r="V134" s="155">
        <f t="shared" si="87"/>
        <v>31.275384615384613</v>
      </c>
      <c r="W134" s="155"/>
      <c r="X134" s="155"/>
      <c r="Y134" s="155">
        <f>P134+S134+U134+W134</f>
        <v>880.92</v>
      </c>
      <c r="Z134" s="155">
        <f t="shared" si="89"/>
        <v>54.21</v>
      </c>
      <c r="AA134" s="155">
        <f t="shared" si="90"/>
        <v>4.17</v>
      </c>
      <c r="AB134" s="225"/>
      <c r="AC134" s="225"/>
      <c r="AD134" s="155"/>
      <c r="AE134" s="225"/>
      <c r="AF134" s="155"/>
      <c r="AG134" s="155"/>
      <c r="AH134" s="225"/>
      <c r="AI134" s="225"/>
      <c r="AJ134" s="225"/>
      <c r="AK134" s="225"/>
      <c r="AL134" s="155"/>
    </row>
    <row r="135" spans="1:38" ht="21.9" customHeight="1">
      <c r="A135" s="154"/>
      <c r="B135" s="277"/>
      <c r="C135" s="161"/>
      <c r="D135" s="161"/>
      <c r="E135" s="163"/>
      <c r="F135" s="152">
        <f>SUM(F120:F134)</f>
        <v>8864.44</v>
      </c>
      <c r="G135" s="152">
        <f t="shared" ref="G135:AL135" si="101">SUM(G120:G134)</f>
        <v>106373.28</v>
      </c>
      <c r="H135" s="152">
        <f t="shared" si="101"/>
        <v>1050</v>
      </c>
      <c r="I135" s="152">
        <f t="shared" si="101"/>
        <v>0</v>
      </c>
      <c r="J135" s="152">
        <f t="shared" si="101"/>
        <v>8864.44</v>
      </c>
      <c r="K135" s="152">
        <f t="shared" si="101"/>
        <v>4500</v>
      </c>
      <c r="L135" s="152">
        <f t="shared" si="101"/>
        <v>0</v>
      </c>
      <c r="M135" s="152">
        <f>SUM(M120:M134)</f>
        <v>1625</v>
      </c>
      <c r="N135" s="152">
        <f t="shared" si="101"/>
        <v>450</v>
      </c>
      <c r="O135" s="152">
        <f t="shared" si="101"/>
        <v>1500</v>
      </c>
      <c r="P135" s="152">
        <f>SUM(P120:P134)</f>
        <v>10083.320000000002</v>
      </c>
      <c r="Q135" s="152">
        <f>SUM(Q120:Q134)+0.01</f>
        <v>373.49846153846158</v>
      </c>
      <c r="R135" s="152">
        <f>SUM(R120:R134)+0.01</f>
        <v>402.16153846153856</v>
      </c>
      <c r="S135" s="152">
        <f t="shared" si="101"/>
        <v>0</v>
      </c>
      <c r="T135" s="152">
        <f t="shared" si="101"/>
        <v>0</v>
      </c>
      <c r="U135" s="152">
        <f>SUM(U120:U134)</f>
        <v>8642.8799999999992</v>
      </c>
      <c r="V135" s="152">
        <f>SUM(V120:V134)+0.05</f>
        <v>664.88692307692293</v>
      </c>
      <c r="W135" s="152">
        <f t="shared" si="101"/>
        <v>0</v>
      </c>
      <c r="X135" s="152">
        <f t="shared" si="101"/>
        <v>0</v>
      </c>
      <c r="Y135" s="152">
        <f>SUM(Y120:Y134)</f>
        <v>18726.199999999997</v>
      </c>
      <c r="Z135" s="152">
        <f t="shared" si="101"/>
        <v>1152.3800000000001</v>
      </c>
      <c r="AA135" s="152">
        <f t="shared" si="101"/>
        <v>88.644615384615392</v>
      </c>
      <c r="AB135" s="152">
        <f t="shared" si="101"/>
        <v>0</v>
      </c>
      <c r="AC135" s="152">
        <f t="shared" si="101"/>
        <v>0</v>
      </c>
      <c r="AD135" s="152">
        <f t="shared" si="101"/>
        <v>0</v>
      </c>
      <c r="AE135" s="152">
        <f t="shared" si="101"/>
        <v>0</v>
      </c>
      <c r="AF135" s="152">
        <f t="shared" si="101"/>
        <v>0</v>
      </c>
      <c r="AG135" s="152">
        <f t="shared" si="101"/>
        <v>0</v>
      </c>
      <c r="AH135" s="152">
        <f t="shared" si="101"/>
        <v>0</v>
      </c>
      <c r="AI135" s="152">
        <f t="shared" si="101"/>
        <v>0</v>
      </c>
      <c r="AJ135" s="152">
        <f t="shared" si="101"/>
        <v>0</v>
      </c>
      <c r="AK135" s="152">
        <f t="shared" si="101"/>
        <v>0</v>
      </c>
      <c r="AL135" s="152">
        <f t="shared" si="101"/>
        <v>0</v>
      </c>
    </row>
    <row r="136" spans="1:38" ht="21.9" customHeight="1">
      <c r="A136" s="154">
        <f>A134+1</f>
        <v>102</v>
      </c>
      <c r="B136" s="182" t="s">
        <v>128</v>
      </c>
      <c r="C136" s="161" t="s">
        <v>129</v>
      </c>
      <c r="D136" s="161" t="s">
        <v>79</v>
      </c>
      <c r="E136" s="163" t="s">
        <v>47</v>
      </c>
      <c r="F136" s="155">
        <f>675+50</f>
        <v>725</v>
      </c>
      <c r="G136" s="155">
        <f>F136*12</f>
        <v>8700</v>
      </c>
      <c r="H136" s="155">
        <v>70</v>
      </c>
      <c r="I136" s="155"/>
      <c r="J136" s="155">
        <f>F136</f>
        <v>725</v>
      </c>
      <c r="K136" s="155">
        <v>300</v>
      </c>
      <c r="L136" s="155"/>
      <c r="M136" s="155"/>
      <c r="N136" s="155">
        <v>30</v>
      </c>
      <c r="O136" s="155">
        <v>100</v>
      </c>
      <c r="P136" s="155">
        <f t="shared" si="44"/>
        <v>824.69</v>
      </c>
      <c r="Q136" s="226"/>
      <c r="R136" s="155">
        <f>P136/13</f>
        <v>63.437692307692309</v>
      </c>
      <c r="S136" s="155"/>
      <c r="T136" s="155"/>
      <c r="U136" s="155">
        <f>ROUND(F136*0.075*13,2)</f>
        <v>706.88</v>
      </c>
      <c r="V136" s="155">
        <f>U136/13</f>
        <v>54.375384615384618</v>
      </c>
      <c r="W136" s="155"/>
      <c r="X136" s="155"/>
      <c r="Y136" s="155">
        <f>P136+S136+U136+W136</f>
        <v>1531.5700000000002</v>
      </c>
      <c r="Z136" s="155">
        <f>ROUND(F136*0.01*13,2)</f>
        <v>94.25</v>
      </c>
      <c r="AA136" s="155">
        <f>Z136/13</f>
        <v>7.25</v>
      </c>
      <c r="AB136" s="225"/>
      <c r="AC136" s="225"/>
      <c r="AD136" s="155"/>
      <c r="AE136" s="225"/>
      <c r="AF136" s="155"/>
      <c r="AG136" s="155"/>
      <c r="AH136" s="225"/>
      <c r="AI136" s="225"/>
      <c r="AJ136" s="225"/>
      <c r="AK136" s="225"/>
      <c r="AL136" s="155"/>
    </row>
    <row r="137" spans="1:38" ht="21.9" customHeight="1">
      <c r="A137" s="154"/>
      <c r="B137" s="287"/>
      <c r="C137" s="287"/>
      <c r="D137" s="287"/>
      <c r="E137" s="288"/>
      <c r="F137" s="152">
        <f>F136</f>
        <v>725</v>
      </c>
      <c r="G137" s="152">
        <f>G136</f>
        <v>8700</v>
      </c>
      <c r="H137" s="152">
        <f>H136</f>
        <v>70</v>
      </c>
      <c r="I137" s="152">
        <f t="shared" ref="I137:V137" si="102">SUM(I136)</f>
        <v>0</v>
      </c>
      <c r="J137" s="152">
        <f t="shared" si="102"/>
        <v>725</v>
      </c>
      <c r="K137" s="152">
        <f t="shared" si="102"/>
        <v>300</v>
      </c>
      <c r="L137" s="155">
        <f t="shared" si="102"/>
        <v>0</v>
      </c>
      <c r="M137" s="152">
        <f t="shared" si="102"/>
        <v>0</v>
      </c>
      <c r="N137" s="152">
        <f t="shared" si="102"/>
        <v>30</v>
      </c>
      <c r="O137" s="152">
        <f t="shared" si="102"/>
        <v>100</v>
      </c>
      <c r="P137" s="152">
        <f t="shared" si="102"/>
        <v>824.69</v>
      </c>
      <c r="Q137" s="152">
        <f t="shared" si="102"/>
        <v>0</v>
      </c>
      <c r="R137" s="152">
        <f t="shared" si="102"/>
        <v>63.437692307692309</v>
      </c>
      <c r="S137" s="155">
        <f t="shared" si="102"/>
        <v>0</v>
      </c>
      <c r="T137" s="155">
        <f t="shared" si="102"/>
        <v>0</v>
      </c>
      <c r="U137" s="152">
        <f t="shared" si="102"/>
        <v>706.88</v>
      </c>
      <c r="V137" s="152">
        <f t="shared" si="102"/>
        <v>54.375384615384618</v>
      </c>
      <c r="W137" s="155"/>
      <c r="X137" s="155"/>
      <c r="Y137" s="152">
        <f>SUM(Y136)</f>
        <v>1531.5700000000002</v>
      </c>
      <c r="Z137" s="152">
        <f>SUM(Z136)</f>
        <v>94.25</v>
      </c>
      <c r="AA137" s="152">
        <f>SUM(AA136)</f>
        <v>7.25</v>
      </c>
      <c r="AB137" s="225"/>
      <c r="AC137" s="225"/>
      <c r="AD137" s="155"/>
      <c r="AE137" s="155"/>
      <c r="AF137" s="155"/>
      <c r="AG137" s="155"/>
      <c r="AH137" s="225"/>
      <c r="AI137" s="225"/>
      <c r="AJ137" s="225"/>
      <c r="AK137" s="225"/>
      <c r="AL137" s="155"/>
    </row>
    <row r="138" spans="1:38" ht="21.9" customHeight="1">
      <c r="A138" s="154">
        <f>A136+1</f>
        <v>103</v>
      </c>
      <c r="B138" s="178" t="s">
        <v>655</v>
      </c>
      <c r="C138" s="208" t="s">
        <v>637</v>
      </c>
      <c r="D138" s="161" t="s">
        <v>79</v>
      </c>
      <c r="E138" s="163" t="s">
        <v>47</v>
      </c>
      <c r="F138" s="155">
        <f>734.86+30+50</f>
        <v>814.86</v>
      </c>
      <c r="G138" s="155">
        <f>F138*12</f>
        <v>9778.32</v>
      </c>
      <c r="H138" s="155">
        <v>70</v>
      </c>
      <c r="I138" s="155"/>
      <c r="J138" s="155">
        <f>F138</f>
        <v>814.86</v>
      </c>
      <c r="K138" s="155">
        <v>300</v>
      </c>
      <c r="L138" s="155"/>
      <c r="M138" s="155"/>
      <c r="N138" s="155">
        <v>30</v>
      </c>
      <c r="O138" s="155">
        <v>100</v>
      </c>
      <c r="P138" s="155">
        <f t="shared" si="44"/>
        <v>926.9</v>
      </c>
      <c r="Q138" s="155">
        <f>P138/13</f>
        <v>71.3</v>
      </c>
      <c r="R138" s="155"/>
      <c r="S138" s="155"/>
      <c r="T138" s="155"/>
      <c r="U138" s="155">
        <f>ROUND(F138*0.075*13,2)</f>
        <v>794.49</v>
      </c>
      <c r="V138" s="155">
        <f>U138/13</f>
        <v>61.114615384615384</v>
      </c>
      <c r="W138" s="155"/>
      <c r="X138" s="155"/>
      <c r="Y138" s="155">
        <f>P138+S138+U138+W138</f>
        <v>1721.3899999999999</v>
      </c>
      <c r="Z138" s="155">
        <f>ROUND(F138*0.01*13,2)</f>
        <v>105.93</v>
      </c>
      <c r="AA138" s="155">
        <f>Z138/13</f>
        <v>8.1484615384615395</v>
      </c>
      <c r="AB138" s="225"/>
      <c r="AC138" s="225"/>
      <c r="AD138" s="155"/>
      <c r="AE138" s="155"/>
      <c r="AF138" s="155"/>
      <c r="AG138" s="155"/>
      <c r="AH138" s="225"/>
      <c r="AI138" s="225"/>
      <c r="AJ138" s="225"/>
      <c r="AK138" s="225"/>
      <c r="AL138" s="155"/>
    </row>
    <row r="139" spans="1:38" ht="21.9" customHeight="1">
      <c r="A139" s="154">
        <f>A138+1</f>
        <v>104</v>
      </c>
      <c r="B139" s="176" t="s">
        <v>135</v>
      </c>
      <c r="C139" s="208" t="s">
        <v>637</v>
      </c>
      <c r="D139" s="161" t="s">
        <v>79</v>
      </c>
      <c r="E139" s="163" t="s">
        <v>47</v>
      </c>
      <c r="F139" s="155">
        <f>605+30+50+50</f>
        <v>735</v>
      </c>
      <c r="G139" s="155">
        <f>F139*12</f>
        <v>8820</v>
      </c>
      <c r="H139" s="155">
        <v>70</v>
      </c>
      <c r="I139" s="155"/>
      <c r="J139" s="155">
        <f>F139</f>
        <v>735</v>
      </c>
      <c r="K139" s="155">
        <v>300</v>
      </c>
      <c r="L139" s="155"/>
      <c r="M139" s="155">
        <v>125</v>
      </c>
      <c r="N139" s="155">
        <v>30</v>
      </c>
      <c r="O139" s="155">
        <v>100</v>
      </c>
      <c r="P139" s="155">
        <f t="shared" ref="P139" si="103">ROUND(F139*0.0875*13,2)</f>
        <v>836.06</v>
      </c>
      <c r="Q139" s="155">
        <f>P139/13</f>
        <v>64.312307692307684</v>
      </c>
      <c r="R139" s="155"/>
      <c r="S139" s="155"/>
      <c r="T139" s="155"/>
      <c r="U139" s="155">
        <f>ROUND(F139*0.075*13,2)</f>
        <v>716.63</v>
      </c>
      <c r="V139" s="155">
        <f>U139/13</f>
        <v>55.125384615384618</v>
      </c>
      <c r="W139" s="155"/>
      <c r="X139" s="155"/>
      <c r="Y139" s="155">
        <f>P139+S139+U139+W139</f>
        <v>1552.69</v>
      </c>
      <c r="Z139" s="155">
        <f>ROUND(F139*0.01*13,2)</f>
        <v>95.55</v>
      </c>
      <c r="AA139" s="155">
        <f>Z139/13</f>
        <v>7.35</v>
      </c>
      <c r="AB139" s="225"/>
      <c r="AC139" s="225"/>
      <c r="AD139" s="155"/>
      <c r="AE139" s="225"/>
      <c r="AF139" s="155"/>
      <c r="AG139" s="155"/>
      <c r="AH139" s="225"/>
      <c r="AI139" s="225"/>
      <c r="AJ139" s="225"/>
      <c r="AK139" s="225"/>
      <c r="AL139" s="155"/>
    </row>
    <row r="140" spans="1:38" ht="21.9" customHeight="1">
      <c r="A140" s="154">
        <f>A139+1</f>
        <v>105</v>
      </c>
      <c r="B140" s="176" t="s">
        <v>135</v>
      </c>
      <c r="C140" s="208" t="s">
        <v>637</v>
      </c>
      <c r="D140" s="161" t="s">
        <v>79</v>
      </c>
      <c r="E140" s="163" t="s">
        <v>47</v>
      </c>
      <c r="F140" s="155">
        <v>677</v>
      </c>
      <c r="G140" s="155">
        <f>F140*12</f>
        <v>8124</v>
      </c>
      <c r="H140" s="155">
        <v>70</v>
      </c>
      <c r="I140" s="155"/>
      <c r="J140" s="155">
        <f>F140</f>
        <v>677</v>
      </c>
      <c r="K140" s="155">
        <v>300</v>
      </c>
      <c r="L140" s="155"/>
      <c r="M140" s="155">
        <v>125</v>
      </c>
      <c r="N140" s="155">
        <v>30</v>
      </c>
      <c r="O140" s="155">
        <v>100</v>
      </c>
      <c r="P140" s="155">
        <f>ROUND(F140*0.0875*13,2)</f>
        <v>770.09</v>
      </c>
      <c r="Q140" s="155">
        <f>P140/13</f>
        <v>59.237692307692313</v>
      </c>
      <c r="R140" s="155"/>
      <c r="S140" s="155"/>
      <c r="T140" s="155"/>
      <c r="U140" s="155">
        <f>ROUND(F140*0.075*13,2)</f>
        <v>660.08</v>
      </c>
      <c r="V140" s="155">
        <f>U140/13</f>
        <v>50.775384615384617</v>
      </c>
      <c r="W140" s="155"/>
      <c r="X140" s="155"/>
      <c r="Y140" s="155">
        <f>P140+S140+U140+W140</f>
        <v>1430.17</v>
      </c>
      <c r="Z140" s="155">
        <f>ROUND(F140*0.01*13,2)</f>
        <v>88.01</v>
      </c>
      <c r="AA140" s="155">
        <f>Z140/13</f>
        <v>6.7700000000000005</v>
      </c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</row>
    <row r="141" spans="1:38" ht="21.9" customHeight="1">
      <c r="A141" s="154">
        <f>A140+1</f>
        <v>106</v>
      </c>
      <c r="B141" s="176" t="s">
        <v>137</v>
      </c>
      <c r="C141" s="208" t="s">
        <v>637</v>
      </c>
      <c r="D141" s="161" t="s">
        <v>79</v>
      </c>
      <c r="E141" s="163" t="s">
        <v>47</v>
      </c>
      <c r="F141" s="155">
        <f>477+30+50+50</f>
        <v>607</v>
      </c>
      <c r="G141" s="155">
        <f>F141*12</f>
        <v>7284</v>
      </c>
      <c r="H141" s="155">
        <v>70</v>
      </c>
      <c r="I141" s="155"/>
      <c r="J141" s="155">
        <f>F141</f>
        <v>607</v>
      </c>
      <c r="K141" s="155">
        <v>300</v>
      </c>
      <c r="L141" s="155"/>
      <c r="M141" s="155">
        <v>125</v>
      </c>
      <c r="N141" s="155">
        <v>30</v>
      </c>
      <c r="O141" s="155">
        <v>100</v>
      </c>
      <c r="P141" s="155">
        <f t="shared" si="44"/>
        <v>690.46</v>
      </c>
      <c r="Q141" s="155">
        <f>P141/13</f>
        <v>53.112307692307695</v>
      </c>
      <c r="R141" s="155"/>
      <c r="S141" s="155"/>
      <c r="T141" s="155"/>
      <c r="U141" s="155">
        <f>ROUND(F141*0.075*13,2)</f>
        <v>591.83000000000004</v>
      </c>
      <c r="V141" s="155">
        <f>U141/13</f>
        <v>45.525384615384617</v>
      </c>
      <c r="W141" s="155"/>
      <c r="X141" s="155"/>
      <c r="Y141" s="155">
        <f>P141+S141+U141+W141</f>
        <v>1282.29</v>
      </c>
      <c r="Z141" s="155">
        <f>ROUND(F141*0.01*13,2)</f>
        <v>78.91</v>
      </c>
      <c r="AA141" s="155">
        <f>Z141/13</f>
        <v>6.0699999999999994</v>
      </c>
      <c r="AB141" s="225"/>
      <c r="AC141" s="225"/>
      <c r="AD141" s="155"/>
      <c r="AE141" s="225"/>
      <c r="AF141" s="155"/>
      <c r="AG141" s="155"/>
      <c r="AH141" s="225"/>
      <c r="AI141" s="225"/>
      <c r="AJ141" s="225"/>
      <c r="AK141" s="225"/>
      <c r="AL141" s="155"/>
    </row>
    <row r="142" spans="1:38" s="138" customFormat="1" ht="21.9" customHeight="1">
      <c r="A142" s="154">
        <f>A141+1</f>
        <v>107</v>
      </c>
      <c r="B142" s="176" t="s">
        <v>725</v>
      </c>
      <c r="C142" s="208" t="s">
        <v>637</v>
      </c>
      <c r="D142" s="161" t="s">
        <v>79</v>
      </c>
      <c r="E142" s="163" t="s">
        <v>47</v>
      </c>
      <c r="F142" s="155">
        <v>417</v>
      </c>
      <c r="G142" s="155">
        <f>F142*12</f>
        <v>5004</v>
      </c>
      <c r="H142" s="155">
        <v>70</v>
      </c>
      <c r="I142" s="155"/>
      <c r="J142" s="155">
        <f>F142</f>
        <v>417</v>
      </c>
      <c r="K142" s="155">
        <v>300</v>
      </c>
      <c r="L142" s="155"/>
      <c r="M142" s="155"/>
      <c r="N142" s="155">
        <v>30</v>
      </c>
      <c r="O142" s="155">
        <v>100</v>
      </c>
      <c r="P142" s="155">
        <f>ROUND(F142*0.0875*13,2)</f>
        <v>474.34</v>
      </c>
      <c r="Q142" s="226"/>
      <c r="R142" s="155">
        <f>P142/13</f>
        <v>36.487692307692306</v>
      </c>
      <c r="S142" s="155"/>
      <c r="T142" s="155"/>
      <c r="U142" s="155">
        <f>ROUND(F142*0.075*13,2)</f>
        <v>406.58</v>
      </c>
      <c r="V142" s="155">
        <f>U142/13</f>
        <v>31.275384615384613</v>
      </c>
      <c r="W142" s="155"/>
      <c r="X142" s="155"/>
      <c r="Y142" s="155">
        <f>P142+S142+U142+W142</f>
        <v>880.92</v>
      </c>
      <c r="Z142" s="155">
        <f>ROUND(F142*0.01*13,2)</f>
        <v>54.21</v>
      </c>
      <c r="AA142" s="155">
        <f>Z142/13</f>
        <v>4.17</v>
      </c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</row>
    <row r="143" spans="1:38" ht="32.25" customHeight="1">
      <c r="A143" s="154"/>
      <c r="B143" s="277"/>
      <c r="C143" s="189"/>
      <c r="D143" s="189"/>
      <c r="E143" s="289"/>
      <c r="F143" s="167">
        <f t="shared" ref="F143:AA143" si="104">SUM(F138:F142)</f>
        <v>3250.86</v>
      </c>
      <c r="G143" s="167">
        <f t="shared" si="104"/>
        <v>39010.32</v>
      </c>
      <c r="H143" s="167">
        <f t="shared" si="104"/>
        <v>350</v>
      </c>
      <c r="I143" s="167">
        <f t="shared" si="104"/>
        <v>0</v>
      </c>
      <c r="J143" s="167">
        <f t="shared" si="104"/>
        <v>3250.86</v>
      </c>
      <c r="K143" s="167">
        <f t="shared" si="104"/>
        <v>1500</v>
      </c>
      <c r="L143" s="152">
        <f t="shared" si="104"/>
        <v>0</v>
      </c>
      <c r="M143" s="152">
        <f t="shared" si="104"/>
        <v>375</v>
      </c>
      <c r="N143" s="152">
        <f t="shared" si="104"/>
        <v>150</v>
      </c>
      <c r="O143" s="152">
        <f t="shared" si="104"/>
        <v>500</v>
      </c>
      <c r="P143" s="152">
        <f t="shared" si="104"/>
        <v>3697.8500000000004</v>
      </c>
      <c r="Q143" s="152">
        <f t="shared" si="104"/>
        <v>247.96230769230772</v>
      </c>
      <c r="R143" s="152">
        <f t="shared" si="104"/>
        <v>36.487692307692306</v>
      </c>
      <c r="S143" s="152">
        <f t="shared" si="104"/>
        <v>0</v>
      </c>
      <c r="T143" s="152">
        <f t="shared" si="104"/>
        <v>0</v>
      </c>
      <c r="U143" s="152">
        <f t="shared" si="104"/>
        <v>3169.6099999999997</v>
      </c>
      <c r="V143" s="152">
        <f t="shared" si="104"/>
        <v>243.81615384615384</v>
      </c>
      <c r="W143" s="152">
        <f t="shared" si="104"/>
        <v>0</v>
      </c>
      <c r="X143" s="152">
        <f t="shared" si="104"/>
        <v>0</v>
      </c>
      <c r="Y143" s="152">
        <f t="shared" si="104"/>
        <v>6867.46</v>
      </c>
      <c r="Z143" s="152">
        <f t="shared" si="104"/>
        <v>422.60999999999996</v>
      </c>
      <c r="AA143" s="152">
        <f t="shared" si="104"/>
        <v>32.508461538461539</v>
      </c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2"/>
      <c r="AL143" s="152"/>
    </row>
    <row r="144" spans="1:38" ht="28.5" customHeight="1">
      <c r="A144" s="154">
        <f>A142+1</f>
        <v>108</v>
      </c>
      <c r="B144" s="212" t="s">
        <v>701</v>
      </c>
      <c r="C144" s="208" t="s">
        <v>700</v>
      </c>
      <c r="D144" s="161" t="s">
        <v>79</v>
      </c>
      <c r="E144" s="163" t="s">
        <v>47</v>
      </c>
      <c r="F144" s="155">
        <v>1000</v>
      </c>
      <c r="G144" s="155">
        <f t="shared" ref="G144:G149" si="105">F144*12</f>
        <v>12000</v>
      </c>
      <c r="H144" s="155">
        <v>70</v>
      </c>
      <c r="I144" s="155"/>
      <c r="J144" s="155">
        <f t="shared" ref="J144:J149" si="106">F144</f>
        <v>1000</v>
      </c>
      <c r="K144" s="155">
        <v>300</v>
      </c>
      <c r="L144" s="155"/>
      <c r="M144" s="155"/>
      <c r="N144" s="155">
        <v>30</v>
      </c>
      <c r="O144" s="155">
        <v>100</v>
      </c>
      <c r="P144" s="155">
        <f t="shared" ref="P144:P149" si="107">ROUND(F144*0.0875*13,2)</f>
        <v>1137.5</v>
      </c>
      <c r="Q144" s="226"/>
      <c r="R144" s="155">
        <f t="shared" ref="R144:R149" si="108">P144/13</f>
        <v>87.5</v>
      </c>
      <c r="S144" s="155"/>
      <c r="T144" s="155"/>
      <c r="U144" s="155">
        <f>75*13</f>
        <v>975</v>
      </c>
      <c r="V144" s="155">
        <f t="shared" ref="V144:V149" si="109">U144/13</f>
        <v>75</v>
      </c>
      <c r="W144" s="155"/>
      <c r="X144" s="155"/>
      <c r="Y144" s="155">
        <f t="shared" ref="Y144:Y149" si="110">P144+S144+U144+W144</f>
        <v>2112.5</v>
      </c>
      <c r="Z144" s="155">
        <f>F144*0.01*13</f>
        <v>130</v>
      </c>
      <c r="AA144" s="155">
        <f t="shared" ref="AA144:AA149" si="111">Z144/13</f>
        <v>10</v>
      </c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</row>
    <row r="145" spans="1:38" ht="31.5" customHeight="1">
      <c r="A145" s="154">
        <f>A144+1</f>
        <v>109</v>
      </c>
      <c r="B145" s="178" t="s">
        <v>721</v>
      </c>
      <c r="C145" s="208" t="s">
        <v>700</v>
      </c>
      <c r="D145" s="161" t="s">
        <v>79</v>
      </c>
      <c r="E145" s="163" t="s">
        <v>47</v>
      </c>
      <c r="F145" s="155">
        <f>712+30+50+50</f>
        <v>842</v>
      </c>
      <c r="G145" s="155">
        <f t="shared" si="105"/>
        <v>10104</v>
      </c>
      <c r="H145" s="155">
        <v>70</v>
      </c>
      <c r="I145" s="155"/>
      <c r="J145" s="155">
        <f t="shared" si="106"/>
        <v>842</v>
      </c>
      <c r="K145" s="155">
        <v>300</v>
      </c>
      <c r="L145" s="155"/>
      <c r="M145" s="155">
        <v>125</v>
      </c>
      <c r="N145" s="155">
        <v>30</v>
      </c>
      <c r="O145" s="155">
        <v>100</v>
      </c>
      <c r="P145" s="155">
        <f t="shared" si="107"/>
        <v>957.78</v>
      </c>
      <c r="Q145" s="226"/>
      <c r="R145" s="155">
        <f t="shared" si="108"/>
        <v>73.675384615384615</v>
      </c>
      <c r="S145" s="155"/>
      <c r="T145" s="155"/>
      <c r="U145" s="155">
        <f>ROUND(F145*0.075*13,2)</f>
        <v>820.95</v>
      </c>
      <c r="V145" s="155">
        <f t="shared" si="109"/>
        <v>63.150000000000006</v>
      </c>
      <c r="W145" s="155"/>
      <c r="X145" s="155"/>
      <c r="Y145" s="155">
        <f t="shared" si="110"/>
        <v>1778.73</v>
      </c>
      <c r="Z145" s="155">
        <f>ROUND(F145*0.01*13,2)</f>
        <v>109.46</v>
      </c>
      <c r="AA145" s="155">
        <f t="shared" si="111"/>
        <v>8.42</v>
      </c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</row>
    <row r="146" spans="1:38" ht="29.25" customHeight="1">
      <c r="A146" s="154">
        <f>A145+1</f>
        <v>110</v>
      </c>
      <c r="B146" s="178" t="s">
        <v>722</v>
      </c>
      <c r="C146" s="208" t="s">
        <v>700</v>
      </c>
      <c r="D146" s="161" t="s">
        <v>79</v>
      </c>
      <c r="E146" s="163" t="s">
        <v>47</v>
      </c>
      <c r="F146" s="155">
        <v>600</v>
      </c>
      <c r="G146" s="155">
        <f t="shared" si="105"/>
        <v>7200</v>
      </c>
      <c r="H146" s="155">
        <v>70</v>
      </c>
      <c r="I146" s="155"/>
      <c r="J146" s="155">
        <f t="shared" si="106"/>
        <v>600</v>
      </c>
      <c r="K146" s="155">
        <v>300</v>
      </c>
      <c r="L146" s="155"/>
      <c r="M146" s="155"/>
      <c r="N146" s="155">
        <v>30</v>
      </c>
      <c r="O146" s="155">
        <v>100</v>
      </c>
      <c r="P146" s="155">
        <f t="shared" si="107"/>
        <v>682.5</v>
      </c>
      <c r="Q146" s="155"/>
      <c r="R146" s="155">
        <f t="shared" si="108"/>
        <v>52.5</v>
      </c>
      <c r="S146" s="155"/>
      <c r="T146" s="155"/>
      <c r="U146" s="155">
        <f>ROUND(F146*0.075*13,2)</f>
        <v>585</v>
      </c>
      <c r="V146" s="155">
        <f t="shared" si="109"/>
        <v>45</v>
      </c>
      <c r="W146" s="155"/>
      <c r="X146" s="155"/>
      <c r="Y146" s="155">
        <f t="shared" si="110"/>
        <v>1267.5</v>
      </c>
      <c r="Z146" s="155">
        <f>ROUND(F146*0.01*13,2)</f>
        <v>78</v>
      </c>
      <c r="AA146" s="155">
        <f t="shared" si="111"/>
        <v>6</v>
      </c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</row>
    <row r="147" spans="1:38" ht="28.5" customHeight="1">
      <c r="A147" s="154">
        <f>A146+1</f>
        <v>111</v>
      </c>
      <c r="B147" s="178" t="s">
        <v>691</v>
      </c>
      <c r="C147" s="208" t="s">
        <v>700</v>
      </c>
      <c r="D147" s="161" t="s">
        <v>79</v>
      </c>
      <c r="E147" s="163" t="s">
        <v>47</v>
      </c>
      <c r="F147" s="155">
        <v>792</v>
      </c>
      <c r="G147" s="155">
        <f t="shared" si="105"/>
        <v>9504</v>
      </c>
      <c r="H147" s="155">
        <v>70</v>
      </c>
      <c r="I147" s="155"/>
      <c r="J147" s="155">
        <f t="shared" si="106"/>
        <v>792</v>
      </c>
      <c r="K147" s="155">
        <v>300</v>
      </c>
      <c r="L147" s="155"/>
      <c r="M147" s="155"/>
      <c r="N147" s="155">
        <v>30</v>
      </c>
      <c r="O147" s="155">
        <v>100</v>
      </c>
      <c r="P147" s="155">
        <f t="shared" si="107"/>
        <v>900.9</v>
      </c>
      <c r="Q147" s="155"/>
      <c r="R147" s="155">
        <f t="shared" si="108"/>
        <v>69.3</v>
      </c>
      <c r="S147" s="155"/>
      <c r="T147" s="155"/>
      <c r="U147" s="155">
        <f>ROUND(F147*0.075*13,2)</f>
        <v>772.2</v>
      </c>
      <c r="V147" s="155">
        <f t="shared" si="109"/>
        <v>59.400000000000006</v>
      </c>
      <c r="W147" s="155"/>
      <c r="X147" s="155"/>
      <c r="Y147" s="155">
        <f t="shared" si="110"/>
        <v>1673.1</v>
      </c>
      <c r="Z147" s="155">
        <f>ROUND(F147*0.01*13,2)</f>
        <v>102.96</v>
      </c>
      <c r="AA147" s="155">
        <f t="shared" si="111"/>
        <v>7.92</v>
      </c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</row>
    <row r="148" spans="1:38" ht="30" customHeight="1">
      <c r="A148" s="154">
        <f>A147+1</f>
        <v>112</v>
      </c>
      <c r="B148" s="178" t="s">
        <v>723</v>
      </c>
      <c r="C148" s="208" t="s">
        <v>700</v>
      </c>
      <c r="D148" s="161" t="s">
        <v>79</v>
      </c>
      <c r="E148" s="163" t="s">
        <v>47</v>
      </c>
      <c r="F148" s="155">
        <f>500+50</f>
        <v>550</v>
      </c>
      <c r="G148" s="155">
        <f t="shared" si="105"/>
        <v>6600</v>
      </c>
      <c r="H148" s="155">
        <v>70</v>
      </c>
      <c r="I148" s="155"/>
      <c r="J148" s="155">
        <f t="shared" si="106"/>
        <v>550</v>
      </c>
      <c r="K148" s="155">
        <v>300</v>
      </c>
      <c r="L148" s="155"/>
      <c r="M148" s="155"/>
      <c r="N148" s="155">
        <v>30</v>
      </c>
      <c r="O148" s="155">
        <v>100</v>
      </c>
      <c r="P148" s="155">
        <f t="shared" si="107"/>
        <v>625.63</v>
      </c>
      <c r="Q148" s="155"/>
      <c r="R148" s="155">
        <f t="shared" si="108"/>
        <v>48.125384615384618</v>
      </c>
      <c r="S148" s="155"/>
      <c r="T148" s="155"/>
      <c r="U148" s="155">
        <f>ROUND(F148*0.075*13,2)</f>
        <v>536.25</v>
      </c>
      <c r="V148" s="155">
        <f t="shared" si="109"/>
        <v>41.25</v>
      </c>
      <c r="W148" s="155"/>
      <c r="X148" s="155"/>
      <c r="Y148" s="155">
        <f t="shared" si="110"/>
        <v>1161.8800000000001</v>
      </c>
      <c r="Z148" s="155">
        <f>ROUND(F148*0.01*13,2)</f>
        <v>71.5</v>
      </c>
      <c r="AA148" s="155">
        <f t="shared" si="111"/>
        <v>5.5</v>
      </c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</row>
    <row r="149" spans="1:38" ht="21.9" customHeight="1">
      <c r="A149" s="154">
        <f>A148+1</f>
        <v>113</v>
      </c>
      <c r="B149" s="178" t="s">
        <v>724</v>
      </c>
      <c r="C149" s="208" t="s">
        <v>700</v>
      </c>
      <c r="D149" s="161" t="s">
        <v>79</v>
      </c>
      <c r="E149" s="163" t="s">
        <v>47</v>
      </c>
      <c r="F149" s="155">
        <v>500</v>
      </c>
      <c r="G149" s="155">
        <f t="shared" si="105"/>
        <v>6000</v>
      </c>
      <c r="H149" s="155">
        <v>70</v>
      </c>
      <c r="I149" s="155"/>
      <c r="J149" s="155">
        <f t="shared" si="106"/>
        <v>500</v>
      </c>
      <c r="K149" s="155">
        <v>300</v>
      </c>
      <c r="L149" s="155"/>
      <c r="M149" s="155"/>
      <c r="N149" s="155">
        <v>30</v>
      </c>
      <c r="O149" s="155">
        <v>100</v>
      </c>
      <c r="P149" s="155">
        <f t="shared" si="107"/>
        <v>568.75</v>
      </c>
      <c r="Q149" s="155"/>
      <c r="R149" s="155">
        <f t="shared" si="108"/>
        <v>43.75</v>
      </c>
      <c r="S149" s="155"/>
      <c r="T149" s="155"/>
      <c r="U149" s="155">
        <f>ROUND(F149*0.075*13,2)</f>
        <v>487.5</v>
      </c>
      <c r="V149" s="155">
        <f t="shared" si="109"/>
        <v>37.5</v>
      </c>
      <c r="W149" s="155"/>
      <c r="X149" s="155"/>
      <c r="Y149" s="155">
        <f t="shared" si="110"/>
        <v>1056.25</v>
      </c>
      <c r="Z149" s="155">
        <f>ROUND(F149*0.01*13,2)</f>
        <v>65</v>
      </c>
      <c r="AA149" s="155">
        <f t="shared" si="111"/>
        <v>5</v>
      </c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</row>
    <row r="150" spans="1:38" ht="21.9" customHeight="1">
      <c r="A150" s="154"/>
      <c r="B150" s="290"/>
      <c r="C150" s="290"/>
      <c r="D150" s="290"/>
      <c r="E150" s="291"/>
      <c r="F150" s="152">
        <f t="shared" ref="F150:K150" si="112">SUM(F144:F149)</f>
        <v>4284</v>
      </c>
      <c r="G150" s="152">
        <f t="shared" si="112"/>
        <v>51408</v>
      </c>
      <c r="H150" s="152">
        <f t="shared" si="112"/>
        <v>420</v>
      </c>
      <c r="I150" s="152">
        <f t="shared" si="112"/>
        <v>0</v>
      </c>
      <c r="J150" s="152">
        <f t="shared" si="112"/>
        <v>4284</v>
      </c>
      <c r="K150" s="152">
        <f t="shared" si="112"/>
        <v>1800</v>
      </c>
      <c r="L150" s="152"/>
      <c r="M150" s="152">
        <f>SUM(M144:M149)</f>
        <v>125</v>
      </c>
      <c r="N150" s="152">
        <f>SUM(N144:N149)</f>
        <v>180</v>
      </c>
      <c r="O150" s="152">
        <f t="shared" ref="O150:AA150" si="113">SUM(O144:O149)</f>
        <v>600</v>
      </c>
      <c r="P150" s="152">
        <f t="shared" si="113"/>
        <v>4873.0599999999995</v>
      </c>
      <c r="Q150" s="152">
        <f t="shared" si="113"/>
        <v>0</v>
      </c>
      <c r="R150" s="152">
        <f t="shared" si="113"/>
        <v>374.85076923076923</v>
      </c>
      <c r="S150" s="152">
        <f t="shared" si="113"/>
        <v>0</v>
      </c>
      <c r="T150" s="152">
        <f t="shared" si="113"/>
        <v>0</v>
      </c>
      <c r="U150" s="152">
        <f>SUM(U144:U149)</f>
        <v>4176.8999999999996</v>
      </c>
      <c r="V150" s="152">
        <f t="shared" si="113"/>
        <v>321.3</v>
      </c>
      <c r="W150" s="152">
        <f t="shared" si="113"/>
        <v>0</v>
      </c>
      <c r="X150" s="152">
        <f t="shared" si="113"/>
        <v>0</v>
      </c>
      <c r="Y150" s="152">
        <f t="shared" si="113"/>
        <v>9049.9599999999991</v>
      </c>
      <c r="Z150" s="152">
        <f t="shared" si="113"/>
        <v>556.91999999999996</v>
      </c>
      <c r="AA150" s="152">
        <f t="shared" si="113"/>
        <v>42.84</v>
      </c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</row>
    <row r="151" spans="1:38" ht="21.9" customHeight="1">
      <c r="A151" s="154"/>
      <c r="B151" s="292" t="s">
        <v>672</v>
      </c>
      <c r="C151" s="293"/>
      <c r="D151" s="293"/>
      <c r="E151" s="294"/>
      <c r="F151" s="167">
        <f>SUM(F20,F23,F27,F31,F34,F37,F44,F47,F91,F98,F104,F107,F112,F119,F135,F137,F143,F150)</f>
        <v>80801.600000000006</v>
      </c>
      <c r="G151" s="167">
        <f t="shared" ref="G151:AL151" si="114">SUM(G20,G23,G27,G31,G34,G37,G44,G47,G91,G98,G104,G107,G112,G119,G135,G137,G143,G150)</f>
        <v>969619.2</v>
      </c>
      <c r="H151" s="167">
        <f t="shared" si="114"/>
        <v>7910</v>
      </c>
      <c r="I151" s="167">
        <f t="shared" si="114"/>
        <v>15000</v>
      </c>
      <c r="J151" s="167">
        <f t="shared" si="114"/>
        <v>83801.600000000006</v>
      </c>
      <c r="K151" s="167">
        <f t="shared" si="114"/>
        <v>33900</v>
      </c>
      <c r="L151" s="167">
        <f t="shared" si="114"/>
        <v>13700</v>
      </c>
      <c r="M151" s="167">
        <f t="shared" si="114"/>
        <v>10375</v>
      </c>
      <c r="N151" s="167">
        <f t="shared" si="114"/>
        <v>3390</v>
      </c>
      <c r="O151" s="167">
        <f t="shared" si="114"/>
        <v>11300</v>
      </c>
      <c r="P151" s="167">
        <f t="shared" si="114"/>
        <v>122214.77</v>
      </c>
      <c r="Q151" s="167">
        <f t="shared" si="114"/>
        <v>3857.1253846153845</v>
      </c>
      <c r="R151" s="167">
        <f t="shared" si="114"/>
        <v>5544.0707692307706</v>
      </c>
      <c r="S151" s="167">
        <f t="shared" si="114"/>
        <v>0</v>
      </c>
      <c r="T151" s="167">
        <f t="shared" si="114"/>
        <v>0</v>
      </c>
      <c r="U151" s="167">
        <f t="shared" si="114"/>
        <v>83900.640000000029</v>
      </c>
      <c r="V151" s="167">
        <f t="shared" si="114"/>
        <v>6454.1353846153852</v>
      </c>
      <c r="W151" s="167">
        <f t="shared" si="114"/>
        <v>3244.9170000000004</v>
      </c>
      <c r="X151" s="167">
        <f t="shared" si="114"/>
        <v>259.14474999999999</v>
      </c>
      <c r="Y151" s="167">
        <f t="shared" si="114"/>
        <v>209360.32699999993</v>
      </c>
      <c r="Z151" s="167">
        <f t="shared" si="114"/>
        <v>11124.960000000001</v>
      </c>
      <c r="AA151" s="167">
        <f t="shared" si="114"/>
        <v>855.76615384615354</v>
      </c>
      <c r="AB151" s="167">
        <f t="shared" si="114"/>
        <v>457.71428571428572</v>
      </c>
      <c r="AC151" s="167">
        <f t="shared" si="114"/>
        <v>35.47</v>
      </c>
      <c r="AD151" s="167">
        <f t="shared" si="114"/>
        <v>0</v>
      </c>
      <c r="AE151" s="167">
        <f t="shared" si="114"/>
        <v>34.33</v>
      </c>
      <c r="AF151" s="167">
        <f t="shared" si="114"/>
        <v>0</v>
      </c>
      <c r="AG151" s="167">
        <f t="shared" si="114"/>
        <v>69.8</v>
      </c>
      <c r="AH151" s="167">
        <f t="shared" si="114"/>
        <v>4.5771428571428574</v>
      </c>
      <c r="AI151" s="167">
        <f t="shared" si="114"/>
        <v>50000</v>
      </c>
      <c r="AJ151" s="167">
        <f t="shared" si="114"/>
        <v>75000</v>
      </c>
      <c r="AK151" s="167">
        <f t="shared" si="114"/>
        <v>18500</v>
      </c>
      <c r="AL151" s="167">
        <f t="shared" si="114"/>
        <v>400400</v>
      </c>
    </row>
    <row r="152" spans="1:38" ht="21.9" customHeight="1">
      <c r="A152" s="154">
        <f>A149+1</f>
        <v>114</v>
      </c>
      <c r="B152" s="177" t="s">
        <v>762</v>
      </c>
      <c r="C152" s="161" t="s">
        <v>761</v>
      </c>
      <c r="D152" s="161" t="s">
        <v>79</v>
      </c>
      <c r="E152" s="163" t="s">
        <v>209</v>
      </c>
      <c r="F152" s="155">
        <v>1500</v>
      </c>
      <c r="G152" s="155">
        <f t="shared" ref="G152:G158" si="115">F152*12</f>
        <v>18000</v>
      </c>
      <c r="H152" s="155">
        <v>70</v>
      </c>
      <c r="I152" s="155"/>
      <c r="J152" s="155">
        <f t="shared" ref="J152:J158" si="116">F152</f>
        <v>1500</v>
      </c>
      <c r="K152" s="155">
        <v>300</v>
      </c>
      <c r="L152" s="155"/>
      <c r="M152" s="155">
        <v>125</v>
      </c>
      <c r="N152" s="155">
        <v>30</v>
      </c>
      <c r="O152" s="155">
        <v>100</v>
      </c>
      <c r="P152" s="155">
        <f t="shared" ref="P152:P158" si="117">ROUND(F152*0.0875*13,2)</f>
        <v>1706.25</v>
      </c>
      <c r="Q152" s="155">
        <f>P152/13</f>
        <v>131.25</v>
      </c>
      <c r="R152" s="155"/>
      <c r="S152" s="155"/>
      <c r="T152" s="155"/>
      <c r="U152" s="155">
        <f>75*13</f>
        <v>975</v>
      </c>
      <c r="V152" s="155">
        <f t="shared" ref="V152:V158" si="118">U152/13</f>
        <v>75</v>
      </c>
      <c r="W152" s="155"/>
      <c r="X152" s="155"/>
      <c r="Y152" s="155">
        <f t="shared" ref="Y152:Y158" si="119">P152+S152+U152+W152</f>
        <v>2681.25</v>
      </c>
      <c r="Z152" s="155">
        <v>130</v>
      </c>
      <c r="AA152" s="155">
        <f t="shared" ref="AA152:AA158" si="120">Z152/13</f>
        <v>10</v>
      </c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</row>
    <row r="153" spans="1:38" ht="21.9" customHeight="1">
      <c r="A153" s="154">
        <f t="shared" ref="A153:A158" si="121">A152+1</f>
        <v>115</v>
      </c>
      <c r="B153" s="176" t="s">
        <v>763</v>
      </c>
      <c r="C153" s="161" t="s">
        <v>761</v>
      </c>
      <c r="D153" s="161" t="s">
        <v>79</v>
      </c>
      <c r="E153" s="163" t="s">
        <v>209</v>
      </c>
      <c r="F153" s="155">
        <v>759.57</v>
      </c>
      <c r="G153" s="155">
        <f t="shared" si="115"/>
        <v>9114.84</v>
      </c>
      <c r="H153" s="155">
        <v>70</v>
      </c>
      <c r="I153" s="155"/>
      <c r="J153" s="155">
        <f t="shared" si="116"/>
        <v>759.57</v>
      </c>
      <c r="K153" s="155">
        <v>300</v>
      </c>
      <c r="L153" s="155"/>
      <c r="M153" s="155">
        <v>125</v>
      </c>
      <c r="N153" s="155">
        <v>30</v>
      </c>
      <c r="O153" s="155">
        <v>100</v>
      </c>
      <c r="P153" s="155">
        <f t="shared" si="117"/>
        <v>864.01</v>
      </c>
      <c r="Q153" s="155">
        <f>P153/13</f>
        <v>66.462307692307689</v>
      </c>
      <c r="R153" s="155"/>
      <c r="S153" s="155"/>
      <c r="T153" s="155"/>
      <c r="U153" s="155">
        <f t="shared" ref="U153:U158" si="122">ROUND(F153*0.075*13,2)</f>
        <v>740.58</v>
      </c>
      <c r="V153" s="155">
        <f t="shared" si="118"/>
        <v>56.96769230769231</v>
      </c>
      <c r="W153" s="155"/>
      <c r="X153" s="155"/>
      <c r="Y153" s="155">
        <f t="shared" si="119"/>
        <v>1604.5900000000001</v>
      </c>
      <c r="Z153" s="155">
        <f t="shared" ref="Z153:Z158" si="123">ROUND(F153*0.01*13,2)</f>
        <v>98.74</v>
      </c>
      <c r="AA153" s="155">
        <f t="shared" si="120"/>
        <v>7.5953846153846154</v>
      </c>
      <c r="AB153" s="155"/>
      <c r="AC153" s="155"/>
      <c r="AD153" s="155"/>
      <c r="AE153" s="155"/>
      <c r="AF153" s="155"/>
      <c r="AG153" s="155"/>
      <c r="AH153" s="155"/>
      <c r="AI153" s="225"/>
      <c r="AJ153" s="225"/>
      <c r="AK153" s="225"/>
      <c r="AL153" s="155"/>
    </row>
    <row r="154" spans="1:38" ht="21.9" customHeight="1">
      <c r="A154" s="154">
        <f t="shared" si="121"/>
        <v>116</v>
      </c>
      <c r="B154" s="178" t="s">
        <v>713</v>
      </c>
      <c r="C154" s="161" t="s">
        <v>761</v>
      </c>
      <c r="D154" s="161" t="s">
        <v>79</v>
      </c>
      <c r="E154" s="163" t="s">
        <v>209</v>
      </c>
      <c r="F154" s="155">
        <v>727</v>
      </c>
      <c r="G154" s="155">
        <f t="shared" si="115"/>
        <v>8724</v>
      </c>
      <c r="H154" s="155">
        <v>70</v>
      </c>
      <c r="I154" s="155"/>
      <c r="J154" s="155">
        <f t="shared" si="116"/>
        <v>727</v>
      </c>
      <c r="K154" s="155">
        <v>300</v>
      </c>
      <c r="L154" s="155"/>
      <c r="M154" s="155">
        <v>125</v>
      </c>
      <c r="N154" s="155">
        <v>30</v>
      </c>
      <c r="O154" s="155">
        <v>100</v>
      </c>
      <c r="P154" s="155">
        <f t="shared" si="117"/>
        <v>826.96</v>
      </c>
      <c r="Q154" s="272"/>
      <c r="R154" s="155">
        <f>P154/13</f>
        <v>63.612307692307695</v>
      </c>
      <c r="S154" s="155"/>
      <c r="T154" s="155"/>
      <c r="U154" s="155">
        <f t="shared" si="122"/>
        <v>708.83</v>
      </c>
      <c r="V154" s="155">
        <f t="shared" si="118"/>
        <v>54.525384615384617</v>
      </c>
      <c r="W154" s="155"/>
      <c r="X154" s="155"/>
      <c r="Y154" s="155">
        <f t="shared" si="119"/>
        <v>1535.79</v>
      </c>
      <c r="Z154" s="155">
        <f t="shared" si="123"/>
        <v>94.51</v>
      </c>
      <c r="AA154" s="155">
        <f t="shared" si="120"/>
        <v>7.2700000000000005</v>
      </c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</row>
    <row r="155" spans="1:38" ht="21.9" customHeight="1">
      <c r="A155" s="154">
        <f t="shared" si="121"/>
        <v>117</v>
      </c>
      <c r="B155" s="178" t="s">
        <v>764</v>
      </c>
      <c r="C155" s="161" t="s">
        <v>761</v>
      </c>
      <c r="D155" s="161" t="s">
        <v>79</v>
      </c>
      <c r="E155" s="163" t="s">
        <v>209</v>
      </c>
      <c r="F155" s="155">
        <v>700</v>
      </c>
      <c r="G155" s="155">
        <f t="shared" si="115"/>
        <v>8400</v>
      </c>
      <c r="H155" s="155">
        <v>70</v>
      </c>
      <c r="I155" s="155"/>
      <c r="J155" s="155">
        <f t="shared" si="116"/>
        <v>700</v>
      </c>
      <c r="K155" s="155">
        <v>300</v>
      </c>
      <c r="L155" s="155"/>
      <c r="M155" s="155">
        <v>125</v>
      </c>
      <c r="N155" s="155">
        <v>30</v>
      </c>
      <c r="O155" s="155">
        <v>100</v>
      </c>
      <c r="P155" s="155">
        <f t="shared" si="117"/>
        <v>796.25</v>
      </c>
      <c r="Q155" s="155">
        <f>P155/13</f>
        <v>61.25</v>
      </c>
      <c r="R155" s="155"/>
      <c r="S155" s="155"/>
      <c r="T155" s="155"/>
      <c r="U155" s="155">
        <f t="shared" si="122"/>
        <v>682.5</v>
      </c>
      <c r="V155" s="155">
        <f t="shared" si="118"/>
        <v>52.5</v>
      </c>
      <c r="W155" s="155"/>
      <c r="X155" s="155"/>
      <c r="Y155" s="155">
        <f t="shared" si="119"/>
        <v>1478.75</v>
      </c>
      <c r="Z155" s="155">
        <f t="shared" si="123"/>
        <v>91</v>
      </c>
      <c r="AA155" s="155">
        <f t="shared" si="120"/>
        <v>7</v>
      </c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</row>
    <row r="156" spans="1:38" ht="21.9" customHeight="1">
      <c r="A156" s="154">
        <f t="shared" si="121"/>
        <v>118</v>
      </c>
      <c r="B156" s="178" t="s">
        <v>764</v>
      </c>
      <c r="C156" s="161" t="s">
        <v>761</v>
      </c>
      <c r="D156" s="161" t="s">
        <v>79</v>
      </c>
      <c r="E156" s="163" t="s">
        <v>209</v>
      </c>
      <c r="F156" s="155">
        <v>597</v>
      </c>
      <c r="G156" s="155">
        <f t="shared" si="115"/>
        <v>7164</v>
      </c>
      <c r="H156" s="155">
        <v>70</v>
      </c>
      <c r="I156" s="155"/>
      <c r="J156" s="155">
        <f t="shared" si="116"/>
        <v>597</v>
      </c>
      <c r="K156" s="155">
        <v>300</v>
      </c>
      <c r="L156" s="155"/>
      <c r="M156" s="155"/>
      <c r="N156" s="155">
        <v>30</v>
      </c>
      <c r="O156" s="155">
        <v>100</v>
      </c>
      <c r="P156" s="155">
        <f t="shared" si="117"/>
        <v>679.09</v>
      </c>
      <c r="Q156" s="155"/>
      <c r="R156" s="155">
        <f>P156/13</f>
        <v>52.237692307692313</v>
      </c>
      <c r="S156" s="155"/>
      <c r="T156" s="155"/>
      <c r="U156" s="155">
        <f t="shared" si="122"/>
        <v>582.08000000000004</v>
      </c>
      <c r="V156" s="155">
        <f t="shared" si="118"/>
        <v>44.775384615384617</v>
      </c>
      <c r="W156" s="155"/>
      <c r="X156" s="155"/>
      <c r="Y156" s="155">
        <f t="shared" si="119"/>
        <v>1261.17</v>
      </c>
      <c r="Z156" s="155">
        <f t="shared" si="123"/>
        <v>77.61</v>
      </c>
      <c r="AA156" s="155">
        <f t="shared" si="120"/>
        <v>5.97</v>
      </c>
      <c r="AB156" s="225"/>
      <c r="AC156" s="225"/>
      <c r="AD156" s="155"/>
      <c r="AE156" s="225"/>
      <c r="AF156" s="155"/>
      <c r="AG156" s="155"/>
      <c r="AH156" s="225"/>
      <c r="AI156" s="225"/>
      <c r="AJ156" s="225"/>
      <c r="AK156" s="225"/>
      <c r="AL156" s="155"/>
    </row>
    <row r="157" spans="1:38" ht="21.9" customHeight="1">
      <c r="A157" s="154">
        <f t="shared" si="121"/>
        <v>119</v>
      </c>
      <c r="B157" s="178" t="s">
        <v>217</v>
      </c>
      <c r="C157" s="161" t="s">
        <v>761</v>
      </c>
      <c r="D157" s="161" t="s">
        <v>79</v>
      </c>
      <c r="E157" s="163" t="s">
        <v>209</v>
      </c>
      <c r="F157" s="155">
        <v>800</v>
      </c>
      <c r="G157" s="155">
        <f t="shared" si="115"/>
        <v>9600</v>
      </c>
      <c r="H157" s="155">
        <v>70</v>
      </c>
      <c r="I157" s="155"/>
      <c r="J157" s="155">
        <f t="shared" si="116"/>
        <v>800</v>
      </c>
      <c r="K157" s="155">
        <v>300</v>
      </c>
      <c r="L157" s="155"/>
      <c r="M157" s="155"/>
      <c r="N157" s="155">
        <v>30</v>
      </c>
      <c r="O157" s="155">
        <v>100</v>
      </c>
      <c r="P157" s="155">
        <f t="shared" si="117"/>
        <v>910</v>
      </c>
      <c r="Q157" s="155">
        <f>P157/13</f>
        <v>70</v>
      </c>
      <c r="R157" s="155"/>
      <c r="S157" s="155"/>
      <c r="T157" s="155"/>
      <c r="U157" s="155">
        <f t="shared" si="122"/>
        <v>780</v>
      </c>
      <c r="V157" s="155">
        <f t="shared" si="118"/>
        <v>60</v>
      </c>
      <c r="W157" s="155"/>
      <c r="X157" s="155"/>
      <c r="Y157" s="155">
        <f t="shared" si="119"/>
        <v>1690</v>
      </c>
      <c r="Z157" s="155">
        <f t="shared" si="123"/>
        <v>104</v>
      </c>
      <c r="AA157" s="155">
        <f t="shared" si="120"/>
        <v>8</v>
      </c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</row>
    <row r="158" spans="1:38" ht="21.9" customHeight="1">
      <c r="A158" s="154">
        <f t="shared" si="121"/>
        <v>120</v>
      </c>
      <c r="B158" s="178" t="s">
        <v>219</v>
      </c>
      <c r="C158" s="161" t="s">
        <v>761</v>
      </c>
      <c r="D158" s="161" t="s">
        <v>79</v>
      </c>
      <c r="E158" s="163" t="s">
        <v>209</v>
      </c>
      <c r="F158" s="155">
        <v>547</v>
      </c>
      <c r="G158" s="155">
        <f t="shared" si="115"/>
        <v>6564</v>
      </c>
      <c r="H158" s="155">
        <v>70</v>
      </c>
      <c r="I158" s="155"/>
      <c r="J158" s="155">
        <f t="shared" si="116"/>
        <v>547</v>
      </c>
      <c r="K158" s="155">
        <v>300</v>
      </c>
      <c r="L158" s="155"/>
      <c r="M158" s="155">
        <v>125</v>
      </c>
      <c r="N158" s="155">
        <v>30</v>
      </c>
      <c r="O158" s="155">
        <v>100</v>
      </c>
      <c r="P158" s="155">
        <f t="shared" si="117"/>
        <v>622.21</v>
      </c>
      <c r="Q158" s="155">
        <f>P158/13</f>
        <v>47.862307692307695</v>
      </c>
      <c r="R158" s="155"/>
      <c r="S158" s="155"/>
      <c r="T158" s="155"/>
      <c r="U158" s="155">
        <f t="shared" si="122"/>
        <v>533.33000000000004</v>
      </c>
      <c r="V158" s="155">
        <f t="shared" si="118"/>
        <v>41.025384615384617</v>
      </c>
      <c r="W158" s="155"/>
      <c r="X158" s="155"/>
      <c r="Y158" s="155">
        <f t="shared" si="119"/>
        <v>1155.54</v>
      </c>
      <c r="Z158" s="155">
        <f t="shared" si="123"/>
        <v>71.11</v>
      </c>
      <c r="AA158" s="155">
        <f t="shared" si="120"/>
        <v>5.47</v>
      </c>
      <c r="AB158" s="225"/>
      <c r="AC158" s="225"/>
      <c r="AD158" s="155"/>
      <c r="AE158" s="225"/>
      <c r="AF158" s="155"/>
      <c r="AG158" s="155"/>
      <c r="AH158" s="225"/>
      <c r="AI158" s="225"/>
      <c r="AJ158" s="225"/>
      <c r="AK158" s="225"/>
      <c r="AL158" s="155"/>
    </row>
    <row r="159" spans="1:38" s="170" customFormat="1" ht="21.9" customHeight="1">
      <c r="A159" s="162"/>
      <c r="B159" s="290"/>
      <c r="C159" s="290"/>
      <c r="D159" s="291"/>
      <c r="E159" s="163"/>
      <c r="F159" s="152">
        <f t="shared" ref="F159:T159" si="124">SUM(F152:F158)</f>
        <v>5630.57</v>
      </c>
      <c r="G159" s="152">
        <f t="shared" si="124"/>
        <v>67566.84</v>
      </c>
      <c r="H159" s="152">
        <f t="shared" si="124"/>
        <v>490</v>
      </c>
      <c r="I159" s="152">
        <f t="shared" si="124"/>
        <v>0</v>
      </c>
      <c r="J159" s="152">
        <f t="shared" si="124"/>
        <v>5630.57</v>
      </c>
      <c r="K159" s="152">
        <f t="shared" si="124"/>
        <v>2100</v>
      </c>
      <c r="L159" s="152">
        <f t="shared" si="124"/>
        <v>0</v>
      </c>
      <c r="M159" s="152">
        <f>SUM(M152:M158)</f>
        <v>625</v>
      </c>
      <c r="N159" s="152">
        <f t="shared" si="124"/>
        <v>210</v>
      </c>
      <c r="O159" s="152">
        <f t="shared" si="124"/>
        <v>700</v>
      </c>
      <c r="P159" s="152">
        <f t="shared" si="124"/>
        <v>6404.77</v>
      </c>
      <c r="Q159" s="152">
        <f t="shared" si="124"/>
        <v>376.82461538461541</v>
      </c>
      <c r="R159" s="152">
        <f t="shared" si="124"/>
        <v>115.85000000000001</v>
      </c>
      <c r="S159" s="152">
        <f t="shared" si="124"/>
        <v>0</v>
      </c>
      <c r="T159" s="152">
        <f t="shared" si="124"/>
        <v>0</v>
      </c>
      <c r="U159" s="152">
        <f>SUM(U152:U158)</f>
        <v>5002.32</v>
      </c>
      <c r="V159" s="152">
        <f>SUM(V152:V158)+0.02</f>
        <v>384.81384615384616</v>
      </c>
      <c r="W159" s="152">
        <f t="shared" ref="W159:AL159" si="125">SUM(W152:W158)</f>
        <v>0</v>
      </c>
      <c r="X159" s="152">
        <f t="shared" si="125"/>
        <v>0</v>
      </c>
      <c r="Y159" s="152">
        <f>SUM(Y152:Y158)</f>
        <v>11407.09</v>
      </c>
      <c r="Z159" s="152">
        <f t="shared" si="125"/>
        <v>666.97</v>
      </c>
      <c r="AA159" s="152">
        <f t="shared" si="125"/>
        <v>51.305384615384618</v>
      </c>
      <c r="AB159" s="152">
        <f t="shared" si="125"/>
        <v>0</v>
      </c>
      <c r="AC159" s="152">
        <f t="shared" si="125"/>
        <v>0</v>
      </c>
      <c r="AD159" s="152">
        <f t="shared" si="125"/>
        <v>0</v>
      </c>
      <c r="AE159" s="152">
        <f t="shared" si="125"/>
        <v>0</v>
      </c>
      <c r="AF159" s="152">
        <f t="shared" si="125"/>
        <v>0</v>
      </c>
      <c r="AG159" s="152">
        <f t="shared" si="125"/>
        <v>0</v>
      </c>
      <c r="AH159" s="152">
        <f t="shared" si="125"/>
        <v>0</v>
      </c>
      <c r="AI159" s="152">
        <f t="shared" si="125"/>
        <v>0</v>
      </c>
      <c r="AJ159" s="152">
        <f t="shared" si="125"/>
        <v>0</v>
      </c>
      <c r="AK159" s="152">
        <f t="shared" si="125"/>
        <v>0</v>
      </c>
      <c r="AL159" s="152">
        <f t="shared" si="125"/>
        <v>0</v>
      </c>
    </row>
    <row r="160" spans="1:38" ht="21.9" customHeight="1">
      <c r="A160" s="162">
        <f>A158+1</f>
        <v>121</v>
      </c>
      <c r="B160" s="178" t="s">
        <v>222</v>
      </c>
      <c r="C160" s="161" t="s">
        <v>223</v>
      </c>
      <c r="D160" s="161" t="s">
        <v>79</v>
      </c>
      <c r="E160" s="295" t="s">
        <v>209</v>
      </c>
      <c r="F160" s="169">
        <v>1100</v>
      </c>
      <c r="G160" s="169">
        <f t="shared" ref="G160:G177" si="126">F160*12</f>
        <v>13200</v>
      </c>
      <c r="H160" s="155">
        <v>70</v>
      </c>
      <c r="I160" s="169"/>
      <c r="J160" s="169">
        <f t="shared" ref="J160:J172" si="127">F160</f>
        <v>1100</v>
      </c>
      <c r="K160" s="169">
        <v>300</v>
      </c>
      <c r="L160" s="169"/>
      <c r="M160" s="169">
        <v>125</v>
      </c>
      <c r="N160" s="169">
        <v>30</v>
      </c>
      <c r="O160" s="169">
        <v>100</v>
      </c>
      <c r="P160" s="155">
        <f t="shared" ref="P160:P179" si="128">ROUND(F160*0.0875*13,2)</f>
        <v>1251.25</v>
      </c>
      <c r="Q160" s="296"/>
      <c r="R160" s="169">
        <f>P160/13</f>
        <v>96.25</v>
      </c>
      <c r="S160" s="169"/>
      <c r="T160" s="169"/>
      <c r="U160" s="155">
        <f>75*13</f>
        <v>975</v>
      </c>
      <c r="V160" s="169">
        <f t="shared" ref="V160:V177" si="129">U160/13</f>
        <v>75</v>
      </c>
      <c r="W160" s="169"/>
      <c r="X160" s="169"/>
      <c r="Y160" s="169">
        <f>P160+S160+U160+W160</f>
        <v>2226.25</v>
      </c>
      <c r="Z160" s="169">
        <v>130</v>
      </c>
      <c r="AA160" s="169">
        <f t="shared" ref="AA160:AA177" si="130">Z160/13</f>
        <v>10</v>
      </c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</row>
    <row r="161" spans="1:38" s="170" customFormat="1" ht="21.9" customHeight="1">
      <c r="A161" s="162">
        <f t="shared" ref="A161:A176" si="131">A160+1</f>
        <v>122</v>
      </c>
      <c r="B161" s="178" t="s">
        <v>738</v>
      </c>
      <c r="C161" s="161" t="s">
        <v>223</v>
      </c>
      <c r="D161" s="161" t="s">
        <v>79</v>
      </c>
      <c r="E161" s="163" t="s">
        <v>209</v>
      </c>
      <c r="F161" s="155">
        <v>800</v>
      </c>
      <c r="G161" s="155">
        <f t="shared" si="126"/>
        <v>9600</v>
      </c>
      <c r="H161" s="155">
        <v>70</v>
      </c>
      <c r="I161" s="155"/>
      <c r="J161" s="155">
        <f t="shared" si="127"/>
        <v>800</v>
      </c>
      <c r="K161" s="155">
        <v>300</v>
      </c>
      <c r="L161" s="155"/>
      <c r="M161" s="155">
        <v>125</v>
      </c>
      <c r="N161" s="169">
        <v>30</v>
      </c>
      <c r="O161" s="169">
        <v>100</v>
      </c>
      <c r="P161" s="155">
        <f t="shared" si="128"/>
        <v>910</v>
      </c>
      <c r="Q161" s="226"/>
      <c r="R161" s="155">
        <f>P161/13</f>
        <v>70</v>
      </c>
      <c r="S161" s="155"/>
      <c r="T161" s="155"/>
      <c r="U161" s="155">
        <f t="shared" ref="U161:U179" si="132">ROUND(F161*0.075*13,2)</f>
        <v>780</v>
      </c>
      <c r="V161" s="155">
        <f t="shared" si="129"/>
        <v>60</v>
      </c>
      <c r="W161" s="155"/>
      <c r="X161" s="155"/>
      <c r="Y161" s="155">
        <f>P161+S161+U161+W161</f>
        <v>1690</v>
      </c>
      <c r="Z161" s="155">
        <f t="shared" ref="Z161:Z179" si="133">ROUND(F161*0.01*13,2)</f>
        <v>104</v>
      </c>
      <c r="AA161" s="155">
        <f t="shared" si="130"/>
        <v>8</v>
      </c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</row>
    <row r="162" spans="1:38" s="170" customFormat="1" ht="21.9" customHeight="1">
      <c r="A162" s="162">
        <f t="shared" si="131"/>
        <v>123</v>
      </c>
      <c r="B162" s="178" t="s">
        <v>225</v>
      </c>
      <c r="C162" s="161" t="s">
        <v>223</v>
      </c>
      <c r="D162" s="161" t="s">
        <v>79</v>
      </c>
      <c r="E162" s="295" t="s">
        <v>209</v>
      </c>
      <c r="F162" s="169">
        <f>627+50</f>
        <v>677</v>
      </c>
      <c r="G162" s="169">
        <f t="shared" si="126"/>
        <v>8124</v>
      </c>
      <c r="H162" s="155">
        <v>70</v>
      </c>
      <c r="I162" s="169"/>
      <c r="J162" s="169">
        <f t="shared" si="127"/>
        <v>677</v>
      </c>
      <c r="K162" s="169">
        <v>300</v>
      </c>
      <c r="L162" s="169"/>
      <c r="M162" s="169">
        <v>125</v>
      </c>
      <c r="N162" s="169">
        <v>30</v>
      </c>
      <c r="O162" s="169">
        <v>100</v>
      </c>
      <c r="P162" s="155">
        <f t="shared" si="128"/>
        <v>770.09</v>
      </c>
      <c r="Q162" s="169"/>
      <c r="R162" s="155">
        <f>P162/13</f>
        <v>59.237692307692313</v>
      </c>
      <c r="S162" s="169"/>
      <c r="T162" s="169"/>
      <c r="U162" s="155">
        <f t="shared" si="132"/>
        <v>660.08</v>
      </c>
      <c r="V162" s="169">
        <f t="shared" si="129"/>
        <v>50.775384615384617</v>
      </c>
      <c r="W162" s="169"/>
      <c r="X162" s="169"/>
      <c r="Y162" s="169">
        <f>P162+S162+U162+W162</f>
        <v>1430.17</v>
      </c>
      <c r="Z162" s="155">
        <f t="shared" si="133"/>
        <v>88.01</v>
      </c>
      <c r="AA162" s="169">
        <f t="shared" si="130"/>
        <v>6.7700000000000005</v>
      </c>
      <c r="AB162" s="169"/>
      <c r="AC162" s="169"/>
      <c r="AD162" s="169"/>
      <c r="AE162" s="169"/>
      <c r="AF162" s="169"/>
      <c r="AG162" s="169"/>
      <c r="AH162" s="169"/>
      <c r="AI162" s="169"/>
      <c r="AJ162" s="169"/>
      <c r="AK162" s="169"/>
      <c r="AL162" s="169"/>
    </row>
    <row r="163" spans="1:38" s="170" customFormat="1" ht="21.9" customHeight="1">
      <c r="A163" s="162">
        <f t="shared" si="131"/>
        <v>124</v>
      </c>
      <c r="B163" s="178" t="s">
        <v>227</v>
      </c>
      <c r="C163" s="161" t="s">
        <v>223</v>
      </c>
      <c r="D163" s="161" t="s">
        <v>79</v>
      </c>
      <c r="E163" s="295" t="s">
        <v>209</v>
      </c>
      <c r="F163" s="169">
        <f>645+30+50</f>
        <v>725</v>
      </c>
      <c r="G163" s="169">
        <f t="shared" si="126"/>
        <v>8700</v>
      </c>
      <c r="H163" s="155">
        <v>70</v>
      </c>
      <c r="I163" s="169"/>
      <c r="J163" s="169">
        <f t="shared" si="127"/>
        <v>725</v>
      </c>
      <c r="K163" s="169">
        <v>300</v>
      </c>
      <c r="L163" s="169"/>
      <c r="M163" s="169">
        <v>125</v>
      </c>
      <c r="N163" s="169">
        <v>30</v>
      </c>
      <c r="O163" s="169">
        <v>100</v>
      </c>
      <c r="P163" s="155">
        <f t="shared" si="128"/>
        <v>824.69</v>
      </c>
      <c r="Q163" s="169"/>
      <c r="R163" s="169">
        <f>P163/13</f>
        <v>63.437692307692309</v>
      </c>
      <c r="S163" s="169"/>
      <c r="T163" s="169"/>
      <c r="U163" s="155">
        <f t="shared" si="132"/>
        <v>706.88</v>
      </c>
      <c r="V163" s="169">
        <f t="shared" si="129"/>
        <v>54.375384615384618</v>
      </c>
      <c r="W163" s="169"/>
      <c r="X163" s="169"/>
      <c r="Y163" s="169">
        <f>P163+S163+U163+W163</f>
        <v>1531.5700000000002</v>
      </c>
      <c r="Z163" s="155">
        <f t="shared" si="133"/>
        <v>94.25</v>
      </c>
      <c r="AA163" s="169">
        <f t="shared" si="130"/>
        <v>7.25</v>
      </c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</row>
    <row r="164" spans="1:38" s="170" customFormat="1" ht="21.9" customHeight="1">
      <c r="A164" s="162">
        <f t="shared" si="131"/>
        <v>125</v>
      </c>
      <c r="B164" s="178" t="s">
        <v>229</v>
      </c>
      <c r="C164" s="161" t="s">
        <v>223</v>
      </c>
      <c r="D164" s="161" t="s">
        <v>79</v>
      </c>
      <c r="E164" s="295" t="s">
        <v>209</v>
      </c>
      <c r="F164" s="169">
        <v>600</v>
      </c>
      <c r="G164" s="169">
        <f t="shared" si="126"/>
        <v>7200</v>
      </c>
      <c r="H164" s="155">
        <v>70</v>
      </c>
      <c r="I164" s="169"/>
      <c r="J164" s="169">
        <f t="shared" si="127"/>
        <v>600</v>
      </c>
      <c r="K164" s="169">
        <v>300</v>
      </c>
      <c r="L164" s="169"/>
      <c r="M164" s="169"/>
      <c r="N164" s="169">
        <v>30</v>
      </c>
      <c r="O164" s="169">
        <v>100</v>
      </c>
      <c r="P164" s="155">
        <f t="shared" si="128"/>
        <v>682.5</v>
      </c>
      <c r="Q164" s="296"/>
      <c r="R164" s="169">
        <f>P164/13</f>
        <v>52.5</v>
      </c>
      <c r="S164" s="169"/>
      <c r="T164" s="169"/>
      <c r="U164" s="155">
        <f t="shared" si="132"/>
        <v>585</v>
      </c>
      <c r="V164" s="169">
        <f t="shared" si="129"/>
        <v>45</v>
      </c>
      <c r="W164" s="169"/>
      <c r="X164" s="169"/>
      <c r="Y164" s="169">
        <f t="shared" ref="Y164:Y179" si="134">P164+S164+U164+W164</f>
        <v>1267.5</v>
      </c>
      <c r="Z164" s="155">
        <f t="shared" si="133"/>
        <v>78</v>
      </c>
      <c r="AA164" s="169">
        <f t="shared" si="130"/>
        <v>6</v>
      </c>
      <c r="AB164" s="297"/>
      <c r="AC164" s="297"/>
      <c r="AD164" s="169"/>
      <c r="AE164" s="297"/>
      <c r="AF164" s="169"/>
      <c r="AG164" s="169"/>
      <c r="AH164" s="297"/>
      <c r="AI164" s="297"/>
      <c r="AJ164" s="297"/>
      <c r="AK164" s="297"/>
      <c r="AL164" s="169"/>
    </row>
    <row r="165" spans="1:38" s="170" customFormat="1" ht="21.9" customHeight="1">
      <c r="A165" s="162">
        <f t="shared" si="131"/>
        <v>126</v>
      </c>
      <c r="B165" s="178" t="s">
        <v>231</v>
      </c>
      <c r="C165" s="161" t="s">
        <v>223</v>
      </c>
      <c r="D165" s="161" t="s">
        <v>79</v>
      </c>
      <c r="E165" s="295" t="s">
        <v>209</v>
      </c>
      <c r="F165" s="169">
        <v>615</v>
      </c>
      <c r="G165" s="169">
        <f t="shared" si="126"/>
        <v>7380</v>
      </c>
      <c r="H165" s="155">
        <v>70</v>
      </c>
      <c r="I165" s="169"/>
      <c r="J165" s="169">
        <f t="shared" si="127"/>
        <v>615</v>
      </c>
      <c r="K165" s="169">
        <v>300</v>
      </c>
      <c r="L165" s="169"/>
      <c r="M165" s="169"/>
      <c r="N165" s="169">
        <v>30</v>
      </c>
      <c r="O165" s="169">
        <v>100</v>
      </c>
      <c r="P165" s="155">
        <f t="shared" si="128"/>
        <v>699.56</v>
      </c>
      <c r="Q165" s="169">
        <f>P165/13</f>
        <v>53.812307692307691</v>
      </c>
      <c r="R165" s="169"/>
      <c r="S165" s="169"/>
      <c r="T165" s="169"/>
      <c r="U165" s="155">
        <f t="shared" si="132"/>
        <v>599.63</v>
      </c>
      <c r="V165" s="169">
        <f t="shared" si="129"/>
        <v>46.125384615384618</v>
      </c>
      <c r="W165" s="169"/>
      <c r="X165" s="169"/>
      <c r="Y165" s="169">
        <f t="shared" si="134"/>
        <v>1299.19</v>
      </c>
      <c r="Z165" s="155">
        <f t="shared" si="133"/>
        <v>79.95</v>
      </c>
      <c r="AA165" s="169">
        <f t="shared" si="130"/>
        <v>6.15</v>
      </c>
      <c r="AB165" s="297"/>
      <c r="AC165" s="297"/>
      <c r="AD165" s="169"/>
      <c r="AE165" s="297"/>
      <c r="AF165" s="169"/>
      <c r="AG165" s="169"/>
      <c r="AH165" s="297"/>
      <c r="AI165" s="297"/>
      <c r="AJ165" s="297"/>
      <c r="AK165" s="297"/>
      <c r="AL165" s="169"/>
    </row>
    <row r="166" spans="1:38" s="170" customFormat="1" ht="21.9" customHeight="1">
      <c r="A166" s="162">
        <f t="shared" si="131"/>
        <v>127</v>
      </c>
      <c r="B166" s="178" t="s">
        <v>739</v>
      </c>
      <c r="C166" s="161" t="s">
        <v>223</v>
      </c>
      <c r="D166" s="161" t="s">
        <v>79</v>
      </c>
      <c r="E166" s="295" t="s">
        <v>209</v>
      </c>
      <c r="F166" s="169">
        <f>572+30+50+50</f>
        <v>702</v>
      </c>
      <c r="G166" s="169">
        <f t="shared" si="126"/>
        <v>8424</v>
      </c>
      <c r="H166" s="155">
        <v>70</v>
      </c>
      <c r="I166" s="169"/>
      <c r="J166" s="169">
        <f t="shared" si="127"/>
        <v>702</v>
      </c>
      <c r="K166" s="169">
        <v>300</v>
      </c>
      <c r="L166" s="169"/>
      <c r="M166" s="169"/>
      <c r="N166" s="169">
        <v>30</v>
      </c>
      <c r="O166" s="169">
        <v>100</v>
      </c>
      <c r="P166" s="155">
        <f t="shared" si="128"/>
        <v>798.53</v>
      </c>
      <c r="Q166" s="169">
        <f>P166/13</f>
        <v>61.425384615384615</v>
      </c>
      <c r="R166" s="169"/>
      <c r="S166" s="169"/>
      <c r="T166" s="169"/>
      <c r="U166" s="155">
        <f t="shared" si="132"/>
        <v>684.45</v>
      </c>
      <c r="V166" s="169">
        <f t="shared" si="129"/>
        <v>52.650000000000006</v>
      </c>
      <c r="W166" s="169"/>
      <c r="X166" s="169"/>
      <c r="Y166" s="169">
        <f t="shared" si="134"/>
        <v>1482.98</v>
      </c>
      <c r="Z166" s="155">
        <f t="shared" si="133"/>
        <v>91.26</v>
      </c>
      <c r="AA166" s="169">
        <f t="shared" si="130"/>
        <v>7.0200000000000005</v>
      </c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</row>
    <row r="167" spans="1:38" ht="21.9" customHeight="1">
      <c r="A167" s="162">
        <f t="shared" si="131"/>
        <v>128</v>
      </c>
      <c r="B167" s="178" t="s">
        <v>235</v>
      </c>
      <c r="C167" s="161" t="s">
        <v>223</v>
      </c>
      <c r="D167" s="161" t="s">
        <v>79</v>
      </c>
      <c r="E167" s="295" t="s">
        <v>209</v>
      </c>
      <c r="F167" s="169">
        <f>645+30+50+50</f>
        <v>775</v>
      </c>
      <c r="G167" s="169">
        <f t="shared" si="126"/>
        <v>9300</v>
      </c>
      <c r="H167" s="155">
        <v>70</v>
      </c>
      <c r="I167" s="169"/>
      <c r="J167" s="169">
        <f t="shared" si="127"/>
        <v>775</v>
      </c>
      <c r="K167" s="169">
        <v>300</v>
      </c>
      <c r="L167" s="169"/>
      <c r="M167" s="169">
        <v>125</v>
      </c>
      <c r="N167" s="169">
        <v>30</v>
      </c>
      <c r="O167" s="169">
        <v>100</v>
      </c>
      <c r="P167" s="155">
        <f t="shared" si="128"/>
        <v>881.56</v>
      </c>
      <c r="Q167" s="169">
        <f>P167/13</f>
        <v>67.812307692307684</v>
      </c>
      <c r="R167" s="169"/>
      <c r="S167" s="169"/>
      <c r="T167" s="169"/>
      <c r="U167" s="155">
        <f t="shared" si="132"/>
        <v>755.63</v>
      </c>
      <c r="V167" s="169">
        <f t="shared" si="129"/>
        <v>58.125384615384618</v>
      </c>
      <c r="W167" s="169"/>
      <c r="X167" s="169"/>
      <c r="Y167" s="169">
        <f t="shared" si="134"/>
        <v>1637.19</v>
      </c>
      <c r="Z167" s="155">
        <f t="shared" si="133"/>
        <v>100.75</v>
      </c>
      <c r="AA167" s="169">
        <f t="shared" si="130"/>
        <v>7.75</v>
      </c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</row>
    <row r="168" spans="1:38" s="170" customFormat="1" ht="21.9" customHeight="1">
      <c r="A168" s="162">
        <f t="shared" si="131"/>
        <v>129</v>
      </c>
      <c r="B168" s="178" t="s">
        <v>237</v>
      </c>
      <c r="C168" s="161" t="s">
        <v>223</v>
      </c>
      <c r="D168" s="161" t="s">
        <v>79</v>
      </c>
      <c r="E168" s="163" t="s">
        <v>209</v>
      </c>
      <c r="F168" s="155">
        <f>647+50</f>
        <v>697</v>
      </c>
      <c r="G168" s="155">
        <f t="shared" si="126"/>
        <v>8364</v>
      </c>
      <c r="H168" s="155">
        <v>70</v>
      </c>
      <c r="I168" s="155"/>
      <c r="J168" s="155">
        <f t="shared" si="127"/>
        <v>697</v>
      </c>
      <c r="K168" s="155">
        <v>300</v>
      </c>
      <c r="L168" s="155"/>
      <c r="M168" s="155">
        <v>125</v>
      </c>
      <c r="N168" s="169">
        <v>30</v>
      </c>
      <c r="O168" s="169">
        <v>100</v>
      </c>
      <c r="P168" s="155">
        <f t="shared" si="128"/>
        <v>792.84</v>
      </c>
      <c r="Q168" s="169">
        <f>P168/13</f>
        <v>60.987692307692313</v>
      </c>
      <c r="R168" s="155"/>
      <c r="S168" s="155"/>
      <c r="T168" s="155"/>
      <c r="U168" s="155">
        <f t="shared" si="132"/>
        <v>679.58</v>
      </c>
      <c r="V168" s="155">
        <f t="shared" si="129"/>
        <v>52.275384615384617</v>
      </c>
      <c r="W168" s="155"/>
      <c r="X168" s="155"/>
      <c r="Y168" s="169">
        <f t="shared" si="134"/>
        <v>1472.42</v>
      </c>
      <c r="Z168" s="155">
        <f t="shared" si="133"/>
        <v>90.61</v>
      </c>
      <c r="AA168" s="155">
        <f t="shared" si="130"/>
        <v>6.97</v>
      </c>
      <c r="AB168" s="225"/>
      <c r="AC168" s="225"/>
      <c r="AD168" s="155"/>
      <c r="AE168" s="225"/>
      <c r="AF168" s="155"/>
      <c r="AG168" s="155"/>
      <c r="AH168" s="225"/>
      <c r="AI168" s="225"/>
      <c r="AJ168" s="225"/>
      <c r="AK168" s="225"/>
      <c r="AL168" s="155"/>
    </row>
    <row r="169" spans="1:38" s="170" customFormat="1" ht="21.9" customHeight="1">
      <c r="A169" s="162">
        <f t="shared" si="131"/>
        <v>130</v>
      </c>
      <c r="B169" s="178" t="s">
        <v>237</v>
      </c>
      <c r="C169" s="161" t="s">
        <v>223</v>
      </c>
      <c r="D169" s="161" t="s">
        <v>79</v>
      </c>
      <c r="E169" s="295" t="s">
        <v>209</v>
      </c>
      <c r="F169" s="169">
        <f>517+50+30</f>
        <v>597</v>
      </c>
      <c r="G169" s="169">
        <f t="shared" si="126"/>
        <v>7164</v>
      </c>
      <c r="H169" s="155">
        <v>70</v>
      </c>
      <c r="I169" s="169"/>
      <c r="J169" s="169">
        <f t="shared" si="127"/>
        <v>597</v>
      </c>
      <c r="K169" s="169">
        <v>300</v>
      </c>
      <c r="L169" s="169"/>
      <c r="M169" s="169"/>
      <c r="N169" s="169">
        <v>30</v>
      </c>
      <c r="O169" s="169">
        <v>100</v>
      </c>
      <c r="P169" s="155">
        <f t="shared" si="128"/>
        <v>679.09</v>
      </c>
      <c r="Q169" s="169"/>
      <c r="R169" s="169">
        <f>P169/13</f>
        <v>52.237692307692313</v>
      </c>
      <c r="S169" s="169"/>
      <c r="T169" s="169"/>
      <c r="U169" s="155">
        <f t="shared" si="132"/>
        <v>582.08000000000004</v>
      </c>
      <c r="V169" s="169">
        <f t="shared" si="129"/>
        <v>44.775384615384617</v>
      </c>
      <c r="W169" s="169"/>
      <c r="X169" s="169"/>
      <c r="Y169" s="169">
        <f t="shared" si="134"/>
        <v>1261.17</v>
      </c>
      <c r="Z169" s="155">
        <f t="shared" si="133"/>
        <v>77.61</v>
      </c>
      <c r="AA169" s="169">
        <f t="shared" si="130"/>
        <v>5.97</v>
      </c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</row>
    <row r="170" spans="1:38" ht="21.9" customHeight="1">
      <c r="A170" s="162">
        <f t="shared" si="131"/>
        <v>131</v>
      </c>
      <c r="B170" s="178" t="s">
        <v>239</v>
      </c>
      <c r="C170" s="161" t="s">
        <v>223</v>
      </c>
      <c r="D170" s="161" t="s">
        <v>79</v>
      </c>
      <c r="E170" s="295" t="s">
        <v>209</v>
      </c>
      <c r="F170" s="169">
        <v>700</v>
      </c>
      <c r="G170" s="169">
        <f t="shared" si="126"/>
        <v>8400</v>
      </c>
      <c r="H170" s="155">
        <v>70</v>
      </c>
      <c r="I170" s="169"/>
      <c r="J170" s="169">
        <f t="shared" si="127"/>
        <v>700</v>
      </c>
      <c r="K170" s="169">
        <v>300</v>
      </c>
      <c r="L170" s="169"/>
      <c r="M170" s="169">
        <v>125</v>
      </c>
      <c r="N170" s="169">
        <v>30</v>
      </c>
      <c r="O170" s="169">
        <v>100</v>
      </c>
      <c r="P170" s="155">
        <f t="shared" si="128"/>
        <v>796.25</v>
      </c>
      <c r="Q170" s="296"/>
      <c r="R170" s="169">
        <f>P170/13</f>
        <v>61.25</v>
      </c>
      <c r="S170" s="169"/>
      <c r="T170" s="169"/>
      <c r="U170" s="155">
        <f t="shared" si="132"/>
        <v>682.5</v>
      </c>
      <c r="V170" s="169">
        <f t="shared" si="129"/>
        <v>52.5</v>
      </c>
      <c r="W170" s="169"/>
      <c r="X170" s="169"/>
      <c r="Y170" s="169">
        <f t="shared" si="134"/>
        <v>1478.75</v>
      </c>
      <c r="Z170" s="155">
        <f t="shared" si="133"/>
        <v>91</v>
      </c>
      <c r="AA170" s="169">
        <f t="shared" si="130"/>
        <v>7</v>
      </c>
      <c r="AB170" s="297"/>
      <c r="AC170" s="297"/>
      <c r="AD170" s="169"/>
      <c r="AE170" s="297"/>
      <c r="AF170" s="169"/>
      <c r="AG170" s="169"/>
      <c r="AH170" s="297"/>
      <c r="AI170" s="297"/>
      <c r="AJ170" s="297"/>
      <c r="AK170" s="297"/>
      <c r="AL170" s="169"/>
    </row>
    <row r="171" spans="1:38" ht="21.9" customHeight="1">
      <c r="A171" s="162">
        <f t="shared" si="131"/>
        <v>132</v>
      </c>
      <c r="B171" s="178" t="s">
        <v>241</v>
      </c>
      <c r="C171" s="161" t="s">
        <v>223</v>
      </c>
      <c r="D171" s="161" t="s">
        <v>79</v>
      </c>
      <c r="E171" s="163" t="s">
        <v>209</v>
      </c>
      <c r="F171" s="155">
        <f>417+30+50+50</f>
        <v>547</v>
      </c>
      <c r="G171" s="155">
        <f t="shared" si="126"/>
        <v>6564</v>
      </c>
      <c r="H171" s="155">
        <v>70</v>
      </c>
      <c r="I171" s="155"/>
      <c r="J171" s="155">
        <f t="shared" si="127"/>
        <v>547</v>
      </c>
      <c r="K171" s="155">
        <v>300</v>
      </c>
      <c r="L171" s="155"/>
      <c r="M171" s="169">
        <v>125</v>
      </c>
      <c r="N171" s="169">
        <v>30</v>
      </c>
      <c r="O171" s="169">
        <v>100</v>
      </c>
      <c r="P171" s="155">
        <f t="shared" si="128"/>
        <v>622.21</v>
      </c>
      <c r="Q171" s="155"/>
      <c r="R171" s="155">
        <f>P171/13</f>
        <v>47.862307692307695</v>
      </c>
      <c r="S171" s="155"/>
      <c r="T171" s="155"/>
      <c r="U171" s="155">
        <f t="shared" si="132"/>
        <v>533.33000000000004</v>
      </c>
      <c r="V171" s="155">
        <f t="shared" si="129"/>
        <v>41.025384615384617</v>
      </c>
      <c r="W171" s="155"/>
      <c r="X171" s="155"/>
      <c r="Y171" s="169">
        <f t="shared" si="134"/>
        <v>1155.54</v>
      </c>
      <c r="Z171" s="155">
        <f t="shared" si="133"/>
        <v>71.11</v>
      </c>
      <c r="AA171" s="155">
        <f t="shared" si="130"/>
        <v>5.47</v>
      </c>
      <c r="AB171" s="225"/>
      <c r="AC171" s="225"/>
      <c r="AD171" s="155"/>
      <c r="AE171" s="225"/>
      <c r="AF171" s="155"/>
      <c r="AG171" s="155"/>
      <c r="AH171" s="225"/>
      <c r="AI171" s="225"/>
      <c r="AJ171" s="225"/>
      <c r="AK171" s="225"/>
      <c r="AL171" s="155"/>
    </row>
    <row r="172" spans="1:38" ht="21.9" customHeight="1">
      <c r="A172" s="154">
        <f t="shared" si="131"/>
        <v>133</v>
      </c>
      <c r="B172" s="178" t="s">
        <v>243</v>
      </c>
      <c r="C172" s="161" t="s">
        <v>223</v>
      </c>
      <c r="D172" s="161" t="s">
        <v>79</v>
      </c>
      <c r="E172" s="163" t="s">
        <v>209</v>
      </c>
      <c r="F172" s="155">
        <v>417</v>
      </c>
      <c r="G172" s="155">
        <f t="shared" si="126"/>
        <v>5004</v>
      </c>
      <c r="H172" s="155">
        <v>70</v>
      </c>
      <c r="I172" s="155"/>
      <c r="J172" s="155">
        <f t="shared" si="127"/>
        <v>417</v>
      </c>
      <c r="K172" s="155">
        <v>300</v>
      </c>
      <c r="L172" s="155"/>
      <c r="M172" s="169"/>
      <c r="N172" s="169">
        <v>30</v>
      </c>
      <c r="O172" s="169">
        <v>100</v>
      </c>
      <c r="P172" s="155">
        <f t="shared" si="128"/>
        <v>474.34</v>
      </c>
      <c r="Q172" s="155"/>
      <c r="R172" s="155">
        <f>P172/13</f>
        <v>36.487692307692306</v>
      </c>
      <c r="S172" s="155"/>
      <c r="T172" s="155"/>
      <c r="U172" s="155">
        <f t="shared" si="132"/>
        <v>406.58</v>
      </c>
      <c r="V172" s="155">
        <f t="shared" si="129"/>
        <v>31.275384615384613</v>
      </c>
      <c r="W172" s="155"/>
      <c r="X172" s="155"/>
      <c r="Y172" s="169">
        <f t="shared" si="134"/>
        <v>880.92</v>
      </c>
      <c r="Z172" s="155">
        <f t="shared" si="133"/>
        <v>54.21</v>
      </c>
      <c r="AA172" s="155">
        <f t="shared" si="130"/>
        <v>4.17</v>
      </c>
      <c r="AB172" s="225"/>
      <c r="AC172" s="225"/>
      <c r="AD172" s="155"/>
      <c r="AE172" s="225"/>
      <c r="AF172" s="155"/>
      <c r="AG172" s="155"/>
      <c r="AH172" s="225"/>
      <c r="AI172" s="225"/>
      <c r="AJ172" s="225"/>
      <c r="AK172" s="225"/>
      <c r="AL172" s="155"/>
    </row>
    <row r="173" spans="1:38" ht="21.9" customHeight="1">
      <c r="A173" s="154">
        <f t="shared" si="131"/>
        <v>134</v>
      </c>
      <c r="B173" s="178" t="s">
        <v>245</v>
      </c>
      <c r="C173" s="161" t="s">
        <v>223</v>
      </c>
      <c r="D173" s="161" t="s">
        <v>79</v>
      </c>
      <c r="E173" s="163" t="s">
        <v>209</v>
      </c>
      <c r="F173" s="155">
        <f>697+30+50+50</f>
        <v>827</v>
      </c>
      <c r="G173" s="155">
        <f t="shared" si="126"/>
        <v>9924</v>
      </c>
      <c r="H173" s="155">
        <v>70</v>
      </c>
      <c r="I173" s="155"/>
      <c r="J173" s="155">
        <f t="shared" ref="J173:J181" si="135">F173</f>
        <v>827</v>
      </c>
      <c r="K173" s="155">
        <v>300</v>
      </c>
      <c r="L173" s="155"/>
      <c r="M173" s="169">
        <v>125</v>
      </c>
      <c r="N173" s="169">
        <v>30</v>
      </c>
      <c r="O173" s="169">
        <v>100</v>
      </c>
      <c r="P173" s="155">
        <f t="shared" si="128"/>
        <v>940.71</v>
      </c>
      <c r="Q173" s="155">
        <f>P173/13</f>
        <v>72.362307692307695</v>
      </c>
      <c r="R173" s="155"/>
      <c r="S173" s="155"/>
      <c r="T173" s="155"/>
      <c r="U173" s="155">
        <f t="shared" si="132"/>
        <v>806.33</v>
      </c>
      <c r="V173" s="155">
        <f t="shared" si="129"/>
        <v>62.025384615384617</v>
      </c>
      <c r="W173" s="155"/>
      <c r="X173" s="155"/>
      <c r="Y173" s="169">
        <f t="shared" si="134"/>
        <v>1747.04</v>
      </c>
      <c r="Z173" s="155">
        <f t="shared" si="133"/>
        <v>107.51</v>
      </c>
      <c r="AA173" s="155">
        <f t="shared" si="130"/>
        <v>8.27</v>
      </c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</row>
    <row r="174" spans="1:38" ht="21.9" customHeight="1">
      <c r="A174" s="154">
        <f t="shared" si="131"/>
        <v>135</v>
      </c>
      <c r="B174" s="178" t="s">
        <v>247</v>
      </c>
      <c r="C174" s="161" t="s">
        <v>223</v>
      </c>
      <c r="D174" s="161" t="s">
        <v>79</v>
      </c>
      <c r="E174" s="163" t="s">
        <v>209</v>
      </c>
      <c r="F174" s="155">
        <f>567+30+50+50</f>
        <v>697</v>
      </c>
      <c r="G174" s="155">
        <f t="shared" si="126"/>
        <v>8364</v>
      </c>
      <c r="H174" s="155">
        <v>70</v>
      </c>
      <c r="I174" s="155"/>
      <c r="J174" s="155">
        <f t="shared" si="135"/>
        <v>697</v>
      </c>
      <c r="K174" s="155">
        <v>300</v>
      </c>
      <c r="L174" s="155"/>
      <c r="M174" s="169"/>
      <c r="N174" s="169">
        <v>30</v>
      </c>
      <c r="O174" s="169">
        <v>100</v>
      </c>
      <c r="P174" s="155">
        <f t="shared" si="128"/>
        <v>792.84</v>
      </c>
      <c r="Q174" s="282"/>
      <c r="R174" s="155">
        <f>P174/13</f>
        <v>60.987692307692313</v>
      </c>
      <c r="S174" s="155"/>
      <c r="T174" s="155"/>
      <c r="U174" s="155">
        <f t="shared" si="132"/>
        <v>679.58</v>
      </c>
      <c r="V174" s="155">
        <f t="shared" si="129"/>
        <v>52.275384615384617</v>
      </c>
      <c r="W174" s="155"/>
      <c r="X174" s="155"/>
      <c r="Y174" s="169">
        <f t="shared" si="134"/>
        <v>1472.42</v>
      </c>
      <c r="Z174" s="155">
        <f t="shared" si="133"/>
        <v>90.61</v>
      </c>
      <c r="AA174" s="155">
        <f t="shared" si="130"/>
        <v>6.97</v>
      </c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</row>
    <row r="175" spans="1:38" ht="21.9" customHeight="1">
      <c r="A175" s="154">
        <f t="shared" si="131"/>
        <v>136</v>
      </c>
      <c r="B175" s="178" t="s">
        <v>249</v>
      </c>
      <c r="C175" s="161" t="s">
        <v>223</v>
      </c>
      <c r="D175" s="161" t="s">
        <v>79</v>
      </c>
      <c r="E175" s="163" t="s">
        <v>209</v>
      </c>
      <c r="F175" s="155">
        <f>547+50</f>
        <v>597</v>
      </c>
      <c r="G175" s="155">
        <f t="shared" si="126"/>
        <v>7164</v>
      </c>
      <c r="H175" s="155">
        <v>70</v>
      </c>
      <c r="I175" s="155"/>
      <c r="J175" s="155">
        <f t="shared" si="135"/>
        <v>597</v>
      </c>
      <c r="K175" s="155">
        <v>300</v>
      </c>
      <c r="L175" s="155"/>
      <c r="M175" s="169">
        <v>125</v>
      </c>
      <c r="N175" s="169">
        <v>30</v>
      </c>
      <c r="O175" s="169">
        <v>100</v>
      </c>
      <c r="P175" s="155">
        <f t="shared" si="128"/>
        <v>679.09</v>
      </c>
      <c r="Q175" s="226"/>
      <c r="R175" s="155">
        <f>P175/13</f>
        <v>52.237692307692313</v>
      </c>
      <c r="S175" s="155"/>
      <c r="T175" s="155"/>
      <c r="U175" s="155">
        <f t="shared" si="132"/>
        <v>582.08000000000004</v>
      </c>
      <c r="V175" s="155">
        <f t="shared" si="129"/>
        <v>44.775384615384617</v>
      </c>
      <c r="W175" s="155"/>
      <c r="X175" s="155"/>
      <c r="Y175" s="169">
        <f t="shared" si="134"/>
        <v>1261.17</v>
      </c>
      <c r="Z175" s="155">
        <f t="shared" si="133"/>
        <v>77.61</v>
      </c>
      <c r="AA175" s="155">
        <f t="shared" si="130"/>
        <v>5.97</v>
      </c>
      <c r="AB175" s="225"/>
      <c r="AC175" s="225"/>
      <c r="AD175" s="155"/>
      <c r="AE175" s="225"/>
      <c r="AF175" s="155"/>
      <c r="AG175" s="155"/>
      <c r="AH175" s="225"/>
      <c r="AI175" s="225"/>
      <c r="AJ175" s="225"/>
      <c r="AK175" s="225"/>
      <c r="AL175" s="155"/>
    </row>
    <row r="176" spans="1:38" ht="21.9" customHeight="1">
      <c r="A176" s="154">
        <f t="shared" si="131"/>
        <v>137</v>
      </c>
      <c r="B176" s="178" t="s">
        <v>251</v>
      </c>
      <c r="C176" s="161" t="s">
        <v>223</v>
      </c>
      <c r="D176" s="161" t="s">
        <v>79</v>
      </c>
      <c r="E176" s="163" t="s">
        <v>209</v>
      </c>
      <c r="F176" s="155">
        <f>645+30+50+50</f>
        <v>775</v>
      </c>
      <c r="G176" s="155">
        <f t="shared" si="126"/>
        <v>9300</v>
      </c>
      <c r="H176" s="155">
        <v>70</v>
      </c>
      <c r="I176" s="155"/>
      <c r="J176" s="155">
        <f t="shared" si="135"/>
        <v>775</v>
      </c>
      <c r="K176" s="155">
        <v>300</v>
      </c>
      <c r="L176" s="155"/>
      <c r="M176" s="169">
        <v>125</v>
      </c>
      <c r="N176" s="169">
        <v>30</v>
      </c>
      <c r="O176" s="169">
        <v>100</v>
      </c>
      <c r="P176" s="155">
        <f t="shared" si="128"/>
        <v>881.56</v>
      </c>
      <c r="Q176" s="155"/>
      <c r="R176" s="155">
        <f>P176/13</f>
        <v>67.812307692307684</v>
      </c>
      <c r="S176" s="155"/>
      <c r="T176" s="155"/>
      <c r="U176" s="155">
        <f t="shared" si="132"/>
        <v>755.63</v>
      </c>
      <c r="V176" s="155">
        <f t="shared" si="129"/>
        <v>58.125384615384618</v>
      </c>
      <c r="W176" s="155"/>
      <c r="X176" s="155"/>
      <c r="Y176" s="169">
        <f t="shared" si="134"/>
        <v>1637.19</v>
      </c>
      <c r="Z176" s="155">
        <f t="shared" si="133"/>
        <v>100.75</v>
      </c>
      <c r="AA176" s="155">
        <f t="shared" si="130"/>
        <v>7.75</v>
      </c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</row>
    <row r="177" spans="1:38" ht="21.9" customHeight="1">
      <c r="A177" s="172">
        <f>A176+1</f>
        <v>138</v>
      </c>
      <c r="B177" s="178" t="s">
        <v>253</v>
      </c>
      <c r="C177" s="161" t="s">
        <v>223</v>
      </c>
      <c r="D177" s="161" t="s">
        <v>79</v>
      </c>
      <c r="E177" s="163" t="s">
        <v>209</v>
      </c>
      <c r="F177" s="155">
        <f>467+30+50+50</f>
        <v>597</v>
      </c>
      <c r="G177" s="155">
        <f t="shared" si="126"/>
        <v>7164</v>
      </c>
      <c r="H177" s="155">
        <v>70</v>
      </c>
      <c r="I177" s="155"/>
      <c r="J177" s="155">
        <f t="shared" si="135"/>
        <v>597</v>
      </c>
      <c r="K177" s="155">
        <v>300</v>
      </c>
      <c r="L177" s="155"/>
      <c r="M177" s="169">
        <v>125</v>
      </c>
      <c r="N177" s="169">
        <v>30</v>
      </c>
      <c r="O177" s="169">
        <v>100</v>
      </c>
      <c r="P177" s="155">
        <f t="shared" si="128"/>
        <v>679.09</v>
      </c>
      <c r="Q177" s="155">
        <f>P177/13</f>
        <v>52.237692307692313</v>
      </c>
      <c r="R177" s="155"/>
      <c r="S177" s="155"/>
      <c r="T177" s="155"/>
      <c r="U177" s="155">
        <f t="shared" si="132"/>
        <v>582.08000000000004</v>
      </c>
      <c r="V177" s="155">
        <f t="shared" si="129"/>
        <v>44.775384615384617</v>
      </c>
      <c r="W177" s="155"/>
      <c r="X177" s="155"/>
      <c r="Y177" s="169">
        <f t="shared" si="134"/>
        <v>1261.17</v>
      </c>
      <c r="Z177" s="155">
        <f t="shared" si="133"/>
        <v>77.61</v>
      </c>
      <c r="AA177" s="155">
        <f t="shared" si="130"/>
        <v>5.97</v>
      </c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</row>
    <row r="178" spans="1:38" ht="21.9" customHeight="1">
      <c r="A178" s="154">
        <f>A177+1</f>
        <v>139</v>
      </c>
      <c r="B178" s="178" t="s">
        <v>660</v>
      </c>
      <c r="C178" s="161" t="s">
        <v>223</v>
      </c>
      <c r="D178" s="161" t="s">
        <v>79</v>
      </c>
      <c r="E178" s="163" t="s">
        <v>209</v>
      </c>
      <c r="F178" s="155">
        <v>417</v>
      </c>
      <c r="G178" s="155">
        <f>F178*12</f>
        <v>5004</v>
      </c>
      <c r="H178" s="155">
        <v>70</v>
      </c>
      <c r="I178" s="155"/>
      <c r="J178" s="155">
        <f t="shared" si="135"/>
        <v>417</v>
      </c>
      <c r="K178" s="155">
        <v>300</v>
      </c>
      <c r="L178" s="155"/>
      <c r="M178" s="155">
        <v>125</v>
      </c>
      <c r="N178" s="169">
        <v>30</v>
      </c>
      <c r="O178" s="169">
        <v>100</v>
      </c>
      <c r="P178" s="155">
        <f t="shared" si="128"/>
        <v>474.34</v>
      </c>
      <c r="Q178" s="226"/>
      <c r="R178" s="155">
        <f>P178/13</f>
        <v>36.487692307692306</v>
      </c>
      <c r="S178" s="155"/>
      <c r="T178" s="155"/>
      <c r="U178" s="155">
        <f t="shared" si="132"/>
        <v>406.58</v>
      </c>
      <c r="V178" s="155">
        <f>U178/13</f>
        <v>31.275384615384613</v>
      </c>
      <c r="W178" s="155"/>
      <c r="X178" s="155"/>
      <c r="Y178" s="169">
        <f t="shared" si="134"/>
        <v>880.92</v>
      </c>
      <c r="Z178" s="155">
        <f t="shared" si="133"/>
        <v>54.21</v>
      </c>
      <c r="AA178" s="155">
        <f>Z178/13</f>
        <v>4.17</v>
      </c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</row>
    <row r="179" spans="1:38" s="127" customFormat="1" ht="21.9" customHeight="1">
      <c r="A179" s="154">
        <f>A178+1</f>
        <v>140</v>
      </c>
      <c r="B179" s="178" t="s">
        <v>660</v>
      </c>
      <c r="C179" s="161" t="s">
        <v>223</v>
      </c>
      <c r="D179" s="161" t="s">
        <v>79</v>
      </c>
      <c r="E179" s="163" t="s">
        <v>209</v>
      </c>
      <c r="F179" s="155">
        <v>417</v>
      </c>
      <c r="G179" s="155">
        <f>F179*12</f>
        <v>5004</v>
      </c>
      <c r="H179" s="155">
        <v>70</v>
      </c>
      <c r="I179" s="155"/>
      <c r="J179" s="155">
        <f t="shared" si="135"/>
        <v>417</v>
      </c>
      <c r="K179" s="155">
        <v>300</v>
      </c>
      <c r="L179" s="155"/>
      <c r="M179" s="169">
        <v>125</v>
      </c>
      <c r="N179" s="169">
        <v>30</v>
      </c>
      <c r="O179" s="169">
        <v>100</v>
      </c>
      <c r="P179" s="155">
        <f t="shared" si="128"/>
        <v>474.34</v>
      </c>
      <c r="Q179" s="155">
        <f>P179/13</f>
        <v>36.487692307692306</v>
      </c>
      <c r="R179" s="155"/>
      <c r="S179" s="155"/>
      <c r="T179" s="155"/>
      <c r="U179" s="155">
        <f t="shared" si="132"/>
        <v>406.58</v>
      </c>
      <c r="V179" s="155">
        <f>U179/13</f>
        <v>31.275384615384613</v>
      </c>
      <c r="W179" s="155"/>
      <c r="X179" s="155"/>
      <c r="Y179" s="169">
        <f t="shared" si="134"/>
        <v>880.92</v>
      </c>
      <c r="Z179" s="155">
        <f t="shared" si="133"/>
        <v>54.21</v>
      </c>
      <c r="AA179" s="155">
        <f>Z179/13</f>
        <v>4.17</v>
      </c>
      <c r="AB179" s="225"/>
      <c r="AC179" s="225"/>
      <c r="AD179" s="155"/>
      <c r="AE179" s="225"/>
      <c r="AF179" s="155"/>
      <c r="AG179" s="155"/>
      <c r="AH179" s="225"/>
      <c r="AI179" s="225"/>
      <c r="AJ179" s="225"/>
      <c r="AK179" s="225"/>
      <c r="AL179" s="155"/>
    </row>
    <row r="180" spans="1:38" ht="21.9" customHeight="1">
      <c r="B180" s="215"/>
      <c r="C180" s="213"/>
      <c r="D180" s="213"/>
      <c r="E180" s="298"/>
      <c r="F180" s="152">
        <f t="shared" ref="F180:AH180" si="136">SUM(F160:F179)</f>
        <v>13279</v>
      </c>
      <c r="G180" s="152">
        <f t="shared" si="136"/>
        <v>159348</v>
      </c>
      <c r="H180" s="152">
        <f t="shared" si="136"/>
        <v>1400</v>
      </c>
      <c r="I180" s="152">
        <f t="shared" si="136"/>
        <v>0</v>
      </c>
      <c r="J180" s="152">
        <f t="shared" si="136"/>
        <v>13279</v>
      </c>
      <c r="K180" s="152">
        <f t="shared" si="136"/>
        <v>6000</v>
      </c>
      <c r="L180" s="152">
        <f t="shared" si="136"/>
        <v>0</v>
      </c>
      <c r="M180" s="152">
        <f t="shared" si="136"/>
        <v>1750</v>
      </c>
      <c r="N180" s="152">
        <f t="shared" si="136"/>
        <v>600</v>
      </c>
      <c r="O180" s="152">
        <f t="shared" si="136"/>
        <v>2000</v>
      </c>
      <c r="P180" s="152">
        <f t="shared" si="136"/>
        <v>15104.88</v>
      </c>
      <c r="Q180" s="152">
        <f t="shared" si="136"/>
        <v>405.12538461538463</v>
      </c>
      <c r="R180" s="152">
        <f>SUM(R160:R179)+0.01</f>
        <v>756.79846153846154</v>
      </c>
      <c r="S180" s="152">
        <f t="shared" si="136"/>
        <v>0</v>
      </c>
      <c r="T180" s="152">
        <f t="shared" si="136"/>
        <v>0</v>
      </c>
      <c r="U180" s="152">
        <f>SUM(U160:U179)</f>
        <v>12849.599999999999</v>
      </c>
      <c r="V180" s="152">
        <f>SUM(V160:V179)+0.07</f>
        <v>988.50076923076927</v>
      </c>
      <c r="W180" s="152">
        <f t="shared" si="136"/>
        <v>0</v>
      </c>
      <c r="X180" s="152">
        <f t="shared" si="136"/>
        <v>0</v>
      </c>
      <c r="Y180" s="152">
        <f>SUM(Y160:Y179)</f>
        <v>27954.479999999996</v>
      </c>
      <c r="Z180" s="152">
        <f t="shared" si="136"/>
        <v>1713.2699999999998</v>
      </c>
      <c r="AA180" s="152">
        <f t="shared" si="136"/>
        <v>131.79</v>
      </c>
      <c r="AB180" s="152">
        <f t="shared" si="136"/>
        <v>0</v>
      </c>
      <c r="AC180" s="152">
        <f t="shared" si="136"/>
        <v>0</v>
      </c>
      <c r="AD180" s="152">
        <f t="shared" si="136"/>
        <v>0</v>
      </c>
      <c r="AE180" s="152">
        <f t="shared" si="136"/>
        <v>0</v>
      </c>
      <c r="AF180" s="152">
        <f t="shared" si="136"/>
        <v>0</v>
      </c>
      <c r="AG180" s="152">
        <f t="shared" si="136"/>
        <v>0</v>
      </c>
      <c r="AH180" s="152">
        <f t="shared" si="136"/>
        <v>0</v>
      </c>
      <c r="AI180" s="299"/>
      <c r="AJ180" s="299"/>
      <c r="AK180" s="299"/>
      <c r="AL180" s="152"/>
    </row>
    <row r="181" spans="1:38" s="127" customFormat="1" ht="21.9" customHeight="1">
      <c r="A181" s="154">
        <f>A179+1</f>
        <v>141</v>
      </c>
      <c r="B181" s="179" t="s">
        <v>730</v>
      </c>
      <c r="C181" s="214" t="s">
        <v>661</v>
      </c>
      <c r="D181" s="161" t="s">
        <v>79</v>
      </c>
      <c r="E181" s="163" t="s">
        <v>209</v>
      </c>
      <c r="F181" s="155">
        <v>1800</v>
      </c>
      <c r="G181" s="155">
        <f>F181*12</f>
        <v>21600</v>
      </c>
      <c r="H181" s="155">
        <v>70</v>
      </c>
      <c r="I181" s="155"/>
      <c r="J181" s="155">
        <f t="shared" si="135"/>
        <v>1800</v>
      </c>
      <c r="K181" s="155">
        <v>300</v>
      </c>
      <c r="L181" s="155"/>
      <c r="M181" s="155"/>
      <c r="N181" s="155">
        <v>30</v>
      </c>
      <c r="O181" s="155">
        <v>100</v>
      </c>
      <c r="P181" s="155">
        <f>ROUND(F181*0.0875*13,2)</f>
        <v>2047.5</v>
      </c>
      <c r="Q181" s="155">
        <f>P181/13</f>
        <v>157.5</v>
      </c>
      <c r="R181" s="155"/>
      <c r="S181" s="155"/>
      <c r="T181" s="155"/>
      <c r="U181" s="155">
        <f>75*13</f>
        <v>975</v>
      </c>
      <c r="V181" s="155">
        <f>U181/13</f>
        <v>75</v>
      </c>
      <c r="W181" s="155"/>
      <c r="X181" s="155"/>
      <c r="Y181" s="155">
        <f>P181+S181+U181+W181</f>
        <v>3022.5</v>
      </c>
      <c r="Z181" s="169">
        <v>130</v>
      </c>
      <c r="AA181" s="155">
        <f>Z181/13</f>
        <v>10</v>
      </c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</row>
    <row r="182" spans="1:38" ht="21.9" customHeight="1">
      <c r="B182" s="215"/>
      <c r="C182" s="213"/>
      <c r="D182" s="213"/>
      <c r="E182" s="298"/>
      <c r="F182" s="152">
        <f>SUM(F181)</f>
        <v>1800</v>
      </c>
      <c r="G182" s="152">
        <f>F182*12</f>
        <v>21600</v>
      </c>
      <c r="H182" s="152">
        <v>70</v>
      </c>
      <c r="I182" s="152"/>
      <c r="J182" s="152">
        <f>SUM(J181)</f>
        <v>1800</v>
      </c>
      <c r="K182" s="152">
        <f t="shared" ref="K182:AL182" si="137">SUM(K181)</f>
        <v>300</v>
      </c>
      <c r="L182" s="152">
        <f t="shared" si="137"/>
        <v>0</v>
      </c>
      <c r="M182" s="152">
        <f t="shared" si="137"/>
        <v>0</v>
      </c>
      <c r="N182" s="152">
        <f t="shared" si="137"/>
        <v>30</v>
      </c>
      <c r="O182" s="152">
        <f t="shared" si="137"/>
        <v>100</v>
      </c>
      <c r="P182" s="152">
        <f t="shared" si="137"/>
        <v>2047.5</v>
      </c>
      <c r="Q182" s="152">
        <f t="shared" si="137"/>
        <v>157.5</v>
      </c>
      <c r="R182" s="152">
        <f t="shared" si="137"/>
        <v>0</v>
      </c>
      <c r="S182" s="152">
        <f t="shared" si="137"/>
        <v>0</v>
      </c>
      <c r="T182" s="152">
        <f t="shared" si="137"/>
        <v>0</v>
      </c>
      <c r="U182" s="152">
        <f t="shared" si="137"/>
        <v>975</v>
      </c>
      <c r="V182" s="152">
        <f t="shared" si="137"/>
        <v>75</v>
      </c>
      <c r="W182" s="152">
        <f t="shared" si="137"/>
        <v>0</v>
      </c>
      <c r="X182" s="152">
        <f t="shared" si="137"/>
        <v>0</v>
      </c>
      <c r="Y182" s="152">
        <f t="shared" si="137"/>
        <v>3022.5</v>
      </c>
      <c r="Z182" s="152">
        <f t="shared" si="137"/>
        <v>130</v>
      </c>
      <c r="AA182" s="152">
        <f t="shared" si="137"/>
        <v>10</v>
      </c>
      <c r="AB182" s="152">
        <f t="shared" si="137"/>
        <v>0</v>
      </c>
      <c r="AC182" s="152">
        <f t="shared" si="137"/>
        <v>0</v>
      </c>
      <c r="AD182" s="152">
        <f t="shared" si="137"/>
        <v>0</v>
      </c>
      <c r="AE182" s="152">
        <f t="shared" si="137"/>
        <v>0</v>
      </c>
      <c r="AF182" s="152">
        <f t="shared" si="137"/>
        <v>0</v>
      </c>
      <c r="AG182" s="152">
        <f t="shared" si="137"/>
        <v>0</v>
      </c>
      <c r="AH182" s="152">
        <f t="shared" si="137"/>
        <v>0</v>
      </c>
      <c r="AI182" s="152">
        <f t="shared" si="137"/>
        <v>0</v>
      </c>
      <c r="AJ182" s="152">
        <f t="shared" si="137"/>
        <v>0</v>
      </c>
      <c r="AK182" s="152">
        <f t="shared" si="137"/>
        <v>0</v>
      </c>
      <c r="AL182" s="152">
        <f t="shared" si="137"/>
        <v>0</v>
      </c>
    </row>
    <row r="183" spans="1:38" ht="21.9" customHeight="1">
      <c r="A183" s="154">
        <f>A181+1</f>
        <v>142</v>
      </c>
      <c r="B183" s="176" t="s">
        <v>295</v>
      </c>
      <c r="C183" s="208" t="s">
        <v>296</v>
      </c>
      <c r="D183" s="161" t="s">
        <v>79</v>
      </c>
      <c r="E183" s="163" t="s">
        <v>209</v>
      </c>
      <c r="F183" s="155">
        <v>1300</v>
      </c>
      <c r="G183" s="155">
        <f>F183*12</f>
        <v>15600</v>
      </c>
      <c r="H183" s="155">
        <v>70</v>
      </c>
      <c r="I183" s="155"/>
      <c r="J183" s="155">
        <f t="shared" ref="J183:J204" si="138">F183</f>
        <v>1300</v>
      </c>
      <c r="K183" s="155">
        <v>300</v>
      </c>
      <c r="L183" s="155">
        <v>1300</v>
      </c>
      <c r="M183" s="155"/>
      <c r="N183" s="169">
        <v>30</v>
      </c>
      <c r="O183" s="155">
        <v>100</v>
      </c>
      <c r="P183" s="155">
        <f t="shared" ref="P183:P204" si="139">ROUND(F183*0.0875*13,2)</f>
        <v>1478.75</v>
      </c>
      <c r="Q183" s="155"/>
      <c r="R183" s="155">
        <f>P183/13</f>
        <v>113.75</v>
      </c>
      <c r="S183" s="155"/>
      <c r="T183" s="155"/>
      <c r="U183" s="155">
        <f>75*13</f>
        <v>975</v>
      </c>
      <c r="V183" s="155">
        <f>U183/13</f>
        <v>75</v>
      </c>
      <c r="W183" s="155"/>
      <c r="X183" s="155"/>
      <c r="Y183" s="155">
        <f>P183+S183+U183+W183</f>
        <v>2453.75</v>
      </c>
      <c r="Z183" s="155">
        <f>10*13</f>
        <v>130</v>
      </c>
      <c r="AA183" s="155">
        <f>Z183/13</f>
        <v>10</v>
      </c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</row>
    <row r="184" spans="1:38" ht="21.9" customHeight="1">
      <c r="A184" s="154">
        <f>A183+1</f>
        <v>143</v>
      </c>
      <c r="B184" s="176" t="s">
        <v>298</v>
      </c>
      <c r="C184" s="208" t="s">
        <v>296</v>
      </c>
      <c r="D184" s="161" t="s">
        <v>79</v>
      </c>
      <c r="E184" s="163" t="s">
        <v>209</v>
      </c>
      <c r="F184" s="155">
        <v>727</v>
      </c>
      <c r="G184" s="155">
        <f>F184*12</f>
        <v>8724</v>
      </c>
      <c r="H184" s="155">
        <v>70</v>
      </c>
      <c r="I184" s="155"/>
      <c r="J184" s="155">
        <f t="shared" si="138"/>
        <v>727</v>
      </c>
      <c r="K184" s="155">
        <v>300</v>
      </c>
      <c r="L184" s="155"/>
      <c r="M184" s="155"/>
      <c r="N184" s="169">
        <v>30</v>
      </c>
      <c r="O184" s="155">
        <v>100</v>
      </c>
      <c r="P184" s="155">
        <f t="shared" si="139"/>
        <v>826.96</v>
      </c>
      <c r="Q184" s="155"/>
      <c r="R184" s="155">
        <f>P184/13</f>
        <v>63.612307692307695</v>
      </c>
      <c r="S184" s="155"/>
      <c r="T184" s="155"/>
      <c r="U184" s="155">
        <f>ROUND(F184*0.075*13,2)</f>
        <v>708.83</v>
      </c>
      <c r="V184" s="155">
        <f>U184/13</f>
        <v>54.525384615384617</v>
      </c>
      <c r="W184" s="155"/>
      <c r="X184" s="155"/>
      <c r="Y184" s="155">
        <f>P184+S184+U184+W184</f>
        <v>1535.79</v>
      </c>
      <c r="Z184" s="155">
        <f>ROUND(F184*0.01*13,2)</f>
        <v>94.51</v>
      </c>
      <c r="AA184" s="155">
        <f>Z184/13</f>
        <v>7.2700000000000005</v>
      </c>
      <c r="AB184" s="155"/>
      <c r="AC184" s="155"/>
      <c r="AD184" s="155"/>
      <c r="AE184" s="155"/>
      <c r="AF184" s="155"/>
      <c r="AG184" s="155"/>
      <c r="AH184" s="155"/>
      <c r="AI184" s="225"/>
      <c r="AJ184" s="225"/>
      <c r="AK184" s="225"/>
      <c r="AL184" s="155"/>
    </row>
    <row r="185" spans="1:38" ht="21.9" customHeight="1">
      <c r="A185" s="154">
        <f>A184+1</f>
        <v>144</v>
      </c>
      <c r="B185" s="176" t="s">
        <v>659</v>
      </c>
      <c r="C185" s="208" t="s">
        <v>296</v>
      </c>
      <c r="D185" s="161" t="s">
        <v>79</v>
      </c>
      <c r="E185" s="163" t="s">
        <v>209</v>
      </c>
      <c r="F185" s="155">
        <v>517</v>
      </c>
      <c r="G185" s="155">
        <f>F185*12</f>
        <v>6204</v>
      </c>
      <c r="H185" s="155">
        <v>70</v>
      </c>
      <c r="I185" s="155"/>
      <c r="J185" s="155">
        <f t="shared" si="138"/>
        <v>517</v>
      </c>
      <c r="K185" s="155">
        <v>300</v>
      </c>
      <c r="L185" s="155"/>
      <c r="M185" s="155">
        <v>125</v>
      </c>
      <c r="N185" s="169">
        <v>30</v>
      </c>
      <c r="O185" s="155">
        <v>100</v>
      </c>
      <c r="P185" s="155">
        <f t="shared" si="139"/>
        <v>588.09</v>
      </c>
      <c r="Q185" s="155">
        <f>P185/13</f>
        <v>45.237692307692313</v>
      </c>
      <c r="R185" s="155"/>
      <c r="S185" s="155"/>
      <c r="T185" s="155"/>
      <c r="U185" s="155">
        <f>ROUND(F185*0.075*13,2)</f>
        <v>504.08</v>
      </c>
      <c r="V185" s="155">
        <f>U185/13</f>
        <v>38.775384615384617</v>
      </c>
      <c r="W185" s="155"/>
      <c r="X185" s="155"/>
      <c r="Y185" s="155">
        <f>P185+S185+U185+W185</f>
        <v>1092.17</v>
      </c>
      <c r="Z185" s="155">
        <f>ROUND(F185*0.01*13,2)</f>
        <v>67.209999999999994</v>
      </c>
      <c r="AA185" s="155">
        <f>Z185/13</f>
        <v>5.17</v>
      </c>
      <c r="AB185" s="155"/>
      <c r="AC185" s="155"/>
      <c r="AD185" s="155"/>
      <c r="AE185" s="155"/>
      <c r="AF185" s="155"/>
      <c r="AG185" s="155"/>
      <c r="AH185" s="155"/>
      <c r="AI185" s="225"/>
      <c r="AJ185" s="225"/>
      <c r="AK185" s="225"/>
      <c r="AL185" s="155"/>
    </row>
    <row r="186" spans="1:38" ht="21.9" customHeight="1">
      <c r="A186" s="154"/>
      <c r="B186" s="277"/>
      <c r="C186" s="210"/>
      <c r="D186" s="161"/>
      <c r="E186" s="163"/>
      <c r="F186" s="152">
        <f>SUM(F183:F185)</f>
        <v>2544</v>
      </c>
      <c r="G186" s="152">
        <f t="shared" ref="G186:T186" si="140">SUM(G183:G185)</f>
        <v>30528</v>
      </c>
      <c r="H186" s="152">
        <f t="shared" si="140"/>
        <v>210</v>
      </c>
      <c r="I186" s="152">
        <f t="shared" si="140"/>
        <v>0</v>
      </c>
      <c r="J186" s="152">
        <f t="shared" si="140"/>
        <v>2544</v>
      </c>
      <c r="K186" s="152">
        <f t="shared" si="140"/>
        <v>900</v>
      </c>
      <c r="L186" s="152">
        <f t="shared" si="140"/>
        <v>1300</v>
      </c>
      <c r="M186" s="152">
        <f>SUM(M183:M185)</f>
        <v>125</v>
      </c>
      <c r="N186" s="152">
        <f>SUM(N183:N185)</f>
        <v>90</v>
      </c>
      <c r="O186" s="152">
        <f>SUM(O183:O185)</f>
        <v>300</v>
      </c>
      <c r="P186" s="152">
        <f>SUM(P183:P185)</f>
        <v>2893.8</v>
      </c>
      <c r="Q186" s="152">
        <f t="shared" si="140"/>
        <v>45.237692307692313</v>
      </c>
      <c r="R186" s="152">
        <f t="shared" si="140"/>
        <v>177.3623076923077</v>
      </c>
      <c r="S186" s="152">
        <f t="shared" si="140"/>
        <v>0</v>
      </c>
      <c r="T186" s="152">
        <f t="shared" si="140"/>
        <v>0</v>
      </c>
      <c r="U186" s="152">
        <f>SUM(U183:U185)</f>
        <v>2187.91</v>
      </c>
      <c r="V186" s="152">
        <f>SUM(V183:V185)+0.01</f>
        <v>168.31076923076921</v>
      </c>
      <c r="W186" s="152">
        <f t="shared" ref="W186:AC186" si="141">SUM(W183:W185)</f>
        <v>0</v>
      </c>
      <c r="X186" s="152">
        <f t="shared" si="141"/>
        <v>0</v>
      </c>
      <c r="Y186" s="152">
        <f t="shared" si="141"/>
        <v>5081.71</v>
      </c>
      <c r="Z186" s="152">
        <f t="shared" si="141"/>
        <v>291.71999999999997</v>
      </c>
      <c r="AA186" s="152">
        <f t="shared" si="141"/>
        <v>22.439999999999998</v>
      </c>
      <c r="AB186" s="152">
        <f t="shared" si="141"/>
        <v>0</v>
      </c>
      <c r="AC186" s="152">
        <f t="shared" si="141"/>
        <v>0</v>
      </c>
      <c r="AD186" s="152"/>
      <c r="AE186" s="152">
        <f>SUM(AE183:AE185)</f>
        <v>0</v>
      </c>
      <c r="AF186" s="152"/>
      <c r="AG186" s="152">
        <f>SUM(AG183:AG185)</f>
        <v>0</v>
      </c>
      <c r="AH186" s="152">
        <f>SUM(AH183:AH185)</f>
        <v>0</v>
      </c>
      <c r="AI186" s="152"/>
      <c r="AJ186" s="152"/>
      <c r="AK186" s="152"/>
      <c r="AL186" s="152"/>
    </row>
    <row r="187" spans="1:38" ht="21.9" customHeight="1">
      <c r="A187" s="172">
        <f>A185+1</f>
        <v>145</v>
      </c>
      <c r="B187" s="176" t="s">
        <v>259</v>
      </c>
      <c r="C187" s="175" t="s">
        <v>260</v>
      </c>
      <c r="D187" s="161" t="s">
        <v>79</v>
      </c>
      <c r="E187" s="163" t="s">
        <v>209</v>
      </c>
      <c r="F187" s="155">
        <v>1800</v>
      </c>
      <c r="G187" s="155">
        <f>F187*12</f>
        <v>21600</v>
      </c>
      <c r="H187" s="155">
        <v>70</v>
      </c>
      <c r="I187" s="155"/>
      <c r="J187" s="155">
        <f t="shared" si="138"/>
        <v>1800</v>
      </c>
      <c r="K187" s="155">
        <v>300</v>
      </c>
      <c r="L187" s="155">
        <v>1800</v>
      </c>
      <c r="M187" s="155">
        <v>125</v>
      </c>
      <c r="N187" s="169">
        <v>30</v>
      </c>
      <c r="O187" s="155">
        <v>100</v>
      </c>
      <c r="P187" s="155">
        <f t="shared" si="139"/>
        <v>2047.5</v>
      </c>
      <c r="Q187" s="155">
        <f>P187/13</f>
        <v>157.5</v>
      </c>
      <c r="R187" s="155"/>
      <c r="S187" s="155"/>
      <c r="T187" s="155"/>
      <c r="U187" s="155">
        <f>75*13</f>
        <v>975</v>
      </c>
      <c r="V187" s="155">
        <f t="shared" ref="V187:V199" si="142">U187/13</f>
        <v>75</v>
      </c>
      <c r="W187" s="155"/>
      <c r="X187" s="155"/>
      <c r="Y187" s="155">
        <f>P187+S187+U187+W187</f>
        <v>3022.5</v>
      </c>
      <c r="Z187" s="155">
        <f>10*13</f>
        <v>130</v>
      </c>
      <c r="AA187" s="155">
        <f t="shared" ref="AA187:AA199" si="143">Z187/13</f>
        <v>10</v>
      </c>
      <c r="AB187" s="155"/>
      <c r="AC187" s="225"/>
      <c r="AD187" s="155"/>
      <c r="AE187" s="225"/>
      <c r="AF187" s="155"/>
      <c r="AG187" s="155"/>
      <c r="AH187" s="155"/>
      <c r="AI187" s="155"/>
      <c r="AJ187" s="155"/>
      <c r="AK187" s="155"/>
      <c r="AL187" s="155"/>
    </row>
    <row r="188" spans="1:38" ht="21.9" customHeight="1">
      <c r="A188" s="154">
        <f>A187+1</f>
        <v>146</v>
      </c>
      <c r="B188" s="177" t="s">
        <v>692</v>
      </c>
      <c r="C188" s="175" t="s">
        <v>260</v>
      </c>
      <c r="D188" s="161" t="s">
        <v>79</v>
      </c>
      <c r="E188" s="163" t="s">
        <v>209</v>
      </c>
      <c r="F188" s="155">
        <f>629.57+30+50+50</f>
        <v>759.57</v>
      </c>
      <c r="G188" s="155">
        <f>F188*12</f>
        <v>9114.84</v>
      </c>
      <c r="H188" s="155">
        <v>70</v>
      </c>
      <c r="I188" s="155"/>
      <c r="J188" s="155">
        <f t="shared" si="138"/>
        <v>759.57</v>
      </c>
      <c r="K188" s="155">
        <v>300</v>
      </c>
      <c r="L188" s="155"/>
      <c r="M188" s="155"/>
      <c r="N188" s="169">
        <v>30</v>
      </c>
      <c r="O188" s="155">
        <v>100</v>
      </c>
      <c r="P188" s="155">
        <f t="shared" si="139"/>
        <v>864.01</v>
      </c>
      <c r="Q188" s="155">
        <f>P188/13</f>
        <v>66.462307692307689</v>
      </c>
      <c r="R188" s="155"/>
      <c r="S188" s="155"/>
      <c r="T188" s="155"/>
      <c r="U188" s="155">
        <f>ROUND(F188*0.075*13,2)</f>
        <v>740.58</v>
      </c>
      <c r="V188" s="155">
        <f t="shared" si="142"/>
        <v>56.96769230769231</v>
      </c>
      <c r="W188" s="155"/>
      <c r="X188" s="155"/>
      <c r="Y188" s="155">
        <f>P188+S188+U188+W188</f>
        <v>1604.5900000000001</v>
      </c>
      <c r="Z188" s="155">
        <f>ROUND(F188*0.01*13,2)</f>
        <v>98.74</v>
      </c>
      <c r="AA188" s="155">
        <f t="shared" si="143"/>
        <v>7.5953846153846154</v>
      </c>
      <c r="AB188" s="225"/>
      <c r="AC188" s="225"/>
      <c r="AD188" s="155"/>
      <c r="AE188" s="225"/>
      <c r="AF188" s="155"/>
      <c r="AG188" s="155"/>
      <c r="AH188" s="225"/>
      <c r="AI188" s="225"/>
      <c r="AJ188" s="225"/>
      <c r="AK188" s="225"/>
      <c r="AL188" s="155"/>
    </row>
    <row r="189" spans="1:38" ht="21.9" customHeight="1">
      <c r="A189" s="154">
        <f>A188+1</f>
        <v>147</v>
      </c>
      <c r="B189" s="177" t="s">
        <v>265</v>
      </c>
      <c r="C189" s="175" t="s">
        <v>260</v>
      </c>
      <c r="D189" s="161" t="s">
        <v>79</v>
      </c>
      <c r="E189" s="163" t="s">
        <v>209</v>
      </c>
      <c r="F189" s="155">
        <v>800</v>
      </c>
      <c r="G189" s="155">
        <f>F189*12</f>
        <v>9600</v>
      </c>
      <c r="H189" s="155">
        <v>70</v>
      </c>
      <c r="I189" s="155"/>
      <c r="J189" s="155">
        <f t="shared" si="138"/>
        <v>800</v>
      </c>
      <c r="K189" s="155">
        <v>300</v>
      </c>
      <c r="L189" s="155"/>
      <c r="M189" s="155">
        <v>125</v>
      </c>
      <c r="N189" s="169">
        <v>30</v>
      </c>
      <c r="O189" s="155">
        <v>100</v>
      </c>
      <c r="P189" s="155">
        <f t="shared" si="139"/>
        <v>910</v>
      </c>
      <c r="Q189" s="155">
        <f>P189/13</f>
        <v>70</v>
      </c>
      <c r="R189" s="155"/>
      <c r="S189" s="155"/>
      <c r="T189" s="155"/>
      <c r="U189" s="155">
        <f>ROUND(F189*0.075*13,2)</f>
        <v>780</v>
      </c>
      <c r="V189" s="155">
        <f t="shared" si="142"/>
        <v>60</v>
      </c>
      <c r="W189" s="155"/>
      <c r="X189" s="155"/>
      <c r="Y189" s="155">
        <f>P189+S189+U189+W189</f>
        <v>1690</v>
      </c>
      <c r="Z189" s="155">
        <f>ROUND(F189*0.01*13,2)</f>
        <v>104</v>
      </c>
      <c r="AA189" s="155">
        <f t="shared" si="143"/>
        <v>8</v>
      </c>
      <c r="AB189" s="155">
        <f>F189/30/7*1.5*45</f>
        <v>257.14285714285717</v>
      </c>
      <c r="AC189" s="155">
        <f>ROUND(AB189*0.0775,2)</f>
        <v>19.93</v>
      </c>
      <c r="AD189" s="155"/>
      <c r="AE189" s="155">
        <f>ROUND(AB189*0.075,2)</f>
        <v>19.29</v>
      </c>
      <c r="AF189" s="155"/>
      <c r="AG189" s="155">
        <f>AC189+AD189+AE189+AF189</f>
        <v>39.22</v>
      </c>
      <c r="AH189" s="155">
        <f>AB189*0.01</f>
        <v>2.5714285714285716</v>
      </c>
      <c r="AI189" s="225"/>
      <c r="AJ189" s="225"/>
      <c r="AK189" s="225"/>
      <c r="AL189" s="155"/>
    </row>
    <row r="190" spans="1:38" ht="21.9" customHeight="1">
      <c r="A190" s="154">
        <f>A189+1</f>
        <v>148</v>
      </c>
      <c r="B190" s="176" t="s">
        <v>702</v>
      </c>
      <c r="C190" s="175" t="s">
        <v>260</v>
      </c>
      <c r="D190" s="161" t="s">
        <v>79</v>
      </c>
      <c r="E190" s="163" t="s">
        <v>209</v>
      </c>
      <c r="F190" s="155">
        <v>600</v>
      </c>
      <c r="G190" s="155">
        <f>F190*12</f>
        <v>7200</v>
      </c>
      <c r="H190" s="155">
        <v>70</v>
      </c>
      <c r="I190" s="155"/>
      <c r="J190" s="155">
        <f t="shared" si="138"/>
        <v>600</v>
      </c>
      <c r="K190" s="155">
        <v>300</v>
      </c>
      <c r="L190" s="155"/>
      <c r="M190" s="155">
        <v>125</v>
      </c>
      <c r="N190" s="169">
        <v>30</v>
      </c>
      <c r="O190" s="155">
        <v>100</v>
      </c>
      <c r="P190" s="155">
        <f t="shared" si="139"/>
        <v>682.5</v>
      </c>
      <c r="Q190" s="155"/>
      <c r="R190" s="155">
        <f>P190/13</f>
        <v>52.5</v>
      </c>
      <c r="S190" s="155"/>
      <c r="T190" s="155"/>
      <c r="U190" s="155">
        <f>ROUND(F190*0.075*13,2)</f>
        <v>585</v>
      </c>
      <c r="V190" s="155">
        <f t="shared" si="142"/>
        <v>45</v>
      </c>
      <c r="W190" s="155"/>
      <c r="X190" s="155"/>
      <c r="Y190" s="155">
        <f t="shared" ref="Y190:Y198" si="144">P190+S190+U190+W190</f>
        <v>1267.5</v>
      </c>
      <c r="Z190" s="155">
        <f>ROUND(F190*0.01*13,2)</f>
        <v>78</v>
      </c>
      <c r="AA190" s="155">
        <f t="shared" si="143"/>
        <v>6</v>
      </c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</row>
    <row r="191" spans="1:38" ht="21.9" customHeight="1">
      <c r="A191" s="154">
        <f>A190+1</f>
        <v>149</v>
      </c>
      <c r="B191" s="176" t="s">
        <v>702</v>
      </c>
      <c r="C191" s="175" t="s">
        <v>260</v>
      </c>
      <c r="D191" s="161" t="s">
        <v>79</v>
      </c>
      <c r="E191" s="163" t="s">
        <v>209</v>
      </c>
      <c r="F191" s="155">
        <v>600</v>
      </c>
      <c r="G191" s="155">
        <f t="shared" ref="G191:G199" si="145">F191*12</f>
        <v>7200</v>
      </c>
      <c r="H191" s="155">
        <v>70</v>
      </c>
      <c r="I191" s="155"/>
      <c r="J191" s="155">
        <f t="shared" si="138"/>
        <v>600</v>
      </c>
      <c r="K191" s="155">
        <v>300</v>
      </c>
      <c r="L191" s="155"/>
      <c r="M191" s="155"/>
      <c r="N191" s="169">
        <v>30</v>
      </c>
      <c r="O191" s="155">
        <v>100</v>
      </c>
      <c r="P191" s="155">
        <f t="shared" si="139"/>
        <v>682.5</v>
      </c>
      <c r="Q191" s="155"/>
      <c r="R191" s="155">
        <f t="shared" ref="R191:R192" si="146">P191/13</f>
        <v>52.5</v>
      </c>
      <c r="S191" s="155"/>
      <c r="T191" s="155"/>
      <c r="U191" s="155">
        <f>ROUND(F191*0.075*13,2)</f>
        <v>585</v>
      </c>
      <c r="V191" s="155">
        <f>U191/13</f>
        <v>45</v>
      </c>
      <c r="W191" s="155"/>
      <c r="X191" s="155"/>
      <c r="Y191" s="155">
        <f t="shared" si="144"/>
        <v>1267.5</v>
      </c>
      <c r="Z191" s="155">
        <f>ROUND(F191*0.01*13,2)</f>
        <v>78</v>
      </c>
      <c r="AA191" s="155">
        <f>Z191/13</f>
        <v>6</v>
      </c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</row>
    <row r="192" spans="1:38" s="170" customFormat="1" ht="21.9" customHeight="1">
      <c r="A192" s="173">
        <f t="shared" ref="A192:A198" si="147">A191+1</f>
        <v>150</v>
      </c>
      <c r="B192" s="177" t="s">
        <v>715</v>
      </c>
      <c r="C192" s="175" t="s">
        <v>260</v>
      </c>
      <c r="D192" s="161" t="s">
        <v>79</v>
      </c>
      <c r="E192" s="163" t="s">
        <v>209</v>
      </c>
      <c r="F192" s="155">
        <f>945+30+50</f>
        <v>1025</v>
      </c>
      <c r="G192" s="155">
        <f>F192*12</f>
        <v>12300</v>
      </c>
      <c r="H192" s="155">
        <v>70</v>
      </c>
      <c r="I192" s="155"/>
      <c r="J192" s="155">
        <f t="shared" si="138"/>
        <v>1025</v>
      </c>
      <c r="K192" s="155">
        <v>300</v>
      </c>
      <c r="L192" s="155"/>
      <c r="M192" s="155">
        <v>125</v>
      </c>
      <c r="N192" s="169">
        <v>30</v>
      </c>
      <c r="O192" s="155">
        <v>100</v>
      </c>
      <c r="P192" s="155">
        <f t="shared" si="139"/>
        <v>1165.94</v>
      </c>
      <c r="Q192" s="155"/>
      <c r="R192" s="155">
        <f t="shared" si="146"/>
        <v>89.687692307692316</v>
      </c>
      <c r="S192" s="155"/>
      <c r="T192" s="155"/>
      <c r="U192" s="155">
        <f>75*13</f>
        <v>975</v>
      </c>
      <c r="V192" s="155">
        <f>U192/13</f>
        <v>75</v>
      </c>
      <c r="W192" s="155"/>
      <c r="X192" s="155"/>
      <c r="Y192" s="155">
        <f t="shared" si="144"/>
        <v>2140.94</v>
      </c>
      <c r="Z192" s="155">
        <f>10*13</f>
        <v>130</v>
      </c>
      <c r="AA192" s="155">
        <f>Z192/13</f>
        <v>10</v>
      </c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</row>
    <row r="193" spans="1:38" ht="21.9" customHeight="1">
      <c r="A193" s="173">
        <f t="shared" si="147"/>
        <v>151</v>
      </c>
      <c r="B193" s="177" t="s">
        <v>717</v>
      </c>
      <c r="C193" s="175" t="s">
        <v>260</v>
      </c>
      <c r="D193" s="161" t="s">
        <v>79</v>
      </c>
      <c r="E193" s="295" t="s">
        <v>209</v>
      </c>
      <c r="F193" s="169">
        <f>920+30+50</f>
        <v>1000</v>
      </c>
      <c r="G193" s="169">
        <f>F193*12</f>
        <v>12000</v>
      </c>
      <c r="H193" s="155">
        <v>70</v>
      </c>
      <c r="I193" s="169"/>
      <c r="J193" s="155">
        <f t="shared" si="138"/>
        <v>1000</v>
      </c>
      <c r="K193" s="169">
        <v>300</v>
      </c>
      <c r="L193" s="169"/>
      <c r="M193" s="169">
        <v>125</v>
      </c>
      <c r="N193" s="169">
        <v>30</v>
      </c>
      <c r="O193" s="155">
        <v>100</v>
      </c>
      <c r="P193" s="155">
        <f t="shared" si="139"/>
        <v>1137.5</v>
      </c>
      <c r="Q193" s="296"/>
      <c r="R193" s="169">
        <f>P193/13</f>
        <v>87.5</v>
      </c>
      <c r="S193" s="169"/>
      <c r="T193" s="169"/>
      <c r="U193" s="169">
        <f>F193*0.075*13</f>
        <v>975</v>
      </c>
      <c r="V193" s="169">
        <f>U193/13</f>
        <v>75</v>
      </c>
      <c r="W193" s="169"/>
      <c r="X193" s="169"/>
      <c r="Y193" s="169">
        <f t="shared" si="144"/>
        <v>2112.5</v>
      </c>
      <c r="Z193" s="155">
        <f>10*13</f>
        <v>130</v>
      </c>
      <c r="AA193" s="169">
        <f>Z193/13</f>
        <v>10</v>
      </c>
      <c r="AB193" s="297"/>
      <c r="AC193" s="297"/>
      <c r="AD193" s="169"/>
      <c r="AE193" s="297"/>
      <c r="AF193" s="169"/>
      <c r="AG193" s="169"/>
      <c r="AH193" s="297"/>
      <c r="AI193" s="297"/>
      <c r="AJ193" s="297"/>
      <c r="AK193" s="297"/>
      <c r="AL193" s="169"/>
    </row>
    <row r="194" spans="1:38" ht="21.9" customHeight="1">
      <c r="A194" s="173">
        <f t="shared" si="147"/>
        <v>152</v>
      </c>
      <c r="B194" s="176" t="s">
        <v>271</v>
      </c>
      <c r="C194" s="175" t="s">
        <v>260</v>
      </c>
      <c r="D194" s="161" t="s">
        <v>79</v>
      </c>
      <c r="E194" s="163" t="s">
        <v>209</v>
      </c>
      <c r="F194" s="155">
        <v>800</v>
      </c>
      <c r="G194" s="155">
        <f t="shared" si="145"/>
        <v>9600</v>
      </c>
      <c r="H194" s="155">
        <v>70</v>
      </c>
      <c r="I194" s="155"/>
      <c r="J194" s="155">
        <f t="shared" si="138"/>
        <v>800</v>
      </c>
      <c r="K194" s="155">
        <v>300</v>
      </c>
      <c r="L194" s="155"/>
      <c r="M194" s="155">
        <v>125</v>
      </c>
      <c r="N194" s="169">
        <v>30</v>
      </c>
      <c r="O194" s="155">
        <v>100</v>
      </c>
      <c r="P194" s="155">
        <f t="shared" si="139"/>
        <v>910</v>
      </c>
      <c r="Q194" s="155">
        <f>P194/13</f>
        <v>70</v>
      </c>
      <c r="R194" s="155"/>
      <c r="S194" s="155"/>
      <c r="T194" s="155"/>
      <c r="U194" s="155">
        <f t="shared" ref="U194:U199" si="148">ROUND(F194*0.075*13,2)</f>
        <v>780</v>
      </c>
      <c r="V194" s="155">
        <f>U194/13</f>
        <v>60</v>
      </c>
      <c r="W194" s="155"/>
      <c r="X194" s="155"/>
      <c r="Y194" s="155">
        <f t="shared" si="144"/>
        <v>1690</v>
      </c>
      <c r="Z194" s="155">
        <f t="shared" ref="Z194:Z199" si="149">ROUND(F194*0.01*13,2)</f>
        <v>104</v>
      </c>
      <c r="AA194" s="155">
        <f>Z194/13</f>
        <v>8</v>
      </c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</row>
    <row r="195" spans="1:38" ht="21.9" customHeight="1">
      <c r="A195" s="173">
        <f t="shared" si="147"/>
        <v>153</v>
      </c>
      <c r="B195" s="176" t="s">
        <v>271</v>
      </c>
      <c r="C195" s="175" t="s">
        <v>260</v>
      </c>
      <c r="D195" s="161" t="s">
        <v>79</v>
      </c>
      <c r="E195" s="163" t="s">
        <v>209</v>
      </c>
      <c r="F195" s="155">
        <f>597+30+50+50</f>
        <v>727</v>
      </c>
      <c r="G195" s="155">
        <f t="shared" si="145"/>
        <v>8724</v>
      </c>
      <c r="H195" s="155">
        <v>70</v>
      </c>
      <c r="I195" s="155"/>
      <c r="J195" s="155">
        <f t="shared" si="138"/>
        <v>727</v>
      </c>
      <c r="K195" s="155">
        <v>300</v>
      </c>
      <c r="L195" s="155"/>
      <c r="M195" s="155">
        <v>125</v>
      </c>
      <c r="N195" s="169">
        <v>30</v>
      </c>
      <c r="O195" s="155">
        <v>100</v>
      </c>
      <c r="P195" s="155">
        <f t="shared" si="139"/>
        <v>826.96</v>
      </c>
      <c r="Q195" s="226"/>
      <c r="R195" s="155">
        <f>P195/13</f>
        <v>63.612307692307695</v>
      </c>
      <c r="S195" s="155"/>
      <c r="T195" s="155"/>
      <c r="U195" s="155">
        <f t="shared" si="148"/>
        <v>708.83</v>
      </c>
      <c r="V195" s="155">
        <f>U195/13</f>
        <v>54.525384615384617</v>
      </c>
      <c r="W195" s="155"/>
      <c r="X195" s="155"/>
      <c r="Y195" s="155">
        <f t="shared" si="144"/>
        <v>1535.79</v>
      </c>
      <c r="Z195" s="155">
        <f t="shared" si="149"/>
        <v>94.51</v>
      </c>
      <c r="AA195" s="155">
        <f>Z195/13</f>
        <v>7.2700000000000005</v>
      </c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</row>
    <row r="196" spans="1:38" ht="21.9" customHeight="1">
      <c r="A196" s="173">
        <f t="shared" si="147"/>
        <v>154</v>
      </c>
      <c r="B196" s="177" t="s">
        <v>275</v>
      </c>
      <c r="C196" s="175" t="s">
        <v>260</v>
      </c>
      <c r="D196" s="161" t="s">
        <v>79</v>
      </c>
      <c r="E196" s="163" t="s">
        <v>209</v>
      </c>
      <c r="F196" s="155">
        <f>567+30+50</f>
        <v>647</v>
      </c>
      <c r="G196" s="155">
        <f t="shared" si="145"/>
        <v>7764</v>
      </c>
      <c r="H196" s="155">
        <v>70</v>
      </c>
      <c r="I196" s="155"/>
      <c r="J196" s="155">
        <f t="shared" si="138"/>
        <v>647</v>
      </c>
      <c r="K196" s="155">
        <v>300</v>
      </c>
      <c r="L196" s="155"/>
      <c r="M196" s="155">
        <v>125</v>
      </c>
      <c r="N196" s="169">
        <v>30</v>
      </c>
      <c r="O196" s="155">
        <v>100</v>
      </c>
      <c r="P196" s="155">
        <f t="shared" si="139"/>
        <v>735.96</v>
      </c>
      <c r="Q196" s="155">
        <f>P196/13</f>
        <v>56.612307692307695</v>
      </c>
      <c r="R196" s="155"/>
      <c r="S196" s="155"/>
      <c r="T196" s="155"/>
      <c r="U196" s="155">
        <f t="shared" si="148"/>
        <v>630.83000000000004</v>
      </c>
      <c r="V196" s="155">
        <f t="shared" si="142"/>
        <v>48.525384615384617</v>
      </c>
      <c r="W196" s="155"/>
      <c r="X196" s="155"/>
      <c r="Y196" s="155">
        <f t="shared" si="144"/>
        <v>1366.79</v>
      </c>
      <c r="Z196" s="155">
        <f t="shared" si="149"/>
        <v>84.11</v>
      </c>
      <c r="AA196" s="155">
        <f t="shared" si="143"/>
        <v>6.47</v>
      </c>
      <c r="AB196" s="225"/>
      <c r="AC196" s="225"/>
      <c r="AD196" s="155"/>
      <c r="AE196" s="225"/>
      <c r="AF196" s="155"/>
      <c r="AG196" s="155"/>
      <c r="AH196" s="225"/>
      <c r="AI196" s="225"/>
      <c r="AJ196" s="225"/>
      <c r="AK196" s="225"/>
      <c r="AL196" s="155"/>
    </row>
    <row r="197" spans="1:38" ht="21.9" customHeight="1">
      <c r="A197" s="173">
        <f t="shared" si="147"/>
        <v>155</v>
      </c>
      <c r="B197" s="176" t="s">
        <v>275</v>
      </c>
      <c r="C197" s="175" t="s">
        <v>260</v>
      </c>
      <c r="D197" s="161" t="s">
        <v>79</v>
      </c>
      <c r="E197" s="163" t="s">
        <v>209</v>
      </c>
      <c r="F197" s="155">
        <f>567+30+50+50</f>
        <v>697</v>
      </c>
      <c r="G197" s="155">
        <f t="shared" si="145"/>
        <v>8364</v>
      </c>
      <c r="H197" s="155">
        <v>70</v>
      </c>
      <c r="I197" s="155"/>
      <c r="J197" s="155">
        <f t="shared" si="138"/>
        <v>697</v>
      </c>
      <c r="K197" s="155">
        <v>300</v>
      </c>
      <c r="L197" s="155"/>
      <c r="M197" s="155">
        <v>125</v>
      </c>
      <c r="N197" s="169">
        <v>30</v>
      </c>
      <c r="O197" s="155">
        <v>100</v>
      </c>
      <c r="P197" s="155">
        <f t="shared" si="139"/>
        <v>792.84</v>
      </c>
      <c r="Q197" s="155">
        <f>P197/13</f>
        <v>60.987692307692313</v>
      </c>
      <c r="R197" s="155"/>
      <c r="S197" s="155"/>
      <c r="T197" s="155"/>
      <c r="U197" s="155">
        <f t="shared" si="148"/>
        <v>679.58</v>
      </c>
      <c r="V197" s="155">
        <f>U197/13</f>
        <v>52.275384615384617</v>
      </c>
      <c r="W197" s="155"/>
      <c r="X197" s="155"/>
      <c r="Y197" s="155">
        <f t="shared" si="144"/>
        <v>1472.42</v>
      </c>
      <c r="Z197" s="155">
        <f t="shared" si="149"/>
        <v>90.61</v>
      </c>
      <c r="AA197" s="155">
        <f>Z197/13</f>
        <v>6.97</v>
      </c>
      <c r="AB197" s="225"/>
      <c r="AC197" s="225"/>
      <c r="AD197" s="155"/>
      <c r="AE197" s="225"/>
      <c r="AF197" s="155"/>
      <c r="AG197" s="155"/>
      <c r="AH197" s="225"/>
      <c r="AI197" s="225"/>
      <c r="AJ197" s="225"/>
      <c r="AK197" s="225"/>
      <c r="AL197" s="155"/>
    </row>
    <row r="198" spans="1:38" ht="21.9" customHeight="1">
      <c r="A198" s="173">
        <f t="shared" si="147"/>
        <v>156</v>
      </c>
      <c r="B198" s="176" t="s">
        <v>277</v>
      </c>
      <c r="C198" s="175" t="s">
        <v>260</v>
      </c>
      <c r="D198" s="161" t="s">
        <v>79</v>
      </c>
      <c r="E198" s="163" t="s">
        <v>209</v>
      </c>
      <c r="F198" s="155">
        <v>417</v>
      </c>
      <c r="G198" s="155">
        <f t="shared" si="145"/>
        <v>5004</v>
      </c>
      <c r="H198" s="155">
        <v>70</v>
      </c>
      <c r="I198" s="155"/>
      <c r="J198" s="155">
        <f t="shared" si="138"/>
        <v>417</v>
      </c>
      <c r="K198" s="155">
        <v>300</v>
      </c>
      <c r="L198" s="155"/>
      <c r="M198" s="155">
        <v>125</v>
      </c>
      <c r="N198" s="169">
        <v>30</v>
      </c>
      <c r="O198" s="155">
        <v>100</v>
      </c>
      <c r="P198" s="155">
        <f t="shared" si="139"/>
        <v>474.34</v>
      </c>
      <c r="Q198" s="226"/>
      <c r="R198" s="155">
        <f>P198/13</f>
        <v>36.487692307692306</v>
      </c>
      <c r="S198" s="155"/>
      <c r="T198" s="155"/>
      <c r="U198" s="155">
        <f t="shared" si="148"/>
        <v>406.58</v>
      </c>
      <c r="V198" s="155">
        <f>U198/13</f>
        <v>31.275384615384613</v>
      </c>
      <c r="W198" s="155"/>
      <c r="X198" s="155"/>
      <c r="Y198" s="155">
        <f t="shared" si="144"/>
        <v>880.92</v>
      </c>
      <c r="Z198" s="155">
        <f t="shared" si="149"/>
        <v>54.21</v>
      </c>
      <c r="AA198" s="155">
        <f>Z198/13</f>
        <v>4.17</v>
      </c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</row>
    <row r="199" spans="1:38" ht="21.9" customHeight="1">
      <c r="A199" s="154">
        <f>A198+1</f>
        <v>157</v>
      </c>
      <c r="B199" s="177" t="s">
        <v>282</v>
      </c>
      <c r="C199" s="175" t="s">
        <v>260</v>
      </c>
      <c r="D199" s="161" t="s">
        <v>79</v>
      </c>
      <c r="E199" s="163" t="s">
        <v>209</v>
      </c>
      <c r="F199" s="155">
        <f>627+50</f>
        <v>677</v>
      </c>
      <c r="G199" s="155">
        <f t="shared" si="145"/>
        <v>8124</v>
      </c>
      <c r="H199" s="155">
        <v>70</v>
      </c>
      <c r="I199" s="155"/>
      <c r="J199" s="155">
        <f t="shared" si="138"/>
        <v>677</v>
      </c>
      <c r="K199" s="155">
        <v>300</v>
      </c>
      <c r="L199" s="155"/>
      <c r="M199" s="155"/>
      <c r="N199" s="169">
        <v>30</v>
      </c>
      <c r="O199" s="155">
        <v>100</v>
      </c>
      <c r="P199" s="155">
        <f t="shared" si="139"/>
        <v>770.09</v>
      </c>
      <c r="Q199" s="155">
        <f>P199/13</f>
        <v>59.237692307692313</v>
      </c>
      <c r="R199" s="155"/>
      <c r="S199" s="155"/>
      <c r="T199" s="155"/>
      <c r="U199" s="155">
        <f t="shared" si="148"/>
        <v>660.08</v>
      </c>
      <c r="V199" s="155">
        <f t="shared" si="142"/>
        <v>50.775384615384617</v>
      </c>
      <c r="W199" s="155"/>
      <c r="X199" s="155"/>
      <c r="Y199" s="155">
        <f>P199+S199+U199+W199</f>
        <v>1430.17</v>
      </c>
      <c r="Z199" s="155">
        <f t="shared" si="149"/>
        <v>88.01</v>
      </c>
      <c r="AA199" s="155">
        <f t="shared" si="143"/>
        <v>6.7700000000000005</v>
      </c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</row>
    <row r="200" spans="1:38" ht="21.9" customHeight="1">
      <c r="B200" s="277"/>
      <c r="C200" s="161"/>
      <c r="D200" s="161"/>
      <c r="E200" s="163"/>
      <c r="F200" s="152">
        <f t="shared" ref="F200:N200" si="150">SUM(F187:F199)</f>
        <v>10549.57</v>
      </c>
      <c r="G200" s="152">
        <f t="shared" si="150"/>
        <v>126594.84</v>
      </c>
      <c r="H200" s="152">
        <f t="shared" si="150"/>
        <v>910</v>
      </c>
      <c r="I200" s="152">
        <f t="shared" si="150"/>
        <v>0</v>
      </c>
      <c r="J200" s="152">
        <f t="shared" si="150"/>
        <v>10549.57</v>
      </c>
      <c r="K200" s="152">
        <f t="shared" si="150"/>
        <v>3900</v>
      </c>
      <c r="L200" s="152">
        <f t="shared" si="150"/>
        <v>1800</v>
      </c>
      <c r="M200" s="152">
        <f t="shared" si="150"/>
        <v>1250</v>
      </c>
      <c r="N200" s="152">
        <f t="shared" si="150"/>
        <v>390</v>
      </c>
      <c r="O200" s="152">
        <f>SUM(O187:O199)</f>
        <v>1300</v>
      </c>
      <c r="P200" s="152">
        <f>SUM(P187:P199)</f>
        <v>12000.14</v>
      </c>
      <c r="Q200" s="152">
        <f>SUM(Q187:Q199)+0.01</f>
        <v>540.81000000000006</v>
      </c>
      <c r="R200" s="152">
        <f>SUM(R187:R199)</f>
        <v>382.28769230769234</v>
      </c>
      <c r="S200" s="152">
        <f>SUM(S187:S199)</f>
        <v>0</v>
      </c>
      <c r="T200" s="152">
        <f>SUM(T187:T199)</f>
        <v>0</v>
      </c>
      <c r="U200" s="152">
        <f>SUM(U187:U199)</f>
        <v>9481.48</v>
      </c>
      <c r="V200" s="152">
        <f>SUM(V187:V199)+0.03</f>
        <v>729.37461538461537</v>
      </c>
      <c r="W200" s="152">
        <f>SUM(W187:W199)</f>
        <v>0</v>
      </c>
      <c r="X200" s="152">
        <f>SUM(X187:X199)</f>
        <v>0</v>
      </c>
      <c r="Y200" s="152">
        <f>SUM(Y187:Y199)</f>
        <v>21481.619999999995</v>
      </c>
      <c r="Z200" s="152">
        <f>SUM(Z187:Z199)</f>
        <v>1264.1899999999998</v>
      </c>
      <c r="AA200" s="152">
        <f>SUM(AA187:AA199)+0.01</f>
        <v>97.255384615384614</v>
      </c>
      <c r="AB200" s="152">
        <f t="shared" ref="AB200:AH200" si="151">SUM(AB187:AB199)</f>
        <v>257.14285714285717</v>
      </c>
      <c r="AC200" s="152">
        <f t="shared" si="151"/>
        <v>19.93</v>
      </c>
      <c r="AD200" s="152">
        <f t="shared" si="151"/>
        <v>0</v>
      </c>
      <c r="AE200" s="152">
        <f t="shared" si="151"/>
        <v>19.29</v>
      </c>
      <c r="AF200" s="152">
        <f t="shared" si="151"/>
        <v>0</v>
      </c>
      <c r="AG200" s="152">
        <f t="shared" si="151"/>
        <v>39.22</v>
      </c>
      <c r="AH200" s="152">
        <f t="shared" si="151"/>
        <v>2.5714285714285716</v>
      </c>
      <c r="AI200" s="152"/>
      <c r="AJ200" s="152"/>
      <c r="AK200" s="152"/>
      <c r="AL200" s="152"/>
    </row>
    <row r="201" spans="1:38" ht="21.9" customHeight="1">
      <c r="A201" s="172">
        <f>A199+1</f>
        <v>158</v>
      </c>
      <c r="B201" s="176" t="s">
        <v>285</v>
      </c>
      <c r="C201" s="175" t="s">
        <v>286</v>
      </c>
      <c r="D201" s="161" t="s">
        <v>79</v>
      </c>
      <c r="E201" s="163" t="s">
        <v>209</v>
      </c>
      <c r="F201" s="155">
        <v>1300</v>
      </c>
      <c r="G201" s="155">
        <f>F201*12</f>
        <v>15600</v>
      </c>
      <c r="H201" s="155">
        <v>70</v>
      </c>
      <c r="I201" s="155"/>
      <c r="J201" s="155">
        <f t="shared" si="138"/>
        <v>1300</v>
      </c>
      <c r="K201" s="155">
        <v>300</v>
      </c>
      <c r="L201" s="155"/>
      <c r="M201" s="155">
        <v>125</v>
      </c>
      <c r="N201" s="169">
        <v>30</v>
      </c>
      <c r="O201" s="155">
        <v>100</v>
      </c>
      <c r="P201" s="155">
        <f t="shared" si="139"/>
        <v>1478.75</v>
      </c>
      <c r="Q201" s="226"/>
      <c r="R201" s="155">
        <f>P201/13</f>
        <v>113.75</v>
      </c>
      <c r="S201" s="155"/>
      <c r="T201" s="155"/>
      <c r="U201" s="155">
        <f>75*13</f>
        <v>975</v>
      </c>
      <c r="V201" s="155">
        <f>U201/13</f>
        <v>75</v>
      </c>
      <c r="W201" s="155"/>
      <c r="X201" s="155"/>
      <c r="Y201" s="155">
        <f>P201+S201+U201+W201</f>
        <v>2453.75</v>
      </c>
      <c r="Z201" s="155">
        <f>10*13</f>
        <v>130</v>
      </c>
      <c r="AA201" s="155">
        <f>Z201/13</f>
        <v>10</v>
      </c>
      <c r="AB201" s="225"/>
      <c r="AC201" s="225"/>
      <c r="AD201" s="155"/>
      <c r="AE201" s="225"/>
      <c r="AF201" s="155"/>
      <c r="AG201" s="155"/>
      <c r="AH201" s="225"/>
      <c r="AI201" s="225"/>
      <c r="AJ201" s="225"/>
      <c r="AK201" s="225"/>
      <c r="AL201" s="155"/>
    </row>
    <row r="202" spans="1:38" ht="21.9" customHeight="1">
      <c r="A202" s="172">
        <f>A201+1</f>
        <v>159</v>
      </c>
      <c r="B202" s="177" t="s">
        <v>288</v>
      </c>
      <c r="C202" s="175" t="s">
        <v>286</v>
      </c>
      <c r="D202" s="161" t="s">
        <v>79</v>
      </c>
      <c r="E202" s="163" t="s">
        <v>209</v>
      </c>
      <c r="F202" s="155">
        <v>837</v>
      </c>
      <c r="G202" s="155">
        <f>F202*12</f>
        <v>10044</v>
      </c>
      <c r="H202" s="155">
        <v>70</v>
      </c>
      <c r="I202" s="155"/>
      <c r="J202" s="155">
        <f t="shared" si="138"/>
        <v>837</v>
      </c>
      <c r="K202" s="155">
        <v>300</v>
      </c>
      <c r="L202" s="155"/>
      <c r="M202" s="155">
        <v>125</v>
      </c>
      <c r="N202" s="169">
        <v>30</v>
      </c>
      <c r="O202" s="155">
        <v>100</v>
      </c>
      <c r="P202" s="155">
        <f t="shared" si="139"/>
        <v>952.09</v>
      </c>
      <c r="Q202" s="155">
        <f>P202/13</f>
        <v>73.237692307692313</v>
      </c>
      <c r="R202" s="155"/>
      <c r="S202" s="155"/>
      <c r="T202" s="155"/>
      <c r="U202" s="155">
        <f>ROUND(F202*0.075*13,2)</f>
        <v>816.08</v>
      </c>
      <c r="V202" s="155">
        <f>U202/13</f>
        <v>62.775384615384617</v>
      </c>
      <c r="W202" s="155"/>
      <c r="X202" s="155"/>
      <c r="Y202" s="155">
        <f>P202+S202+U202+W202</f>
        <v>1768.17</v>
      </c>
      <c r="Z202" s="155">
        <f>ROUND(F202*0.01*13,2)</f>
        <v>108.81</v>
      </c>
      <c r="AA202" s="155">
        <f>Z202/13</f>
        <v>8.370000000000001</v>
      </c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</row>
    <row r="203" spans="1:38" ht="21.9" customHeight="1">
      <c r="A203" s="172">
        <f>A202+1</f>
        <v>160</v>
      </c>
      <c r="B203" s="176" t="s">
        <v>290</v>
      </c>
      <c r="C203" s="175" t="s">
        <v>286</v>
      </c>
      <c r="D203" s="161" t="s">
        <v>79</v>
      </c>
      <c r="E203" s="163" t="s">
        <v>209</v>
      </c>
      <c r="F203" s="155">
        <v>797</v>
      </c>
      <c r="G203" s="155">
        <f>F203*12</f>
        <v>9564</v>
      </c>
      <c r="H203" s="155">
        <v>70</v>
      </c>
      <c r="I203" s="155"/>
      <c r="J203" s="155">
        <f>F203</f>
        <v>797</v>
      </c>
      <c r="K203" s="155">
        <v>300</v>
      </c>
      <c r="L203" s="155"/>
      <c r="M203" s="155">
        <v>125</v>
      </c>
      <c r="N203" s="169">
        <v>30</v>
      </c>
      <c r="O203" s="155">
        <v>100</v>
      </c>
      <c r="P203" s="155">
        <f t="shared" si="139"/>
        <v>906.59</v>
      </c>
      <c r="Q203" s="155">
        <f>P203/13</f>
        <v>69.737692307692313</v>
      </c>
      <c r="R203" s="226"/>
      <c r="S203" s="155"/>
      <c r="T203" s="155"/>
      <c r="U203" s="155">
        <f>ROUND(F203*0.075*13,2)</f>
        <v>777.08</v>
      </c>
      <c r="V203" s="155">
        <f>U203/13</f>
        <v>59.775384615384617</v>
      </c>
      <c r="W203" s="155"/>
      <c r="X203" s="155"/>
      <c r="Y203" s="155">
        <f>P203+S203+U203+W203</f>
        <v>1683.67</v>
      </c>
      <c r="Z203" s="155">
        <f>ROUND(F203*0.01*13,2)</f>
        <v>103.61</v>
      </c>
      <c r="AA203" s="155">
        <f>Z203/13</f>
        <v>7.97</v>
      </c>
      <c r="AB203" s="225"/>
      <c r="AC203" s="225"/>
      <c r="AD203" s="155"/>
      <c r="AE203" s="155"/>
      <c r="AF203" s="155"/>
      <c r="AG203" s="155"/>
      <c r="AH203" s="225"/>
      <c r="AI203" s="225"/>
      <c r="AJ203" s="225"/>
      <c r="AK203" s="225"/>
      <c r="AL203" s="155"/>
    </row>
    <row r="204" spans="1:38" ht="21.9" customHeight="1">
      <c r="A204" s="172">
        <f>A203+1</f>
        <v>161</v>
      </c>
      <c r="B204" s="176" t="s">
        <v>292</v>
      </c>
      <c r="C204" s="175" t="s">
        <v>286</v>
      </c>
      <c r="D204" s="161" t="s">
        <v>79</v>
      </c>
      <c r="E204" s="163" t="s">
        <v>209</v>
      </c>
      <c r="F204" s="155">
        <v>600</v>
      </c>
      <c r="G204" s="155">
        <f>F204*12</f>
        <v>7200</v>
      </c>
      <c r="H204" s="155">
        <v>70</v>
      </c>
      <c r="I204" s="155"/>
      <c r="J204" s="155">
        <f t="shared" si="138"/>
        <v>600</v>
      </c>
      <c r="K204" s="155">
        <v>300</v>
      </c>
      <c r="L204" s="155"/>
      <c r="M204" s="155"/>
      <c r="N204" s="169">
        <v>30</v>
      </c>
      <c r="O204" s="155">
        <v>100</v>
      </c>
      <c r="P204" s="155">
        <f t="shared" si="139"/>
        <v>682.5</v>
      </c>
      <c r="Q204" s="155">
        <f>P204/13</f>
        <v>52.5</v>
      </c>
      <c r="R204" s="155"/>
      <c r="S204" s="155"/>
      <c r="T204" s="155"/>
      <c r="U204" s="155">
        <f>ROUND(F204*0.075*13,2)</f>
        <v>585</v>
      </c>
      <c r="V204" s="155">
        <f>U204/13</f>
        <v>45</v>
      </c>
      <c r="W204" s="155"/>
      <c r="X204" s="155"/>
      <c r="Y204" s="155">
        <f>P204+S204+U204+W204</f>
        <v>1267.5</v>
      </c>
      <c r="Z204" s="155">
        <f>ROUND(F204*0.01*13,2)</f>
        <v>78</v>
      </c>
      <c r="AA204" s="155">
        <f>Z204/13</f>
        <v>6</v>
      </c>
      <c r="AB204" s="225"/>
      <c r="AC204" s="225"/>
      <c r="AD204" s="155"/>
      <c r="AE204" s="225"/>
      <c r="AF204" s="155"/>
      <c r="AG204" s="155"/>
      <c r="AH204" s="225"/>
      <c r="AI204" s="225"/>
      <c r="AJ204" s="225"/>
      <c r="AK204" s="225"/>
      <c r="AL204" s="155"/>
    </row>
    <row r="205" spans="1:38" s="128" customFormat="1" ht="21.9" customHeight="1">
      <c r="A205" s="232"/>
      <c r="B205" s="277"/>
      <c r="C205" s="216"/>
      <c r="D205" s="161"/>
      <c r="E205" s="300"/>
      <c r="F205" s="152">
        <f t="shared" ref="F205:U205" si="152">SUM(F201:F204)</f>
        <v>3534</v>
      </c>
      <c r="G205" s="152">
        <f t="shared" si="152"/>
        <v>42408</v>
      </c>
      <c r="H205" s="152">
        <f t="shared" si="152"/>
        <v>280</v>
      </c>
      <c r="I205" s="152">
        <f t="shared" si="152"/>
        <v>0</v>
      </c>
      <c r="J205" s="152">
        <f t="shared" si="152"/>
        <v>3534</v>
      </c>
      <c r="K205" s="152">
        <f t="shared" si="152"/>
        <v>1200</v>
      </c>
      <c r="L205" s="152">
        <f t="shared" si="152"/>
        <v>0</v>
      </c>
      <c r="M205" s="152">
        <f t="shared" si="152"/>
        <v>375</v>
      </c>
      <c r="N205" s="152">
        <f t="shared" si="152"/>
        <v>120</v>
      </c>
      <c r="O205" s="152">
        <f t="shared" si="152"/>
        <v>400</v>
      </c>
      <c r="P205" s="152">
        <f t="shared" si="152"/>
        <v>4019.9300000000003</v>
      </c>
      <c r="Q205" s="152">
        <f t="shared" si="152"/>
        <v>195.47538461538463</v>
      </c>
      <c r="R205" s="152">
        <f t="shared" si="152"/>
        <v>113.75</v>
      </c>
      <c r="S205" s="152">
        <f t="shared" si="152"/>
        <v>0</v>
      </c>
      <c r="T205" s="152">
        <f t="shared" si="152"/>
        <v>0</v>
      </c>
      <c r="U205" s="152">
        <f t="shared" si="152"/>
        <v>3153.16</v>
      </c>
      <c r="V205" s="152">
        <f>SUM(V201:V204)+0.02</f>
        <v>242.57076923076923</v>
      </c>
      <c r="W205" s="152">
        <f>SUM(W201:W204)</f>
        <v>0</v>
      </c>
      <c r="X205" s="152">
        <f>SUM(X201:X204)</f>
        <v>0</v>
      </c>
      <c r="Y205" s="152">
        <f>SUM(Y201:Y204)</f>
        <v>7173.09</v>
      </c>
      <c r="Z205" s="152">
        <f>SUM(Z201:Z204)</f>
        <v>420.42</v>
      </c>
      <c r="AA205" s="152">
        <f>SUM(AA201:AA204)</f>
        <v>32.340000000000003</v>
      </c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2"/>
      <c r="AL205" s="152"/>
    </row>
    <row r="206" spans="1:38" ht="32.25" customHeight="1">
      <c r="A206" s="232"/>
      <c r="B206" s="292" t="s">
        <v>628</v>
      </c>
      <c r="C206" s="293"/>
      <c r="D206" s="293"/>
      <c r="E206" s="294"/>
      <c r="F206" s="153">
        <f>+F205+F200+F186+F182+F180+F159</f>
        <v>37337.14</v>
      </c>
      <c r="G206" s="153">
        <f>SUM(G159+G180+[1]SALARIO!H179+G186+G200+G205)</f>
        <v>448045.67999999993</v>
      </c>
      <c r="H206" s="153">
        <f>SUM(H159+H180+[1]SALARIO!I179+H186+H200+H205)</f>
        <v>3360</v>
      </c>
      <c r="I206" s="301"/>
      <c r="J206" s="153">
        <f>+J205+J200+J186+J182+J180+J159</f>
        <v>37337.14</v>
      </c>
      <c r="K206" s="153">
        <f>SUM(K159+K180+[1]SALARIO!L179+K186+K200+K205)</f>
        <v>14400</v>
      </c>
      <c r="L206" s="152">
        <f>SUM(L159+L180+[1]SALARIO!M179+L186+L200+L205)</f>
        <v>3100</v>
      </c>
      <c r="M206" s="152">
        <f>SUM(M159+M180+M186+M200+M205)</f>
        <v>4125</v>
      </c>
      <c r="N206" s="152">
        <f>SUM(N159+N180+[1]SALARIO!P179+N186+N200+N205)</f>
        <v>1440</v>
      </c>
      <c r="O206" s="152">
        <f>SUM(O159+O180+[1]SALARIO!Q179+O186+O200+O205)</f>
        <v>4800</v>
      </c>
      <c r="P206" s="152">
        <f>SUM(P159+P180+P182+P186+P200+P205)</f>
        <v>42471.02</v>
      </c>
      <c r="Q206" s="152">
        <f>SUM(Q159+Q180+[1]SALARIO!S179+Q186+Q200+Q205)</f>
        <v>1563.4730769230771</v>
      </c>
      <c r="R206" s="152">
        <f>SUM(R159+R180+R186+R200+R205)</f>
        <v>1546.0484615384617</v>
      </c>
      <c r="S206" s="152">
        <f>SUM(S159+S180+[1]SALARIO!U179+S186+S200+S205)</f>
        <v>0</v>
      </c>
      <c r="T206" s="152">
        <f>SUM(T159+T180+[1]SALARIO!V179+T186+T200+T205)</f>
        <v>0</v>
      </c>
      <c r="U206" s="152">
        <f>SUM(U159+U180+U182+U186+U200+U205)</f>
        <v>33649.47</v>
      </c>
      <c r="V206" s="152">
        <f>SUM(V159+V180+V182+V186+V200+V205)</f>
        <v>2588.5707692307692</v>
      </c>
      <c r="W206" s="152">
        <f>SUM(W159+W180+W186+W200+W205)</f>
        <v>0</v>
      </c>
      <c r="X206" s="152">
        <f>SUM(X159+X180+X186+X200+X205)</f>
        <v>0</v>
      </c>
      <c r="Y206" s="152">
        <f>SUM(Y159+Y180+Y182+Y186+Y200+Y205)</f>
        <v>76120.489999999991</v>
      </c>
      <c r="Z206" s="152">
        <f>SUM(Z159+Z180+Z182+Z186+Z200+Z205)</f>
        <v>4486.57</v>
      </c>
      <c r="AA206" s="152">
        <f>SUM(AA159+AA180+AA186+AA200+AA205)</f>
        <v>335.13076923076926</v>
      </c>
      <c r="AB206" s="152">
        <f>SUM(AB159+AB180+AB186+AB200+AB205)-0.01</f>
        <v>257.13285714285718</v>
      </c>
      <c r="AC206" s="152">
        <f t="shared" ref="AC206:AL206" si="153">SUM(AC159+AC180+AC186+AC200+AC205)</f>
        <v>19.93</v>
      </c>
      <c r="AD206" s="152">
        <f t="shared" si="153"/>
        <v>0</v>
      </c>
      <c r="AE206" s="152">
        <f t="shared" si="153"/>
        <v>19.29</v>
      </c>
      <c r="AF206" s="152">
        <f t="shared" si="153"/>
        <v>0</v>
      </c>
      <c r="AG206" s="152">
        <f t="shared" si="153"/>
        <v>39.22</v>
      </c>
      <c r="AH206" s="152">
        <f t="shared" si="153"/>
        <v>2.5714285714285716</v>
      </c>
      <c r="AI206" s="152">
        <f t="shared" si="153"/>
        <v>0</v>
      </c>
      <c r="AJ206" s="152">
        <f t="shared" si="153"/>
        <v>0</v>
      </c>
      <c r="AK206" s="152">
        <f t="shared" si="153"/>
        <v>0</v>
      </c>
      <c r="AL206" s="152">
        <f t="shared" si="153"/>
        <v>0</v>
      </c>
    </row>
    <row r="207" spans="1:38" ht="21.9" customHeight="1">
      <c r="A207" s="172">
        <f>A204+1</f>
        <v>162</v>
      </c>
      <c r="B207" s="178" t="s">
        <v>686</v>
      </c>
      <c r="C207" s="217" t="s">
        <v>639</v>
      </c>
      <c r="D207" s="161" t="s">
        <v>79</v>
      </c>
      <c r="E207" s="163" t="s">
        <v>306</v>
      </c>
      <c r="F207" s="155">
        <v>1000</v>
      </c>
      <c r="G207" s="155">
        <f t="shared" ref="G207:G211" si="154">F207*12</f>
        <v>12000</v>
      </c>
      <c r="H207" s="155">
        <v>70</v>
      </c>
      <c r="I207" s="155"/>
      <c r="J207" s="155">
        <f t="shared" ref="J207:J211" si="155">F207</f>
        <v>1000</v>
      </c>
      <c r="K207" s="155">
        <v>300</v>
      </c>
      <c r="L207" s="155"/>
      <c r="M207" s="155">
        <v>125</v>
      </c>
      <c r="N207" s="155">
        <v>30</v>
      </c>
      <c r="O207" s="155">
        <v>100</v>
      </c>
      <c r="P207" s="155">
        <f t="shared" ref="P207:P211" si="156">ROUND(F207*0.0875*13,2)</f>
        <v>1137.5</v>
      </c>
      <c r="Q207" s="155"/>
      <c r="R207" s="155">
        <f t="shared" ref="R207:R209" si="157">P207/13</f>
        <v>87.5</v>
      </c>
      <c r="S207" s="155"/>
      <c r="T207" s="155"/>
      <c r="U207" s="155">
        <f>75*13</f>
        <v>975</v>
      </c>
      <c r="V207" s="155">
        <f t="shared" ref="V207:V211" si="158">U207/13</f>
        <v>75</v>
      </c>
      <c r="W207" s="155"/>
      <c r="X207" s="155"/>
      <c r="Y207" s="155">
        <f t="shared" ref="Y207:Y211" si="159">P207+S207+U207+W207</f>
        <v>2112.5</v>
      </c>
      <c r="Z207" s="155">
        <f>10*13</f>
        <v>130</v>
      </c>
      <c r="AA207" s="155">
        <f t="shared" ref="AA207:AA211" si="160">Z207/13</f>
        <v>10</v>
      </c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</row>
    <row r="208" spans="1:38" ht="21.9" customHeight="1">
      <c r="A208" s="154">
        <f>A207+1</f>
        <v>163</v>
      </c>
      <c r="B208" s="177" t="s">
        <v>110</v>
      </c>
      <c r="C208" s="217" t="s">
        <v>639</v>
      </c>
      <c r="D208" s="161" t="s">
        <v>79</v>
      </c>
      <c r="E208" s="163" t="s">
        <v>306</v>
      </c>
      <c r="F208" s="155">
        <v>500</v>
      </c>
      <c r="G208" s="155">
        <f t="shared" si="154"/>
        <v>6000</v>
      </c>
      <c r="H208" s="155">
        <v>70</v>
      </c>
      <c r="I208" s="155"/>
      <c r="J208" s="155">
        <f t="shared" si="155"/>
        <v>500</v>
      </c>
      <c r="K208" s="155">
        <v>300</v>
      </c>
      <c r="L208" s="155"/>
      <c r="M208" s="155">
        <v>125</v>
      </c>
      <c r="N208" s="155">
        <v>30</v>
      </c>
      <c r="O208" s="155">
        <v>100</v>
      </c>
      <c r="P208" s="155">
        <f t="shared" si="156"/>
        <v>568.75</v>
      </c>
      <c r="Q208" s="155"/>
      <c r="R208" s="155">
        <f t="shared" si="157"/>
        <v>43.75</v>
      </c>
      <c r="S208" s="155"/>
      <c r="T208" s="155"/>
      <c r="U208" s="155">
        <f>ROUND(F208*0.075*13,2)</f>
        <v>487.5</v>
      </c>
      <c r="V208" s="155">
        <f t="shared" si="158"/>
        <v>37.5</v>
      </c>
      <c r="W208" s="155"/>
      <c r="X208" s="155"/>
      <c r="Y208" s="155">
        <f t="shared" si="159"/>
        <v>1056.25</v>
      </c>
      <c r="Z208" s="155">
        <f>ROUND(F208*0.01*13,2)</f>
        <v>65</v>
      </c>
      <c r="AA208" s="155">
        <f t="shared" si="160"/>
        <v>5</v>
      </c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</row>
    <row r="209" spans="1:38" ht="21.9" customHeight="1">
      <c r="A209" s="154">
        <f>A208+1</f>
        <v>164</v>
      </c>
      <c r="B209" s="214" t="s">
        <v>756</v>
      </c>
      <c r="C209" s="223" t="s">
        <v>639</v>
      </c>
      <c r="D209" s="161" t="s">
        <v>79</v>
      </c>
      <c r="E209" s="190" t="s">
        <v>306</v>
      </c>
      <c r="F209" s="187">
        <v>700</v>
      </c>
      <c r="G209" s="155">
        <f t="shared" si="154"/>
        <v>8400</v>
      </c>
      <c r="H209" s="155">
        <v>70</v>
      </c>
      <c r="I209" s="155"/>
      <c r="J209" s="155">
        <f t="shared" si="155"/>
        <v>700</v>
      </c>
      <c r="K209" s="155">
        <v>300</v>
      </c>
      <c r="L209" s="155"/>
      <c r="M209" s="155">
        <v>125</v>
      </c>
      <c r="N209" s="155">
        <v>30</v>
      </c>
      <c r="O209" s="155">
        <v>100</v>
      </c>
      <c r="P209" s="155">
        <f t="shared" si="156"/>
        <v>796.25</v>
      </c>
      <c r="Q209" s="155"/>
      <c r="R209" s="155">
        <f t="shared" si="157"/>
        <v>61.25</v>
      </c>
      <c r="S209" s="155"/>
      <c r="T209" s="155"/>
      <c r="U209" s="155">
        <f>ROUND(F209*0.075*13,2)</f>
        <v>682.5</v>
      </c>
      <c r="V209" s="155">
        <f t="shared" si="158"/>
        <v>52.5</v>
      </c>
      <c r="W209" s="155"/>
      <c r="X209" s="155"/>
      <c r="Y209" s="155">
        <f t="shared" si="159"/>
        <v>1478.75</v>
      </c>
      <c r="Z209" s="155">
        <f>ROUND(F209*0.01*13,2)</f>
        <v>91</v>
      </c>
      <c r="AA209" s="155">
        <f t="shared" si="160"/>
        <v>7</v>
      </c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</row>
    <row r="210" spans="1:38" ht="21.9" customHeight="1">
      <c r="A210" s="154">
        <f>A209+1</f>
        <v>165</v>
      </c>
      <c r="B210" s="141" t="s">
        <v>757</v>
      </c>
      <c r="C210" s="223" t="s">
        <v>639</v>
      </c>
      <c r="D210" s="161" t="s">
        <v>79</v>
      </c>
      <c r="E210" s="302" t="s">
        <v>306</v>
      </c>
      <c r="F210" s="187">
        <v>697</v>
      </c>
      <c r="G210" s="155">
        <f t="shared" si="154"/>
        <v>8364</v>
      </c>
      <c r="H210" s="155">
        <v>70</v>
      </c>
      <c r="I210" s="155"/>
      <c r="J210" s="155">
        <f t="shared" si="155"/>
        <v>697</v>
      </c>
      <c r="K210" s="155">
        <v>300</v>
      </c>
      <c r="L210" s="155"/>
      <c r="M210" s="155">
        <v>125</v>
      </c>
      <c r="N210" s="155">
        <v>30</v>
      </c>
      <c r="O210" s="155">
        <v>100</v>
      </c>
      <c r="P210" s="155">
        <f t="shared" si="156"/>
        <v>792.84</v>
      </c>
      <c r="Q210" s="155">
        <f>P210/13</f>
        <v>60.987692307692313</v>
      </c>
      <c r="R210" s="155"/>
      <c r="S210" s="155"/>
      <c r="T210" s="155"/>
      <c r="U210" s="155">
        <f>ROUND(F210*0.075*13,2)</f>
        <v>679.58</v>
      </c>
      <c r="V210" s="155">
        <f t="shared" si="158"/>
        <v>52.275384615384617</v>
      </c>
      <c r="W210" s="155"/>
      <c r="X210" s="155"/>
      <c r="Y210" s="155">
        <f t="shared" si="159"/>
        <v>1472.42</v>
      </c>
      <c r="Z210" s="155">
        <f>ROUND(F210*0.01*13,2)</f>
        <v>90.61</v>
      </c>
      <c r="AA210" s="155">
        <f t="shared" si="160"/>
        <v>6.97</v>
      </c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</row>
    <row r="211" spans="1:38" ht="21.9" customHeight="1">
      <c r="A211" s="154">
        <f>A210+1</f>
        <v>166</v>
      </c>
      <c r="B211" s="176" t="s">
        <v>740</v>
      </c>
      <c r="C211" s="217" t="s">
        <v>639</v>
      </c>
      <c r="D211" s="161" t="s">
        <v>79</v>
      </c>
      <c r="E211" s="163" t="s">
        <v>306</v>
      </c>
      <c r="F211" s="155">
        <f>547+30+50+50</f>
        <v>677</v>
      </c>
      <c r="G211" s="155">
        <f t="shared" si="154"/>
        <v>8124</v>
      </c>
      <c r="H211" s="155">
        <v>70</v>
      </c>
      <c r="I211" s="155"/>
      <c r="J211" s="155">
        <f t="shared" si="155"/>
        <v>677</v>
      </c>
      <c r="K211" s="155">
        <v>300</v>
      </c>
      <c r="L211" s="155"/>
      <c r="M211" s="155">
        <v>125</v>
      </c>
      <c r="N211" s="155">
        <v>30</v>
      </c>
      <c r="O211" s="155">
        <v>100</v>
      </c>
      <c r="P211" s="155">
        <f t="shared" si="156"/>
        <v>770.09</v>
      </c>
      <c r="Q211" s="155">
        <f>P211/13</f>
        <v>59.237692307692313</v>
      </c>
      <c r="R211" s="155"/>
      <c r="S211" s="155"/>
      <c r="T211" s="155"/>
      <c r="U211" s="155">
        <f>ROUND(F211*0.075*13,2)</f>
        <v>660.08</v>
      </c>
      <c r="V211" s="155">
        <f t="shared" si="158"/>
        <v>50.775384615384617</v>
      </c>
      <c r="W211" s="155"/>
      <c r="X211" s="155"/>
      <c r="Y211" s="155">
        <f t="shared" si="159"/>
        <v>1430.17</v>
      </c>
      <c r="Z211" s="155">
        <f>ROUND(F211*0.01*13,2)</f>
        <v>88.01</v>
      </c>
      <c r="AA211" s="155">
        <f t="shared" si="160"/>
        <v>6.7700000000000005</v>
      </c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</row>
    <row r="212" spans="1:38" ht="21.9" customHeight="1">
      <c r="A212" s="172"/>
      <c r="B212" s="303"/>
      <c r="C212" s="161"/>
      <c r="D212" s="161"/>
      <c r="E212" s="163"/>
      <c r="F212" s="152">
        <f>SUM(F207:F211)</f>
        <v>3574</v>
      </c>
      <c r="G212" s="152">
        <f t="shared" ref="G212:H212" si="161">SUM(G207:G211)</f>
        <v>42888</v>
      </c>
      <c r="H212" s="152">
        <f t="shared" si="161"/>
        <v>350</v>
      </c>
      <c r="I212" s="152">
        <f ca="1">SUM(I207:I243)</f>
        <v>0</v>
      </c>
      <c r="J212" s="152">
        <f t="shared" ref="J212:AA212" si="162">SUM(J207:J211)</f>
        <v>3574</v>
      </c>
      <c r="K212" s="152">
        <f t="shared" si="162"/>
        <v>1500</v>
      </c>
      <c r="L212" s="152">
        <f t="shared" si="162"/>
        <v>0</v>
      </c>
      <c r="M212" s="152">
        <f t="shared" si="162"/>
        <v>625</v>
      </c>
      <c r="N212" s="152">
        <f t="shared" si="162"/>
        <v>150</v>
      </c>
      <c r="O212" s="152">
        <f t="shared" si="162"/>
        <v>500</v>
      </c>
      <c r="P212" s="152">
        <f t="shared" si="162"/>
        <v>4065.4300000000003</v>
      </c>
      <c r="Q212" s="152">
        <f t="shared" si="162"/>
        <v>120.22538461538463</v>
      </c>
      <c r="R212" s="152">
        <f t="shared" si="162"/>
        <v>192.5</v>
      </c>
      <c r="S212" s="152">
        <f t="shared" si="162"/>
        <v>0</v>
      </c>
      <c r="T212" s="152">
        <f t="shared" si="162"/>
        <v>0</v>
      </c>
      <c r="U212" s="152">
        <f t="shared" si="162"/>
        <v>3484.66</v>
      </c>
      <c r="V212" s="152">
        <f t="shared" si="162"/>
        <v>268.05076923076922</v>
      </c>
      <c r="W212" s="152">
        <f t="shared" si="162"/>
        <v>0</v>
      </c>
      <c r="X212" s="152">
        <f t="shared" si="162"/>
        <v>0</v>
      </c>
      <c r="Y212" s="152">
        <f t="shared" si="162"/>
        <v>7550.09</v>
      </c>
      <c r="Z212" s="152">
        <f t="shared" si="162"/>
        <v>464.62</v>
      </c>
      <c r="AA212" s="152">
        <f t="shared" si="162"/>
        <v>35.74</v>
      </c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</row>
    <row r="213" spans="1:38" ht="21.9" customHeight="1">
      <c r="A213" s="172">
        <f>A211+1</f>
        <v>167</v>
      </c>
      <c r="B213" s="178" t="s">
        <v>354</v>
      </c>
      <c r="C213" s="161" t="s">
        <v>355</v>
      </c>
      <c r="D213" s="161" t="s">
        <v>79</v>
      </c>
      <c r="E213" s="174" t="s">
        <v>306</v>
      </c>
      <c r="F213" s="155">
        <v>1000</v>
      </c>
      <c r="G213" s="155">
        <f t="shared" ref="G213:G216" si="163">F213*12</f>
        <v>12000</v>
      </c>
      <c r="H213" s="155">
        <v>70</v>
      </c>
      <c r="I213" s="155"/>
      <c r="J213" s="155">
        <f t="shared" ref="J213:J228" si="164">F213</f>
        <v>1000</v>
      </c>
      <c r="K213" s="155">
        <v>300</v>
      </c>
      <c r="L213" s="155"/>
      <c r="M213" s="155">
        <v>125</v>
      </c>
      <c r="N213" s="155">
        <v>30</v>
      </c>
      <c r="O213" s="155">
        <v>100</v>
      </c>
      <c r="P213" s="155">
        <f>ROUND(F213*0.0875*13,2)</f>
        <v>1137.5</v>
      </c>
      <c r="Q213" s="155">
        <f>P213/13</f>
        <v>87.5</v>
      </c>
      <c r="R213" s="155"/>
      <c r="S213" s="155"/>
      <c r="T213" s="155"/>
      <c r="U213" s="155">
        <f>75*13</f>
        <v>975</v>
      </c>
      <c r="V213" s="155">
        <f>U213/13</f>
        <v>75</v>
      </c>
      <c r="W213" s="155"/>
      <c r="X213" s="155"/>
      <c r="Y213" s="155">
        <f>P213+S213+U213+W213</f>
        <v>2112.5</v>
      </c>
      <c r="Z213" s="155">
        <f>10*13</f>
        <v>130</v>
      </c>
      <c r="AA213" s="155">
        <f>Z213/13</f>
        <v>10</v>
      </c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</row>
    <row r="214" spans="1:38" ht="21.9" customHeight="1">
      <c r="A214" s="172">
        <f>A213+1</f>
        <v>168</v>
      </c>
      <c r="B214" s="176" t="s">
        <v>358</v>
      </c>
      <c r="C214" s="161" t="s">
        <v>355</v>
      </c>
      <c r="D214" s="161" t="s">
        <v>79</v>
      </c>
      <c r="E214" s="174" t="s">
        <v>306</v>
      </c>
      <c r="F214" s="155">
        <v>700</v>
      </c>
      <c r="G214" s="155">
        <f t="shared" si="163"/>
        <v>8400</v>
      </c>
      <c r="H214" s="155">
        <v>70</v>
      </c>
      <c r="I214" s="155"/>
      <c r="J214" s="155">
        <f t="shared" si="164"/>
        <v>700</v>
      </c>
      <c r="K214" s="155">
        <v>300</v>
      </c>
      <c r="L214" s="155"/>
      <c r="M214" s="155">
        <v>125</v>
      </c>
      <c r="N214" s="155">
        <v>30</v>
      </c>
      <c r="O214" s="155">
        <v>100</v>
      </c>
      <c r="P214" s="155">
        <f>ROUND(F214*0.0875*13,2)</f>
        <v>796.25</v>
      </c>
      <c r="Q214" s="155"/>
      <c r="R214" s="155">
        <f>P214/13</f>
        <v>61.25</v>
      </c>
      <c r="S214" s="155"/>
      <c r="T214" s="155"/>
      <c r="U214" s="155">
        <f t="shared" ref="U214:U228" si="165">ROUND(F214*0.075*13,2)</f>
        <v>682.5</v>
      </c>
      <c r="V214" s="155">
        <f>U214/13</f>
        <v>52.5</v>
      </c>
      <c r="W214" s="155"/>
      <c r="X214" s="155"/>
      <c r="Y214" s="155">
        <f>P214+S214+U214+W214</f>
        <v>1478.75</v>
      </c>
      <c r="Z214" s="155">
        <f t="shared" ref="Z214:Z228" si="166">ROUND(F214*0.01*13,2)</f>
        <v>91</v>
      </c>
      <c r="AA214" s="155">
        <f>Z214/13</f>
        <v>7</v>
      </c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</row>
    <row r="215" spans="1:38" s="128" customFormat="1" ht="21.9" customHeight="1">
      <c r="A215" s="172">
        <f t="shared" ref="A215:A228" si="167">A214+1</f>
        <v>169</v>
      </c>
      <c r="B215" s="177" t="s">
        <v>652</v>
      </c>
      <c r="C215" s="161" t="s">
        <v>355</v>
      </c>
      <c r="D215" s="161" t="s">
        <v>79</v>
      </c>
      <c r="E215" s="163" t="s">
        <v>306</v>
      </c>
      <c r="F215" s="155">
        <v>742</v>
      </c>
      <c r="G215" s="155">
        <f t="shared" si="163"/>
        <v>8904</v>
      </c>
      <c r="H215" s="155">
        <v>70</v>
      </c>
      <c r="I215" s="155"/>
      <c r="J215" s="155">
        <f t="shared" si="164"/>
        <v>742</v>
      </c>
      <c r="K215" s="155">
        <v>300</v>
      </c>
      <c r="L215" s="155"/>
      <c r="M215" s="155"/>
      <c r="N215" s="155">
        <v>30</v>
      </c>
      <c r="O215" s="155">
        <v>100</v>
      </c>
      <c r="P215" s="155">
        <f>ROUND(F215*0.0875*13,2)</f>
        <v>844.03</v>
      </c>
      <c r="Q215" s="155">
        <f>P215/13</f>
        <v>64.925384615384615</v>
      </c>
      <c r="R215" s="155"/>
      <c r="S215" s="155"/>
      <c r="T215" s="155"/>
      <c r="U215" s="155">
        <f t="shared" si="165"/>
        <v>723.45</v>
      </c>
      <c r="V215" s="155">
        <f t="shared" ref="V215:V222" si="168">U215/13</f>
        <v>55.650000000000006</v>
      </c>
      <c r="W215" s="155"/>
      <c r="X215" s="155"/>
      <c r="Y215" s="155">
        <f>P215+S215+U215+W215</f>
        <v>1567.48</v>
      </c>
      <c r="Z215" s="155">
        <f t="shared" si="166"/>
        <v>96.46</v>
      </c>
      <c r="AA215" s="155">
        <f t="shared" ref="AA215:AA222" si="169">Z215/13</f>
        <v>7.42</v>
      </c>
      <c r="AB215" s="225"/>
      <c r="AC215" s="225"/>
      <c r="AD215" s="155"/>
      <c r="AE215" s="225"/>
      <c r="AF215" s="155"/>
      <c r="AG215" s="155"/>
      <c r="AH215" s="225"/>
      <c r="AI215" s="225"/>
      <c r="AJ215" s="225"/>
      <c r="AK215" s="225"/>
      <c r="AL215" s="155"/>
    </row>
    <row r="216" spans="1:38" s="128" customFormat="1" ht="21.9" customHeight="1">
      <c r="A216" s="172">
        <f t="shared" si="167"/>
        <v>170</v>
      </c>
      <c r="B216" s="177" t="s">
        <v>652</v>
      </c>
      <c r="C216" s="161" t="s">
        <v>355</v>
      </c>
      <c r="D216" s="161" t="s">
        <v>79</v>
      </c>
      <c r="E216" s="174" t="s">
        <v>306</v>
      </c>
      <c r="F216" s="155">
        <f>567+30+50+50</f>
        <v>697</v>
      </c>
      <c r="G216" s="155">
        <f t="shared" si="163"/>
        <v>8364</v>
      </c>
      <c r="H216" s="155">
        <v>70</v>
      </c>
      <c r="I216" s="155"/>
      <c r="J216" s="155">
        <f t="shared" si="164"/>
        <v>697</v>
      </c>
      <c r="K216" s="155">
        <v>300</v>
      </c>
      <c r="L216" s="155"/>
      <c r="M216" s="155">
        <v>125</v>
      </c>
      <c r="N216" s="155">
        <v>30</v>
      </c>
      <c r="O216" s="155">
        <v>100</v>
      </c>
      <c r="P216" s="155"/>
      <c r="Q216" s="155"/>
      <c r="R216" s="155"/>
      <c r="S216" s="155"/>
      <c r="T216" s="155"/>
      <c r="U216" s="155">
        <f t="shared" si="165"/>
        <v>679.58</v>
      </c>
      <c r="V216" s="155">
        <f t="shared" si="168"/>
        <v>52.275384615384617</v>
      </c>
      <c r="W216" s="155">
        <f>F216*0.06*13</f>
        <v>543.66</v>
      </c>
      <c r="X216" s="155">
        <v>34.020000000000003</v>
      </c>
      <c r="Y216" s="155">
        <f t="shared" ref="Y216:Y222" si="170">P216+S216+U216+W216</f>
        <v>1223.24</v>
      </c>
      <c r="Z216" s="155">
        <f t="shared" si="166"/>
        <v>90.61</v>
      </c>
      <c r="AA216" s="155">
        <f t="shared" si="169"/>
        <v>6.97</v>
      </c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</row>
    <row r="217" spans="1:38" s="128" customFormat="1" ht="21.9" customHeight="1">
      <c r="A217" s="172">
        <f t="shared" si="167"/>
        <v>171</v>
      </c>
      <c r="B217" s="177" t="s">
        <v>652</v>
      </c>
      <c r="C217" s="161" t="s">
        <v>355</v>
      </c>
      <c r="D217" s="161" t="s">
        <v>79</v>
      </c>
      <c r="E217" s="174" t="s">
        <v>306</v>
      </c>
      <c r="F217" s="155">
        <f>467+30+50+50</f>
        <v>597</v>
      </c>
      <c r="G217" s="155">
        <f t="shared" ref="G217:G223" si="171">F217*12</f>
        <v>7164</v>
      </c>
      <c r="H217" s="155">
        <v>70</v>
      </c>
      <c r="I217" s="155"/>
      <c r="J217" s="155">
        <f t="shared" si="164"/>
        <v>597</v>
      </c>
      <c r="K217" s="155">
        <v>300</v>
      </c>
      <c r="L217" s="155"/>
      <c r="M217" s="155"/>
      <c r="N217" s="155">
        <v>30</v>
      </c>
      <c r="O217" s="155">
        <v>100</v>
      </c>
      <c r="P217" s="155">
        <f t="shared" ref="P217:P228" si="172">ROUND(F217*0.0875*13,2)</f>
        <v>679.09</v>
      </c>
      <c r="Q217" s="155">
        <f>P217/13</f>
        <v>52.237692307692313</v>
      </c>
      <c r="R217" s="155"/>
      <c r="S217" s="155"/>
      <c r="T217" s="155"/>
      <c r="U217" s="155">
        <f t="shared" si="165"/>
        <v>582.08000000000004</v>
      </c>
      <c r="V217" s="155">
        <f>U217/13</f>
        <v>44.775384615384617</v>
      </c>
      <c r="W217" s="155"/>
      <c r="X217" s="155"/>
      <c r="Y217" s="155">
        <f>P217+S217+U217+W217</f>
        <v>1261.17</v>
      </c>
      <c r="Z217" s="155">
        <f t="shared" si="166"/>
        <v>77.61</v>
      </c>
      <c r="AA217" s="155">
        <f>Z217/13</f>
        <v>5.97</v>
      </c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</row>
    <row r="218" spans="1:38" s="128" customFormat="1" ht="21.9" customHeight="1">
      <c r="A218" s="172">
        <f t="shared" si="167"/>
        <v>172</v>
      </c>
      <c r="B218" s="177" t="s">
        <v>652</v>
      </c>
      <c r="C218" s="161" t="s">
        <v>355</v>
      </c>
      <c r="D218" s="161" t="s">
        <v>79</v>
      </c>
      <c r="E218" s="163" t="s">
        <v>306</v>
      </c>
      <c r="F218" s="155">
        <f>467+30+50+50</f>
        <v>597</v>
      </c>
      <c r="G218" s="155">
        <f>F218*12</f>
        <v>7164</v>
      </c>
      <c r="H218" s="155">
        <v>70</v>
      </c>
      <c r="I218" s="155"/>
      <c r="J218" s="155">
        <f t="shared" si="164"/>
        <v>597</v>
      </c>
      <c r="K218" s="155">
        <v>300</v>
      </c>
      <c r="L218" s="155"/>
      <c r="M218" s="155">
        <v>125</v>
      </c>
      <c r="N218" s="155">
        <v>30</v>
      </c>
      <c r="O218" s="155">
        <v>100</v>
      </c>
      <c r="P218" s="155">
        <f t="shared" si="172"/>
        <v>679.09</v>
      </c>
      <c r="Q218" s="155"/>
      <c r="R218" s="155">
        <f>P218/13</f>
        <v>52.237692307692313</v>
      </c>
      <c r="S218" s="155"/>
      <c r="T218" s="155" t="s">
        <v>50</v>
      </c>
      <c r="U218" s="155">
        <f t="shared" si="165"/>
        <v>582.08000000000004</v>
      </c>
      <c r="V218" s="155">
        <f>U218/13</f>
        <v>44.775384615384617</v>
      </c>
      <c r="W218" s="155"/>
      <c r="X218" s="155"/>
      <c r="Y218" s="155">
        <f>P218+S218+U218+W218</f>
        <v>1261.17</v>
      </c>
      <c r="Z218" s="155">
        <f t="shared" si="166"/>
        <v>77.61</v>
      </c>
      <c r="AA218" s="155">
        <f>Z218/13</f>
        <v>5.97</v>
      </c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</row>
    <row r="219" spans="1:38" s="128" customFormat="1" ht="21.9" customHeight="1">
      <c r="A219" s="172">
        <f t="shared" si="167"/>
        <v>173</v>
      </c>
      <c r="B219" s="177" t="s">
        <v>368</v>
      </c>
      <c r="C219" s="161" t="s">
        <v>355</v>
      </c>
      <c r="D219" s="161" t="s">
        <v>79</v>
      </c>
      <c r="E219" s="174" t="s">
        <v>306</v>
      </c>
      <c r="F219" s="155">
        <f>417+50+50</f>
        <v>517</v>
      </c>
      <c r="G219" s="155">
        <f t="shared" si="171"/>
        <v>6204</v>
      </c>
      <c r="H219" s="155">
        <v>70</v>
      </c>
      <c r="I219" s="155"/>
      <c r="J219" s="155">
        <f t="shared" si="164"/>
        <v>517</v>
      </c>
      <c r="K219" s="155">
        <v>300</v>
      </c>
      <c r="L219" s="155"/>
      <c r="M219" s="155">
        <v>125</v>
      </c>
      <c r="N219" s="155">
        <v>30</v>
      </c>
      <c r="O219" s="155">
        <v>100</v>
      </c>
      <c r="P219" s="155">
        <f t="shared" si="172"/>
        <v>588.09</v>
      </c>
      <c r="Q219" s="226"/>
      <c r="R219" s="155">
        <f>P219/13</f>
        <v>45.237692307692313</v>
      </c>
      <c r="S219" s="155"/>
      <c r="T219" s="155"/>
      <c r="U219" s="155">
        <f t="shared" si="165"/>
        <v>504.08</v>
      </c>
      <c r="V219" s="155">
        <f>U219/13</f>
        <v>38.775384615384617</v>
      </c>
      <c r="W219" s="155"/>
      <c r="X219" s="155"/>
      <c r="Y219" s="155">
        <f>P219+S219+U219+W219</f>
        <v>1092.17</v>
      </c>
      <c r="Z219" s="155">
        <f t="shared" si="166"/>
        <v>67.209999999999994</v>
      </c>
      <c r="AA219" s="155">
        <f>Z219/13</f>
        <v>5.17</v>
      </c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</row>
    <row r="220" spans="1:38" s="128" customFormat="1" ht="21.9" customHeight="1">
      <c r="A220" s="172">
        <f t="shared" si="167"/>
        <v>174</v>
      </c>
      <c r="B220" s="177" t="s">
        <v>368</v>
      </c>
      <c r="C220" s="161" t="s">
        <v>355</v>
      </c>
      <c r="D220" s="161" t="s">
        <v>79</v>
      </c>
      <c r="E220" s="174" t="s">
        <v>306</v>
      </c>
      <c r="F220" s="155">
        <f>417+50+50</f>
        <v>517</v>
      </c>
      <c r="G220" s="155">
        <f t="shared" si="171"/>
        <v>6204</v>
      </c>
      <c r="H220" s="155">
        <v>70</v>
      </c>
      <c r="I220" s="155"/>
      <c r="J220" s="155">
        <f t="shared" si="164"/>
        <v>517</v>
      </c>
      <c r="K220" s="155">
        <v>300</v>
      </c>
      <c r="L220" s="155"/>
      <c r="M220" s="155">
        <v>125</v>
      </c>
      <c r="N220" s="155">
        <v>30</v>
      </c>
      <c r="O220" s="155">
        <v>100</v>
      </c>
      <c r="P220" s="155">
        <f t="shared" si="172"/>
        <v>588.09</v>
      </c>
      <c r="Q220" s="155"/>
      <c r="R220" s="155">
        <f>P220/13</f>
        <v>45.237692307692313</v>
      </c>
      <c r="S220" s="155"/>
      <c r="T220" s="155"/>
      <c r="U220" s="155">
        <f t="shared" si="165"/>
        <v>504.08</v>
      </c>
      <c r="V220" s="155">
        <f t="shared" si="168"/>
        <v>38.775384615384617</v>
      </c>
      <c r="W220" s="155"/>
      <c r="X220" s="155"/>
      <c r="Y220" s="155">
        <f t="shared" si="170"/>
        <v>1092.17</v>
      </c>
      <c r="Z220" s="155">
        <f t="shared" si="166"/>
        <v>67.209999999999994</v>
      </c>
      <c r="AA220" s="155">
        <f t="shared" si="169"/>
        <v>5.17</v>
      </c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</row>
    <row r="221" spans="1:38" s="128" customFormat="1" ht="21.9" customHeight="1">
      <c r="A221" s="172">
        <f t="shared" si="167"/>
        <v>175</v>
      </c>
      <c r="B221" s="177" t="s">
        <v>368</v>
      </c>
      <c r="C221" s="161" t="s">
        <v>355</v>
      </c>
      <c r="D221" s="161" t="s">
        <v>79</v>
      </c>
      <c r="E221" s="174" t="s">
        <v>306</v>
      </c>
      <c r="F221" s="155">
        <f>417+50+50</f>
        <v>517</v>
      </c>
      <c r="G221" s="155">
        <f t="shared" si="171"/>
        <v>6204</v>
      </c>
      <c r="H221" s="155">
        <v>70</v>
      </c>
      <c r="I221" s="155"/>
      <c r="J221" s="155">
        <f t="shared" si="164"/>
        <v>517</v>
      </c>
      <c r="K221" s="155">
        <v>300</v>
      </c>
      <c r="L221" s="155"/>
      <c r="M221" s="155">
        <v>125</v>
      </c>
      <c r="N221" s="155">
        <v>30</v>
      </c>
      <c r="O221" s="155">
        <v>100</v>
      </c>
      <c r="P221" s="155">
        <f t="shared" si="172"/>
        <v>588.09</v>
      </c>
      <c r="Q221" s="155">
        <f>P221/13</f>
        <v>45.237692307692313</v>
      </c>
      <c r="R221" s="155"/>
      <c r="S221" s="155"/>
      <c r="T221" s="155"/>
      <c r="U221" s="155">
        <f t="shared" si="165"/>
        <v>504.08</v>
      </c>
      <c r="V221" s="155">
        <f t="shared" si="168"/>
        <v>38.775384615384617</v>
      </c>
      <c r="W221" s="155"/>
      <c r="X221" s="155"/>
      <c r="Y221" s="155">
        <f t="shared" si="170"/>
        <v>1092.17</v>
      </c>
      <c r="Z221" s="155">
        <f t="shared" si="166"/>
        <v>67.209999999999994</v>
      </c>
      <c r="AA221" s="155">
        <f t="shared" si="169"/>
        <v>5.17</v>
      </c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</row>
    <row r="222" spans="1:38" s="128" customFormat="1" ht="21.9" customHeight="1">
      <c r="A222" s="172">
        <f t="shared" si="167"/>
        <v>176</v>
      </c>
      <c r="B222" s="177" t="s">
        <v>368</v>
      </c>
      <c r="C222" s="161" t="s">
        <v>355</v>
      </c>
      <c r="D222" s="161" t="s">
        <v>79</v>
      </c>
      <c r="E222" s="174" t="s">
        <v>306</v>
      </c>
      <c r="F222" s="155">
        <f>417+50+50</f>
        <v>517</v>
      </c>
      <c r="G222" s="155">
        <f t="shared" si="171"/>
        <v>6204</v>
      </c>
      <c r="H222" s="155">
        <v>70</v>
      </c>
      <c r="I222" s="155"/>
      <c r="J222" s="155">
        <f t="shared" si="164"/>
        <v>517</v>
      </c>
      <c r="K222" s="155">
        <v>300</v>
      </c>
      <c r="L222" s="155"/>
      <c r="M222" s="155">
        <v>125</v>
      </c>
      <c r="N222" s="155">
        <v>30</v>
      </c>
      <c r="O222" s="155">
        <v>100</v>
      </c>
      <c r="P222" s="155">
        <f t="shared" si="172"/>
        <v>588.09</v>
      </c>
      <c r="Q222" s="155"/>
      <c r="R222" s="155">
        <f t="shared" ref="R222:R225" si="173">P222/13</f>
        <v>45.237692307692313</v>
      </c>
      <c r="S222" s="155"/>
      <c r="T222" s="155"/>
      <c r="U222" s="155">
        <f t="shared" si="165"/>
        <v>504.08</v>
      </c>
      <c r="V222" s="155">
        <f t="shared" si="168"/>
        <v>38.775384615384617</v>
      </c>
      <c r="W222" s="155"/>
      <c r="X222" s="155"/>
      <c r="Y222" s="155">
        <f t="shared" si="170"/>
        <v>1092.17</v>
      </c>
      <c r="Z222" s="155">
        <f t="shared" si="166"/>
        <v>67.209999999999994</v>
      </c>
      <c r="AA222" s="155">
        <f t="shared" si="169"/>
        <v>5.17</v>
      </c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</row>
    <row r="223" spans="1:38" s="128" customFormat="1" ht="21.9" customHeight="1">
      <c r="A223" s="172">
        <f t="shared" si="167"/>
        <v>177</v>
      </c>
      <c r="B223" s="177" t="s">
        <v>368</v>
      </c>
      <c r="C223" s="161" t="s">
        <v>355</v>
      </c>
      <c r="D223" s="161" t="s">
        <v>79</v>
      </c>
      <c r="E223" s="174" t="s">
        <v>306</v>
      </c>
      <c r="F223" s="155">
        <v>567</v>
      </c>
      <c r="G223" s="155">
        <f t="shared" si="171"/>
        <v>6804</v>
      </c>
      <c r="H223" s="155">
        <v>70</v>
      </c>
      <c r="I223" s="155"/>
      <c r="J223" s="155">
        <f t="shared" si="164"/>
        <v>567</v>
      </c>
      <c r="K223" s="155">
        <v>300</v>
      </c>
      <c r="L223" s="155"/>
      <c r="M223" s="155">
        <v>125</v>
      </c>
      <c r="N223" s="155">
        <v>30</v>
      </c>
      <c r="O223" s="155">
        <v>100</v>
      </c>
      <c r="P223" s="155">
        <f t="shared" si="172"/>
        <v>644.96</v>
      </c>
      <c r="Q223" s="155">
        <f>P223/13</f>
        <v>49.612307692307695</v>
      </c>
      <c r="R223" s="155"/>
      <c r="S223" s="155"/>
      <c r="T223" s="155"/>
      <c r="U223" s="155">
        <f t="shared" si="165"/>
        <v>552.83000000000004</v>
      </c>
      <c r="V223" s="155">
        <f t="shared" ref="V223:V228" si="174">U223/13</f>
        <v>42.525384615384617</v>
      </c>
      <c r="W223" s="155"/>
      <c r="X223" s="155"/>
      <c r="Y223" s="155">
        <f t="shared" ref="Y223:Y228" si="175">P223+S223+U223+W223</f>
        <v>1197.79</v>
      </c>
      <c r="Z223" s="155">
        <f t="shared" si="166"/>
        <v>73.709999999999994</v>
      </c>
      <c r="AA223" s="155">
        <f t="shared" ref="AA223:AA228" si="176">Z223/13</f>
        <v>5.67</v>
      </c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</row>
    <row r="224" spans="1:38" s="128" customFormat="1" ht="21.9" customHeight="1">
      <c r="A224" s="172">
        <f t="shared" si="167"/>
        <v>178</v>
      </c>
      <c r="B224" s="177" t="s">
        <v>368</v>
      </c>
      <c r="C224" s="161" t="s">
        <v>355</v>
      </c>
      <c r="D224" s="161" t="s">
        <v>79</v>
      </c>
      <c r="E224" s="174" t="s">
        <v>306</v>
      </c>
      <c r="F224" s="155">
        <v>500</v>
      </c>
      <c r="G224" s="155">
        <f t="shared" ref="G224:G228" si="177">F224*12</f>
        <v>6000</v>
      </c>
      <c r="H224" s="155">
        <v>70</v>
      </c>
      <c r="I224" s="155"/>
      <c r="J224" s="155">
        <f t="shared" si="164"/>
        <v>500</v>
      </c>
      <c r="K224" s="155">
        <v>300</v>
      </c>
      <c r="L224" s="155"/>
      <c r="M224" s="155">
        <v>125</v>
      </c>
      <c r="N224" s="155">
        <v>30</v>
      </c>
      <c r="O224" s="155">
        <v>100</v>
      </c>
      <c r="P224" s="155">
        <f t="shared" si="172"/>
        <v>568.75</v>
      </c>
      <c r="Q224" s="155"/>
      <c r="R224" s="155">
        <f>P224/13</f>
        <v>43.75</v>
      </c>
      <c r="S224" s="155"/>
      <c r="T224" s="155"/>
      <c r="U224" s="155">
        <f t="shared" si="165"/>
        <v>487.5</v>
      </c>
      <c r="V224" s="155">
        <f t="shared" si="174"/>
        <v>37.5</v>
      </c>
      <c r="W224" s="155"/>
      <c r="X224" s="155"/>
      <c r="Y224" s="155">
        <f t="shared" si="175"/>
        <v>1056.25</v>
      </c>
      <c r="Z224" s="155">
        <f t="shared" si="166"/>
        <v>65</v>
      </c>
      <c r="AA224" s="155">
        <f t="shared" si="176"/>
        <v>5</v>
      </c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</row>
    <row r="225" spans="1:38" s="128" customFormat="1" ht="21.9" customHeight="1">
      <c r="A225" s="172">
        <f t="shared" si="167"/>
        <v>179</v>
      </c>
      <c r="B225" s="177" t="s">
        <v>370</v>
      </c>
      <c r="C225" s="161" t="s">
        <v>355</v>
      </c>
      <c r="D225" s="161" t="s">
        <v>79</v>
      </c>
      <c r="E225" s="174" t="s">
        <v>306</v>
      </c>
      <c r="F225" s="155">
        <v>417</v>
      </c>
      <c r="G225" s="155">
        <f t="shared" si="177"/>
        <v>5004</v>
      </c>
      <c r="H225" s="155">
        <v>70</v>
      </c>
      <c r="I225" s="155"/>
      <c r="J225" s="155">
        <f t="shared" si="164"/>
        <v>417</v>
      </c>
      <c r="K225" s="155">
        <v>300</v>
      </c>
      <c r="L225" s="155"/>
      <c r="M225" s="155">
        <v>125</v>
      </c>
      <c r="N225" s="155">
        <v>30</v>
      </c>
      <c r="O225" s="155">
        <v>100</v>
      </c>
      <c r="P225" s="155">
        <f t="shared" si="172"/>
        <v>474.34</v>
      </c>
      <c r="Q225" s="155"/>
      <c r="R225" s="155">
        <f t="shared" si="173"/>
        <v>36.487692307692306</v>
      </c>
      <c r="S225" s="155"/>
      <c r="T225" s="155"/>
      <c r="U225" s="155">
        <f t="shared" si="165"/>
        <v>406.58</v>
      </c>
      <c r="V225" s="155">
        <f t="shared" si="174"/>
        <v>31.275384615384613</v>
      </c>
      <c r="W225" s="155"/>
      <c r="X225" s="155"/>
      <c r="Y225" s="155">
        <f t="shared" si="175"/>
        <v>880.92</v>
      </c>
      <c r="Z225" s="155">
        <f t="shared" si="166"/>
        <v>54.21</v>
      </c>
      <c r="AA225" s="155">
        <f t="shared" si="176"/>
        <v>4.17</v>
      </c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</row>
    <row r="226" spans="1:38" ht="21.9" customHeight="1">
      <c r="A226" s="172">
        <f t="shared" si="167"/>
        <v>180</v>
      </c>
      <c r="B226" s="177" t="s">
        <v>370</v>
      </c>
      <c r="C226" s="161" t="s">
        <v>355</v>
      </c>
      <c r="D226" s="161" t="s">
        <v>79</v>
      </c>
      <c r="E226" s="163" t="s">
        <v>306</v>
      </c>
      <c r="F226" s="155">
        <v>417</v>
      </c>
      <c r="G226" s="155">
        <f t="shared" si="177"/>
        <v>5004</v>
      </c>
      <c r="H226" s="155">
        <v>70</v>
      </c>
      <c r="I226" s="155"/>
      <c r="J226" s="155">
        <f t="shared" si="164"/>
        <v>417</v>
      </c>
      <c r="K226" s="155">
        <v>300</v>
      </c>
      <c r="L226" s="155"/>
      <c r="M226" s="155">
        <v>125</v>
      </c>
      <c r="N226" s="155">
        <v>30</v>
      </c>
      <c r="O226" s="155">
        <v>100</v>
      </c>
      <c r="P226" s="155">
        <f t="shared" si="172"/>
        <v>474.34</v>
      </c>
      <c r="Q226" s="155"/>
      <c r="R226" s="155">
        <f>P226/13</f>
        <v>36.487692307692306</v>
      </c>
      <c r="S226" s="155"/>
      <c r="T226" s="155"/>
      <c r="U226" s="155">
        <f t="shared" si="165"/>
        <v>406.58</v>
      </c>
      <c r="V226" s="155">
        <f t="shared" si="174"/>
        <v>31.275384615384613</v>
      </c>
      <c r="W226" s="155"/>
      <c r="X226" s="155"/>
      <c r="Y226" s="155">
        <f t="shared" si="175"/>
        <v>880.92</v>
      </c>
      <c r="Z226" s="155">
        <f t="shared" si="166"/>
        <v>54.21</v>
      </c>
      <c r="AA226" s="155">
        <f t="shared" si="176"/>
        <v>4.17</v>
      </c>
      <c r="AB226" s="225"/>
      <c r="AC226" s="225"/>
      <c r="AD226" s="155"/>
      <c r="AE226" s="225"/>
      <c r="AF226" s="155"/>
      <c r="AG226" s="155"/>
      <c r="AH226" s="225"/>
      <c r="AI226" s="225"/>
      <c r="AJ226" s="225"/>
      <c r="AK226" s="225"/>
      <c r="AL226" s="155"/>
    </row>
    <row r="227" spans="1:38" ht="21.9" customHeight="1">
      <c r="A227" s="172">
        <f t="shared" si="167"/>
        <v>181</v>
      </c>
      <c r="B227" s="177" t="s">
        <v>370</v>
      </c>
      <c r="C227" s="161" t="s">
        <v>355</v>
      </c>
      <c r="D227" s="161" t="s">
        <v>79</v>
      </c>
      <c r="E227" s="163" t="s">
        <v>306</v>
      </c>
      <c r="F227" s="155">
        <v>417</v>
      </c>
      <c r="G227" s="155">
        <f t="shared" ref="G227" si="178">F227*12</f>
        <v>5004</v>
      </c>
      <c r="H227" s="155">
        <v>70</v>
      </c>
      <c r="I227" s="155"/>
      <c r="J227" s="155">
        <f t="shared" ref="J227" si="179">F227</f>
        <v>417</v>
      </c>
      <c r="K227" s="155">
        <v>300</v>
      </c>
      <c r="L227" s="155"/>
      <c r="M227" s="155"/>
      <c r="N227" s="155">
        <v>30</v>
      </c>
      <c r="O227" s="155">
        <v>100</v>
      </c>
      <c r="P227" s="155">
        <f t="shared" ref="P227" si="180">ROUND(F227*0.0875*13,2)</f>
        <v>474.34</v>
      </c>
      <c r="Q227" s="155"/>
      <c r="R227" s="155">
        <f>P227/13</f>
        <v>36.487692307692306</v>
      </c>
      <c r="S227" s="155"/>
      <c r="T227" s="155"/>
      <c r="U227" s="155">
        <f t="shared" ref="U227" si="181">ROUND(F227*0.075*13,2)</f>
        <v>406.58</v>
      </c>
      <c r="V227" s="155">
        <f t="shared" si="174"/>
        <v>31.275384615384613</v>
      </c>
      <c r="W227" s="155"/>
      <c r="X227" s="155"/>
      <c r="Y227" s="155">
        <f t="shared" si="175"/>
        <v>880.92</v>
      </c>
      <c r="Z227" s="155">
        <f t="shared" ref="Z227" si="182">ROUND(F227*0.01*13,2)</f>
        <v>54.21</v>
      </c>
      <c r="AA227" s="155">
        <f t="shared" si="176"/>
        <v>4.17</v>
      </c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</row>
    <row r="228" spans="1:38" ht="21.9" customHeight="1">
      <c r="A228" s="172">
        <f t="shared" si="167"/>
        <v>182</v>
      </c>
      <c r="B228" s="177" t="s">
        <v>370</v>
      </c>
      <c r="C228" s="161" t="s">
        <v>355</v>
      </c>
      <c r="D228" s="161" t="s">
        <v>79</v>
      </c>
      <c r="E228" s="163" t="s">
        <v>306</v>
      </c>
      <c r="F228" s="155">
        <v>417</v>
      </c>
      <c r="G228" s="155">
        <f t="shared" si="177"/>
        <v>5004</v>
      </c>
      <c r="H228" s="155">
        <v>70</v>
      </c>
      <c r="I228" s="155"/>
      <c r="J228" s="155">
        <f t="shared" si="164"/>
        <v>417</v>
      </c>
      <c r="K228" s="155">
        <v>300</v>
      </c>
      <c r="L228" s="155"/>
      <c r="M228" s="155"/>
      <c r="N228" s="155">
        <v>30</v>
      </c>
      <c r="O228" s="155">
        <v>100</v>
      </c>
      <c r="P228" s="155">
        <f t="shared" si="172"/>
        <v>474.34</v>
      </c>
      <c r="Q228" s="155"/>
      <c r="R228" s="155">
        <f>P228/13</f>
        <v>36.487692307692306</v>
      </c>
      <c r="S228" s="155"/>
      <c r="T228" s="155"/>
      <c r="U228" s="155">
        <f t="shared" si="165"/>
        <v>406.58</v>
      </c>
      <c r="V228" s="155">
        <f t="shared" si="174"/>
        <v>31.275384615384613</v>
      </c>
      <c r="W228" s="155"/>
      <c r="X228" s="155"/>
      <c r="Y228" s="155">
        <f t="shared" si="175"/>
        <v>880.92</v>
      </c>
      <c r="Z228" s="155">
        <f t="shared" si="166"/>
        <v>54.21</v>
      </c>
      <c r="AA228" s="155">
        <f t="shared" si="176"/>
        <v>4.17</v>
      </c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</row>
    <row r="229" spans="1:38" ht="21.9" customHeight="1">
      <c r="B229" s="303"/>
      <c r="C229" s="182"/>
      <c r="D229" s="182"/>
      <c r="E229" s="149"/>
      <c r="F229" s="152">
        <f t="shared" ref="F229:P229" si="183">SUM(F213:F228)</f>
        <v>9136</v>
      </c>
      <c r="G229" s="152">
        <f t="shared" si="183"/>
        <v>109632</v>
      </c>
      <c r="H229" s="152">
        <f t="shared" si="183"/>
        <v>1120</v>
      </c>
      <c r="I229" s="152">
        <f t="shared" si="183"/>
        <v>0</v>
      </c>
      <c r="J229" s="152">
        <f t="shared" si="183"/>
        <v>9136</v>
      </c>
      <c r="K229" s="152">
        <f t="shared" si="183"/>
        <v>4800</v>
      </c>
      <c r="L229" s="152">
        <f t="shared" si="183"/>
        <v>0</v>
      </c>
      <c r="M229" s="152">
        <f t="shared" si="183"/>
        <v>1500</v>
      </c>
      <c r="N229" s="152">
        <f t="shared" si="183"/>
        <v>480</v>
      </c>
      <c r="O229" s="152">
        <f t="shared" si="183"/>
        <v>1600</v>
      </c>
      <c r="P229" s="152">
        <f t="shared" si="183"/>
        <v>9599.3900000000012</v>
      </c>
      <c r="Q229" s="152">
        <f>SUM(Q213:Q228)+0.01</f>
        <v>299.52307692307693</v>
      </c>
      <c r="R229" s="152">
        <f>SUM(R213:R228)</f>
        <v>438.90153846153856</v>
      </c>
      <c r="S229" s="152">
        <f>SUM(S213:S228)</f>
        <v>0</v>
      </c>
      <c r="T229" s="152">
        <f>SUM(T213:T228)</f>
        <v>0</v>
      </c>
      <c r="U229" s="152">
        <f>SUM(U213:U228)</f>
        <v>8907.66</v>
      </c>
      <c r="V229" s="152">
        <f>SUM(V213:V228)+0.07</f>
        <v>685.27461538461546</v>
      </c>
      <c r="W229" s="152">
        <f>SUM(W213:W228)</f>
        <v>543.66</v>
      </c>
      <c r="X229" s="152">
        <f>SUM(X213:X228)</f>
        <v>34.020000000000003</v>
      </c>
      <c r="Y229" s="152">
        <f>SUM(Y213:Y228)</f>
        <v>19050.709999999992</v>
      </c>
      <c r="Z229" s="152">
        <f>SUM(Z213:Z228)</f>
        <v>1187.6800000000003</v>
      </c>
      <c r="AA229" s="152">
        <f>SUM(AA213:AA228)</f>
        <v>91.360000000000014</v>
      </c>
      <c r="AB229" s="152"/>
      <c r="AC229" s="152"/>
      <c r="AD229" s="152"/>
      <c r="AE229" s="152"/>
      <c r="AF229" s="152"/>
      <c r="AG229" s="152"/>
      <c r="AH229" s="152"/>
      <c r="AI229" s="152"/>
      <c r="AJ229" s="152"/>
      <c r="AK229" s="152"/>
      <c r="AL229" s="152"/>
    </row>
    <row r="230" spans="1:38" ht="21.9" customHeight="1">
      <c r="A230" s="154">
        <f>A228+1</f>
        <v>183</v>
      </c>
      <c r="B230" s="178" t="s">
        <v>642</v>
      </c>
      <c r="C230" s="161" t="s">
        <v>640</v>
      </c>
      <c r="D230" s="161" t="s">
        <v>79</v>
      </c>
      <c r="E230" s="163" t="s">
        <v>306</v>
      </c>
      <c r="F230" s="155">
        <v>777</v>
      </c>
      <c r="G230" s="155">
        <f>F230*12</f>
        <v>9324</v>
      </c>
      <c r="H230" s="155">
        <v>70</v>
      </c>
      <c r="I230" s="155"/>
      <c r="J230" s="155">
        <f>F230</f>
        <v>777</v>
      </c>
      <c r="K230" s="155">
        <v>300</v>
      </c>
      <c r="L230" s="155"/>
      <c r="M230" s="155"/>
      <c r="N230" s="155">
        <v>30</v>
      </c>
      <c r="O230" s="155">
        <v>100</v>
      </c>
      <c r="P230" s="155">
        <f>ROUND(F230*0.0875*13,2)</f>
        <v>883.84</v>
      </c>
      <c r="Q230" s="226"/>
      <c r="R230" s="155">
        <f>P230/13</f>
        <v>67.987692307692313</v>
      </c>
      <c r="S230" s="155"/>
      <c r="T230" s="155"/>
      <c r="U230" s="155">
        <f>75*13</f>
        <v>975</v>
      </c>
      <c r="V230" s="155">
        <f>U230/13</f>
        <v>75</v>
      </c>
      <c r="W230" s="155"/>
      <c r="X230" s="155"/>
      <c r="Y230" s="155">
        <f>P230+S230+U230+W230</f>
        <v>1858.8400000000001</v>
      </c>
      <c r="Z230" s="155">
        <f>10*13</f>
        <v>130</v>
      </c>
      <c r="AA230" s="155">
        <f>Z230/13</f>
        <v>10</v>
      </c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</row>
    <row r="231" spans="1:38" ht="21.9" customHeight="1">
      <c r="A231" s="154">
        <f>A230+1</f>
        <v>184</v>
      </c>
      <c r="B231" s="178" t="s">
        <v>123</v>
      </c>
      <c r="C231" s="161" t="s">
        <v>640</v>
      </c>
      <c r="D231" s="161" t="s">
        <v>79</v>
      </c>
      <c r="E231" s="163" t="s">
        <v>306</v>
      </c>
      <c r="F231" s="155">
        <v>780</v>
      </c>
      <c r="G231" s="155">
        <f>F231*12</f>
        <v>9360</v>
      </c>
      <c r="H231" s="155">
        <v>70</v>
      </c>
      <c r="I231" s="155"/>
      <c r="J231" s="155">
        <f>F231</f>
        <v>780</v>
      </c>
      <c r="K231" s="155">
        <v>300</v>
      </c>
      <c r="L231" s="155"/>
      <c r="M231" s="155">
        <v>125</v>
      </c>
      <c r="N231" s="155">
        <v>30</v>
      </c>
      <c r="O231" s="155">
        <v>100</v>
      </c>
      <c r="P231" s="155">
        <f>ROUND(F231*0.0875*13,2)</f>
        <v>887.25</v>
      </c>
      <c r="Q231" s="155">
        <f>P231/13</f>
        <v>68.25</v>
      </c>
      <c r="R231" s="155"/>
      <c r="S231" s="155"/>
      <c r="T231" s="155"/>
      <c r="U231" s="155">
        <f>ROUND(F231*0.075*13,2)</f>
        <v>760.5</v>
      </c>
      <c r="V231" s="155">
        <f>U231/13</f>
        <v>58.5</v>
      </c>
      <c r="W231" s="155"/>
      <c r="X231" s="155"/>
      <c r="Y231" s="155">
        <f>P231+S231+U231+W231</f>
        <v>1647.75</v>
      </c>
      <c r="Z231" s="155">
        <f>ROUND(F231*0.01*13,2)</f>
        <v>101.4</v>
      </c>
      <c r="AA231" s="155">
        <f>Z231/13</f>
        <v>7.8000000000000007</v>
      </c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</row>
    <row r="232" spans="1:38" ht="21.9" customHeight="1">
      <c r="A232" s="154">
        <f t="shared" ref="A232:A234" si="184">A231+1</f>
        <v>185</v>
      </c>
      <c r="B232" s="178" t="s">
        <v>123</v>
      </c>
      <c r="C232" s="161" t="s">
        <v>640</v>
      </c>
      <c r="D232" s="161" t="s">
        <v>79</v>
      </c>
      <c r="E232" s="163" t="s">
        <v>306</v>
      </c>
      <c r="F232" s="155">
        <v>417</v>
      </c>
      <c r="G232" s="155">
        <f>F232*12</f>
        <v>5004</v>
      </c>
      <c r="H232" s="155">
        <v>70</v>
      </c>
      <c r="I232" s="155"/>
      <c r="J232" s="155">
        <f>F232</f>
        <v>417</v>
      </c>
      <c r="K232" s="155">
        <v>300</v>
      </c>
      <c r="L232" s="155"/>
      <c r="M232" s="155">
        <v>125</v>
      </c>
      <c r="N232" s="155">
        <v>30</v>
      </c>
      <c r="O232" s="155">
        <v>100</v>
      </c>
      <c r="P232" s="155">
        <f>ROUND(F232*0.0875*13,2)</f>
        <v>474.34</v>
      </c>
      <c r="Q232" s="155">
        <f>P232/13</f>
        <v>36.487692307692306</v>
      </c>
      <c r="R232" s="155"/>
      <c r="S232" s="155"/>
      <c r="T232" s="155"/>
      <c r="U232" s="155">
        <f>ROUND(F232*0.075*13,2)</f>
        <v>406.58</v>
      </c>
      <c r="V232" s="155">
        <f>U232/13</f>
        <v>31.275384615384613</v>
      </c>
      <c r="W232" s="155"/>
      <c r="X232" s="155"/>
      <c r="Y232" s="155">
        <f>P232+S232+U232+W232</f>
        <v>880.92</v>
      </c>
      <c r="Z232" s="155">
        <f>ROUND(F232*0.01*13,2)</f>
        <v>54.21</v>
      </c>
      <c r="AA232" s="155">
        <f>Z232/13</f>
        <v>4.17</v>
      </c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</row>
    <row r="233" spans="1:38" ht="21.9" customHeight="1">
      <c r="A233" s="154">
        <f t="shared" si="184"/>
        <v>186</v>
      </c>
      <c r="B233" s="178" t="s">
        <v>123</v>
      </c>
      <c r="C233" s="161" t="s">
        <v>640</v>
      </c>
      <c r="D233" s="161" t="s">
        <v>79</v>
      </c>
      <c r="E233" s="163" t="s">
        <v>306</v>
      </c>
      <c r="F233" s="155">
        <v>417</v>
      </c>
      <c r="G233" s="155">
        <f>F233*12</f>
        <v>5004</v>
      </c>
      <c r="H233" s="155">
        <v>70</v>
      </c>
      <c r="I233" s="155"/>
      <c r="J233" s="155">
        <f>F233</f>
        <v>417</v>
      </c>
      <c r="K233" s="155">
        <v>300</v>
      </c>
      <c r="L233" s="155"/>
      <c r="M233" s="155">
        <v>125</v>
      </c>
      <c r="N233" s="155">
        <v>30</v>
      </c>
      <c r="O233" s="155">
        <v>100</v>
      </c>
      <c r="P233" s="155">
        <f>ROUND(F233*0.0875*13,2)</f>
        <v>474.34</v>
      </c>
      <c r="Q233" s="155">
        <f>P233/13</f>
        <v>36.487692307692306</v>
      </c>
      <c r="R233" s="155"/>
      <c r="S233" s="155"/>
      <c r="T233" s="155"/>
      <c r="U233" s="155">
        <f>ROUND(F233*0.075*13,2)</f>
        <v>406.58</v>
      </c>
      <c r="V233" s="155">
        <f>U233/13</f>
        <v>31.275384615384613</v>
      </c>
      <c r="W233" s="155"/>
      <c r="X233" s="155"/>
      <c r="Y233" s="155">
        <f>P233+S233+U233+W233</f>
        <v>880.92</v>
      </c>
      <c r="Z233" s="155">
        <f>ROUND(F233*0.01*13,2)</f>
        <v>54.21</v>
      </c>
      <c r="AA233" s="155">
        <f>Z233/13</f>
        <v>4.17</v>
      </c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</row>
    <row r="234" spans="1:38" ht="21.9" customHeight="1">
      <c r="A234" s="154">
        <f t="shared" si="184"/>
        <v>187</v>
      </c>
      <c r="B234" s="176" t="s">
        <v>91</v>
      </c>
      <c r="C234" s="161" t="s">
        <v>640</v>
      </c>
      <c r="D234" s="161" t="s">
        <v>79</v>
      </c>
      <c r="E234" s="163" t="s">
        <v>306</v>
      </c>
      <c r="F234" s="155">
        <v>417</v>
      </c>
      <c r="G234" s="155">
        <f>F234*12</f>
        <v>5004</v>
      </c>
      <c r="H234" s="155">
        <v>70</v>
      </c>
      <c r="I234" s="155"/>
      <c r="J234" s="155">
        <f>F234</f>
        <v>417</v>
      </c>
      <c r="K234" s="155">
        <v>300</v>
      </c>
      <c r="L234" s="155"/>
      <c r="M234" s="155">
        <v>125</v>
      </c>
      <c r="N234" s="155">
        <v>30</v>
      </c>
      <c r="O234" s="155">
        <v>100</v>
      </c>
      <c r="P234" s="155">
        <f>ROUND(F234*0.0875*13,2)</f>
        <v>474.34</v>
      </c>
      <c r="Q234" s="155"/>
      <c r="R234" s="155">
        <f>P234/13</f>
        <v>36.487692307692306</v>
      </c>
      <c r="S234" s="155"/>
      <c r="T234" s="155"/>
      <c r="U234" s="155">
        <f>ROUND(F234*0.075*13,2)</f>
        <v>406.58</v>
      </c>
      <c r="V234" s="155">
        <f>U234/13</f>
        <v>31.275384615384613</v>
      </c>
      <c r="W234" s="155"/>
      <c r="X234" s="155"/>
      <c r="Y234" s="155">
        <f>P234+S234+U234+W234</f>
        <v>880.92</v>
      </c>
      <c r="Z234" s="155">
        <f>ROUND(F234*0.01*13,2)</f>
        <v>54.21</v>
      </c>
      <c r="AA234" s="155">
        <f>Z234/13</f>
        <v>4.17</v>
      </c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</row>
    <row r="235" spans="1:38" ht="21.9" customHeight="1">
      <c r="B235" s="277"/>
      <c r="C235" s="161"/>
      <c r="D235" s="161"/>
      <c r="E235" s="163"/>
      <c r="F235" s="152">
        <f t="shared" ref="F235:Q235" si="185">SUM(F230:F234)</f>
        <v>2808</v>
      </c>
      <c r="G235" s="152">
        <f t="shared" si="185"/>
        <v>33696</v>
      </c>
      <c r="H235" s="152">
        <f t="shared" si="185"/>
        <v>350</v>
      </c>
      <c r="I235" s="152">
        <f t="shared" si="185"/>
        <v>0</v>
      </c>
      <c r="J235" s="152">
        <f t="shared" si="185"/>
        <v>2808</v>
      </c>
      <c r="K235" s="152">
        <f t="shared" si="185"/>
        <v>1500</v>
      </c>
      <c r="L235" s="152">
        <f t="shared" si="185"/>
        <v>0</v>
      </c>
      <c r="M235" s="152">
        <f t="shared" si="185"/>
        <v>500</v>
      </c>
      <c r="N235" s="152">
        <f t="shared" si="185"/>
        <v>150</v>
      </c>
      <c r="O235" s="152">
        <f t="shared" si="185"/>
        <v>500</v>
      </c>
      <c r="P235" s="152">
        <f t="shared" si="185"/>
        <v>3194.1100000000006</v>
      </c>
      <c r="Q235" s="152">
        <f t="shared" si="185"/>
        <v>141.2253846153846</v>
      </c>
      <c r="R235" s="152">
        <f>SUM(R230:R234)+0.01</f>
        <v>104.48538461538463</v>
      </c>
      <c r="S235" s="152">
        <f>SUM(S230:S234)</f>
        <v>0</v>
      </c>
      <c r="T235" s="152">
        <f>SUM(T230:T234)</f>
        <v>0</v>
      </c>
      <c r="U235" s="152">
        <f>SUM(U230:U234)</f>
        <v>2955.24</v>
      </c>
      <c r="V235" s="152">
        <f>SUM(V230:V234)+0.01</f>
        <v>227.33615384615382</v>
      </c>
      <c r="W235" s="152">
        <f>SUM(W230:W234)</f>
        <v>0</v>
      </c>
      <c r="X235" s="152">
        <f>SUM(X230:X234)</f>
        <v>0</v>
      </c>
      <c r="Y235" s="152">
        <f>SUM(Y230:Y234)</f>
        <v>6149.35</v>
      </c>
      <c r="Z235" s="152">
        <f>SUM(Z230:Z234)</f>
        <v>394.03</v>
      </c>
      <c r="AA235" s="152">
        <f>SUM(AA230:AA234)</f>
        <v>30.310000000000002</v>
      </c>
      <c r="AB235" s="152">
        <f t="shared" ref="AB235:AL235" si="186">SUM(AB230:AB232)</f>
        <v>0</v>
      </c>
      <c r="AC235" s="152">
        <f t="shared" si="186"/>
        <v>0</v>
      </c>
      <c r="AD235" s="152">
        <f t="shared" si="186"/>
        <v>0</v>
      </c>
      <c r="AE235" s="152">
        <f t="shared" si="186"/>
        <v>0</v>
      </c>
      <c r="AF235" s="152">
        <f t="shared" si="186"/>
        <v>0</v>
      </c>
      <c r="AG235" s="152">
        <f t="shared" si="186"/>
        <v>0</v>
      </c>
      <c r="AH235" s="152">
        <f t="shared" si="186"/>
        <v>0</v>
      </c>
      <c r="AI235" s="152">
        <f t="shared" si="186"/>
        <v>0</v>
      </c>
      <c r="AJ235" s="152">
        <f t="shared" si="186"/>
        <v>0</v>
      </c>
      <c r="AK235" s="152">
        <f t="shared" si="186"/>
        <v>0</v>
      </c>
      <c r="AL235" s="152">
        <f t="shared" si="186"/>
        <v>0</v>
      </c>
    </row>
    <row r="236" spans="1:38" ht="21.9" customHeight="1">
      <c r="A236" s="154">
        <f>A234+1</f>
        <v>188</v>
      </c>
      <c r="B236" s="178" t="s">
        <v>663</v>
      </c>
      <c r="C236" s="161" t="s">
        <v>641</v>
      </c>
      <c r="D236" s="161" t="s">
        <v>79</v>
      </c>
      <c r="E236" s="163" t="s">
        <v>306</v>
      </c>
      <c r="F236" s="155">
        <v>700</v>
      </c>
      <c r="G236" s="155">
        <f>F236*12</f>
        <v>8400</v>
      </c>
      <c r="H236" s="155">
        <v>70</v>
      </c>
      <c r="I236" s="155"/>
      <c r="J236" s="155">
        <f>F236</f>
        <v>700</v>
      </c>
      <c r="K236" s="155">
        <v>300</v>
      </c>
      <c r="L236" s="155"/>
      <c r="M236" s="155">
        <v>125</v>
      </c>
      <c r="N236" s="155">
        <v>30</v>
      </c>
      <c r="O236" s="155">
        <v>100</v>
      </c>
      <c r="P236" s="155">
        <f>ROUND(F236*0.0875*13,2)</f>
        <v>796.25</v>
      </c>
      <c r="Q236" s="155">
        <f>P236/13</f>
        <v>61.25</v>
      </c>
      <c r="R236" s="155"/>
      <c r="S236" s="155"/>
      <c r="T236" s="155"/>
      <c r="U236" s="155">
        <f>ROUND(F236*0.075*13,2)</f>
        <v>682.5</v>
      </c>
      <c r="V236" s="155">
        <f>U236/13</f>
        <v>52.5</v>
      </c>
      <c r="W236" s="155"/>
      <c r="X236" s="155"/>
      <c r="Y236" s="155">
        <f>P236+S236+U236+W236</f>
        <v>1478.75</v>
      </c>
      <c r="Z236" s="155">
        <f>ROUND(F236*0.01*13,2)</f>
        <v>91</v>
      </c>
      <c r="AA236" s="155">
        <f>Z236/13</f>
        <v>7</v>
      </c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</row>
    <row r="237" spans="1:38" ht="21.9" customHeight="1">
      <c r="A237" s="154">
        <f>A236+1</f>
        <v>189</v>
      </c>
      <c r="B237" s="178" t="s">
        <v>745</v>
      </c>
      <c r="C237" s="161" t="s">
        <v>641</v>
      </c>
      <c r="D237" s="161" t="s">
        <v>79</v>
      </c>
      <c r="E237" s="163" t="s">
        <v>306</v>
      </c>
      <c r="F237" s="155">
        <v>500</v>
      </c>
      <c r="G237" s="155">
        <f>F237*12</f>
        <v>6000</v>
      </c>
      <c r="H237" s="155">
        <v>70</v>
      </c>
      <c r="I237" s="155"/>
      <c r="J237" s="155">
        <f>F237</f>
        <v>500</v>
      </c>
      <c r="K237" s="155">
        <v>300</v>
      </c>
      <c r="L237" s="155"/>
      <c r="M237" s="155">
        <v>125</v>
      </c>
      <c r="N237" s="155">
        <v>30</v>
      </c>
      <c r="O237" s="155">
        <v>100</v>
      </c>
      <c r="P237" s="155">
        <f>ROUND(F237*0.0875*13,2)</f>
        <v>568.75</v>
      </c>
      <c r="Q237" s="155"/>
      <c r="R237" s="155">
        <f>P237/13</f>
        <v>43.75</v>
      </c>
      <c r="S237" s="155"/>
      <c r="T237" s="155"/>
      <c r="U237" s="155">
        <f>ROUND(F237*0.075*13,2)</f>
        <v>487.5</v>
      </c>
      <c r="V237" s="155">
        <f>U237/13</f>
        <v>37.5</v>
      </c>
      <c r="W237" s="155"/>
      <c r="X237" s="155"/>
      <c r="Y237" s="155">
        <f>P237+S237+U237+W237</f>
        <v>1056.25</v>
      </c>
      <c r="Z237" s="155">
        <f>ROUND(F237*0.01*13,2)</f>
        <v>65</v>
      </c>
      <c r="AA237" s="155">
        <f>Z237/13</f>
        <v>5</v>
      </c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</row>
    <row r="238" spans="1:38" ht="21.9" customHeight="1">
      <c r="A238" s="154">
        <f>A237+1</f>
        <v>190</v>
      </c>
      <c r="B238" s="178" t="s">
        <v>746</v>
      </c>
      <c r="C238" s="161" t="s">
        <v>641</v>
      </c>
      <c r="D238" s="161" t="s">
        <v>79</v>
      </c>
      <c r="E238" s="163" t="s">
        <v>306</v>
      </c>
      <c r="F238" s="155">
        <v>417</v>
      </c>
      <c r="G238" s="155">
        <f>F238*12</f>
        <v>5004</v>
      </c>
      <c r="H238" s="155">
        <v>70</v>
      </c>
      <c r="I238" s="155"/>
      <c r="J238" s="155">
        <f>F238</f>
        <v>417</v>
      </c>
      <c r="K238" s="155">
        <v>300</v>
      </c>
      <c r="L238" s="155"/>
      <c r="M238" s="155">
        <v>125</v>
      </c>
      <c r="N238" s="155">
        <v>30</v>
      </c>
      <c r="O238" s="155">
        <v>100</v>
      </c>
      <c r="P238" s="155">
        <f>ROUND(F238*0.0875*13,2)</f>
        <v>474.34</v>
      </c>
      <c r="Q238" s="155">
        <f>P238/13</f>
        <v>36.487692307692306</v>
      </c>
      <c r="R238" s="155"/>
      <c r="S238" s="155"/>
      <c r="T238" s="155"/>
      <c r="U238" s="155">
        <f>ROUND(F238*0.075*13,2)</f>
        <v>406.58</v>
      </c>
      <c r="V238" s="155">
        <f>U238/13</f>
        <v>31.275384615384613</v>
      </c>
      <c r="W238" s="155"/>
      <c r="X238" s="155"/>
      <c r="Y238" s="155">
        <f>P238+S238+U238+W238</f>
        <v>880.92</v>
      </c>
      <c r="Z238" s="155">
        <f>ROUND(F238*0.01*13,2)</f>
        <v>54.21</v>
      </c>
      <c r="AA238" s="155">
        <f>Z238/13</f>
        <v>4.17</v>
      </c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</row>
    <row r="239" spans="1:38" ht="21.9" customHeight="1">
      <c r="A239" s="172"/>
      <c r="C239" s="218"/>
      <c r="D239" s="161"/>
      <c r="E239" s="163"/>
      <c r="F239" s="152">
        <f t="shared" ref="F239:AL239" si="187">SUM(F236:F238)</f>
        <v>1617</v>
      </c>
      <c r="G239" s="152">
        <f t="shared" si="187"/>
        <v>19404</v>
      </c>
      <c r="H239" s="152">
        <f t="shared" si="187"/>
        <v>210</v>
      </c>
      <c r="I239" s="152">
        <f t="shared" si="187"/>
        <v>0</v>
      </c>
      <c r="J239" s="152">
        <f t="shared" si="187"/>
        <v>1617</v>
      </c>
      <c r="K239" s="152">
        <f t="shared" si="187"/>
        <v>900</v>
      </c>
      <c r="L239" s="152">
        <f t="shared" si="187"/>
        <v>0</v>
      </c>
      <c r="M239" s="152">
        <f t="shared" si="187"/>
        <v>375</v>
      </c>
      <c r="N239" s="152">
        <f t="shared" si="187"/>
        <v>90</v>
      </c>
      <c r="O239" s="152">
        <f t="shared" si="187"/>
        <v>300</v>
      </c>
      <c r="P239" s="152">
        <f t="shared" si="187"/>
        <v>1839.34</v>
      </c>
      <c r="Q239" s="152">
        <f t="shared" si="187"/>
        <v>97.737692307692299</v>
      </c>
      <c r="R239" s="152">
        <f t="shared" si="187"/>
        <v>43.75</v>
      </c>
      <c r="S239" s="152">
        <f t="shared" si="187"/>
        <v>0</v>
      </c>
      <c r="T239" s="152">
        <f t="shared" si="187"/>
        <v>0</v>
      </c>
      <c r="U239" s="152">
        <f t="shared" si="187"/>
        <v>1576.58</v>
      </c>
      <c r="V239" s="152">
        <f t="shared" si="187"/>
        <v>121.27538461538461</v>
      </c>
      <c r="W239" s="152">
        <f t="shared" si="187"/>
        <v>0</v>
      </c>
      <c r="X239" s="152">
        <f t="shared" si="187"/>
        <v>0</v>
      </c>
      <c r="Y239" s="152">
        <f t="shared" si="187"/>
        <v>3415.92</v>
      </c>
      <c r="Z239" s="152">
        <f t="shared" si="187"/>
        <v>210.21</v>
      </c>
      <c r="AA239" s="152">
        <f t="shared" si="187"/>
        <v>16.170000000000002</v>
      </c>
      <c r="AB239" s="152">
        <f t="shared" si="187"/>
        <v>0</v>
      </c>
      <c r="AC239" s="152">
        <f t="shared" si="187"/>
        <v>0</v>
      </c>
      <c r="AD239" s="152">
        <f t="shared" si="187"/>
        <v>0</v>
      </c>
      <c r="AE239" s="152">
        <f t="shared" si="187"/>
        <v>0</v>
      </c>
      <c r="AF239" s="152">
        <f t="shared" si="187"/>
        <v>0</v>
      </c>
      <c r="AG239" s="152">
        <f t="shared" si="187"/>
        <v>0</v>
      </c>
      <c r="AH239" s="152">
        <f t="shared" si="187"/>
        <v>0</v>
      </c>
      <c r="AI239" s="152">
        <f t="shared" si="187"/>
        <v>0</v>
      </c>
      <c r="AJ239" s="152">
        <f t="shared" si="187"/>
        <v>0</v>
      </c>
      <c r="AK239" s="152">
        <f t="shared" si="187"/>
        <v>0</v>
      </c>
      <c r="AL239" s="152">
        <f t="shared" si="187"/>
        <v>0</v>
      </c>
    </row>
    <row r="240" spans="1:38" ht="21.9" customHeight="1">
      <c r="A240" s="154">
        <f>A238+1</f>
        <v>191</v>
      </c>
      <c r="B240" s="177" t="s">
        <v>339</v>
      </c>
      <c r="C240" s="161" t="s">
        <v>340</v>
      </c>
      <c r="D240" s="161" t="s">
        <v>79</v>
      </c>
      <c r="E240" s="163" t="s">
        <v>306</v>
      </c>
      <c r="F240" s="155">
        <v>1200</v>
      </c>
      <c r="G240" s="155">
        <f>F240*12</f>
        <v>14400</v>
      </c>
      <c r="H240" s="155">
        <v>70</v>
      </c>
      <c r="I240" s="155"/>
      <c r="J240" s="155">
        <f>F240</f>
        <v>1200</v>
      </c>
      <c r="K240" s="155">
        <v>300</v>
      </c>
      <c r="L240" s="155"/>
      <c r="M240" s="155">
        <v>125</v>
      </c>
      <c r="N240" s="155">
        <v>30</v>
      </c>
      <c r="O240" s="155">
        <v>100</v>
      </c>
      <c r="P240" s="155">
        <f>ROUND(F240*0.0875*13,2)</f>
        <v>1365</v>
      </c>
      <c r="Q240" s="155">
        <f>P240/13</f>
        <v>105</v>
      </c>
      <c r="R240" s="155"/>
      <c r="S240" s="155"/>
      <c r="T240" s="155"/>
      <c r="U240" s="155">
        <f>75*13</f>
        <v>975</v>
      </c>
      <c r="V240" s="155">
        <f>U240/13</f>
        <v>75</v>
      </c>
      <c r="W240" s="155"/>
      <c r="X240" s="155"/>
      <c r="Y240" s="155">
        <f>P240+S240+U240+W240</f>
        <v>2340</v>
      </c>
      <c r="Z240" s="155">
        <f>F240*0.01*13</f>
        <v>156</v>
      </c>
      <c r="AA240" s="155">
        <f>Z240/13</f>
        <v>12</v>
      </c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</row>
    <row r="241" spans="1:38" ht="21.9" customHeight="1">
      <c r="A241" s="172">
        <f>A240+1</f>
        <v>192</v>
      </c>
      <c r="B241" s="177" t="s">
        <v>342</v>
      </c>
      <c r="C241" s="161" t="s">
        <v>340</v>
      </c>
      <c r="D241" s="161" t="s">
        <v>79</v>
      </c>
      <c r="E241" s="163" t="s">
        <v>306</v>
      </c>
      <c r="F241" s="155">
        <f>845+30+50</f>
        <v>925</v>
      </c>
      <c r="G241" s="155">
        <f>F241*12</f>
        <v>11100</v>
      </c>
      <c r="H241" s="155">
        <v>70</v>
      </c>
      <c r="I241" s="155"/>
      <c r="J241" s="155">
        <f>F241</f>
        <v>925</v>
      </c>
      <c r="K241" s="155">
        <v>300</v>
      </c>
      <c r="L241" s="155"/>
      <c r="M241" s="155"/>
      <c r="N241" s="155">
        <v>30</v>
      </c>
      <c r="O241" s="155">
        <v>100</v>
      </c>
      <c r="P241" s="155">
        <f>ROUND(F241*0.0875*13,2)</f>
        <v>1052.19</v>
      </c>
      <c r="Q241" s="226"/>
      <c r="R241" s="155">
        <f>P241/13</f>
        <v>80.937692307692316</v>
      </c>
      <c r="S241" s="155"/>
      <c r="T241" s="155"/>
      <c r="U241" s="155">
        <f t="shared" ref="U241:U269" si="188">ROUND(F241*0.075*13,2)</f>
        <v>901.88</v>
      </c>
      <c r="V241" s="155">
        <f>U241/13</f>
        <v>69.375384615384618</v>
      </c>
      <c r="W241" s="155"/>
      <c r="X241" s="155"/>
      <c r="Y241" s="155">
        <f>P241+S241+U241+W241</f>
        <v>1954.0700000000002</v>
      </c>
      <c r="Z241" s="155">
        <f t="shared" ref="Z241:Z269" si="189">ROUND(F241*0.01*13,2)</f>
        <v>120.25</v>
      </c>
      <c r="AA241" s="155">
        <f>Z241/13</f>
        <v>9.25</v>
      </c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</row>
    <row r="242" spans="1:38" ht="21.9" customHeight="1">
      <c r="A242" s="172">
        <f>A241+1</f>
        <v>193</v>
      </c>
      <c r="B242" s="177" t="s">
        <v>656</v>
      </c>
      <c r="C242" s="161" t="s">
        <v>340</v>
      </c>
      <c r="D242" s="161" t="s">
        <v>79</v>
      </c>
      <c r="E242" s="163" t="s">
        <v>306</v>
      </c>
      <c r="F242" s="155">
        <v>700</v>
      </c>
      <c r="G242" s="155">
        <f>F242*12</f>
        <v>8400</v>
      </c>
      <c r="H242" s="155">
        <v>70</v>
      </c>
      <c r="I242" s="155"/>
      <c r="J242" s="155">
        <f>F242</f>
        <v>700</v>
      </c>
      <c r="K242" s="155">
        <v>300</v>
      </c>
      <c r="L242" s="155"/>
      <c r="M242" s="155">
        <v>125</v>
      </c>
      <c r="N242" s="155">
        <v>30</v>
      </c>
      <c r="O242" s="155">
        <v>100</v>
      </c>
      <c r="P242" s="155">
        <f>ROUND(F242*0.0875*13,2)</f>
        <v>796.25</v>
      </c>
      <c r="Q242" s="155"/>
      <c r="R242" s="155">
        <f>P242/13</f>
        <v>61.25</v>
      </c>
      <c r="S242" s="155"/>
      <c r="T242" s="155"/>
      <c r="U242" s="155">
        <f t="shared" si="188"/>
        <v>682.5</v>
      </c>
      <c r="V242" s="155">
        <f>U242/13</f>
        <v>52.5</v>
      </c>
      <c r="W242" s="155"/>
      <c r="X242" s="155"/>
      <c r="Y242" s="155">
        <f>P242+S242+U242+W242</f>
        <v>1478.75</v>
      </c>
      <c r="Z242" s="155">
        <f t="shared" si="189"/>
        <v>91</v>
      </c>
      <c r="AA242" s="155">
        <f>Z242/13</f>
        <v>7</v>
      </c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</row>
    <row r="243" spans="1:38" ht="21.9" customHeight="1">
      <c r="A243" s="172">
        <f t="shared" ref="A243:A244" si="190">A242+1</f>
        <v>194</v>
      </c>
      <c r="B243" s="176" t="s">
        <v>143</v>
      </c>
      <c r="C243" s="161" t="s">
        <v>340</v>
      </c>
      <c r="D243" s="161" t="s">
        <v>79</v>
      </c>
      <c r="E243" s="163" t="s">
        <v>306</v>
      </c>
      <c r="F243" s="155">
        <f>417+30+50+50</f>
        <v>547</v>
      </c>
      <c r="G243" s="155">
        <f>F243*12</f>
        <v>6564</v>
      </c>
      <c r="H243" s="155">
        <v>70</v>
      </c>
      <c r="I243" s="155"/>
      <c r="J243" s="155">
        <f>F243</f>
        <v>547</v>
      </c>
      <c r="K243" s="155">
        <v>300</v>
      </c>
      <c r="L243" s="155"/>
      <c r="M243" s="155">
        <v>125</v>
      </c>
      <c r="N243" s="155">
        <v>30</v>
      </c>
      <c r="O243" s="155">
        <v>100</v>
      </c>
      <c r="P243" s="155">
        <f>ROUND(F243*0.0875*13,2)</f>
        <v>622.21</v>
      </c>
      <c r="Q243" s="155"/>
      <c r="R243" s="155">
        <f>P243/13</f>
        <v>47.862307692307695</v>
      </c>
      <c r="S243" s="155"/>
      <c r="T243" s="155"/>
      <c r="U243" s="155">
        <f>ROUND(F243*0.075*13,2)</f>
        <v>533.33000000000004</v>
      </c>
      <c r="V243" s="155">
        <f>U243/13</f>
        <v>41.025384615384617</v>
      </c>
      <c r="W243" s="155"/>
      <c r="X243" s="155"/>
      <c r="Y243" s="155">
        <f>P243+S243+U243+W243</f>
        <v>1155.54</v>
      </c>
      <c r="Z243" s="155">
        <f>ROUND(F243*0.01*13,2)</f>
        <v>71.11</v>
      </c>
      <c r="AA243" s="155">
        <f>Z243/13</f>
        <v>5.47</v>
      </c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</row>
    <row r="244" spans="1:38" ht="21.9" customHeight="1">
      <c r="A244" s="172">
        <f t="shared" si="190"/>
        <v>195</v>
      </c>
      <c r="B244" s="177" t="s">
        <v>349</v>
      </c>
      <c r="C244" s="161" t="s">
        <v>340</v>
      </c>
      <c r="D244" s="161" t="s">
        <v>79</v>
      </c>
      <c r="E244" s="163" t="s">
        <v>306</v>
      </c>
      <c r="F244" s="155">
        <v>750</v>
      </c>
      <c r="G244" s="155">
        <f>F244*12</f>
        <v>9000</v>
      </c>
      <c r="H244" s="155">
        <v>70</v>
      </c>
      <c r="I244" s="155"/>
      <c r="J244" s="155">
        <f>F244</f>
        <v>750</v>
      </c>
      <c r="K244" s="155">
        <v>300</v>
      </c>
      <c r="L244" s="155"/>
      <c r="M244" s="155"/>
      <c r="N244" s="155">
        <v>30</v>
      </c>
      <c r="O244" s="155">
        <v>100</v>
      </c>
      <c r="P244" s="155">
        <f>ROUND(F244*0.0875*13,2)</f>
        <v>853.13</v>
      </c>
      <c r="Q244" s="155"/>
      <c r="R244" s="155">
        <f>P244/13</f>
        <v>65.625384615384618</v>
      </c>
      <c r="S244" s="155"/>
      <c r="T244" s="155"/>
      <c r="U244" s="155">
        <f t="shared" si="188"/>
        <v>731.25</v>
      </c>
      <c r="V244" s="155">
        <f>U244/13</f>
        <v>56.25</v>
      </c>
      <c r="W244" s="155"/>
      <c r="X244" s="155"/>
      <c r="Y244" s="155">
        <f>P244+S244+U244+W244</f>
        <v>1584.38</v>
      </c>
      <c r="Z244" s="155">
        <f t="shared" si="189"/>
        <v>97.5</v>
      </c>
      <c r="AA244" s="155">
        <f>Z244/13</f>
        <v>7.5</v>
      </c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</row>
    <row r="245" spans="1:38" ht="21.9" customHeight="1">
      <c r="A245" s="172"/>
      <c r="C245" s="161"/>
      <c r="D245" s="161"/>
      <c r="E245" s="163"/>
      <c r="F245" s="152">
        <f>SUM(F240:F244)</f>
        <v>4122</v>
      </c>
      <c r="G245" s="152">
        <f>SUM(G240:G244)</f>
        <v>49464</v>
      </c>
      <c r="H245" s="152">
        <f t="shared" ref="H245:AL245" si="191">SUM(H240:H244)</f>
        <v>350</v>
      </c>
      <c r="I245" s="152">
        <f t="shared" si="191"/>
        <v>0</v>
      </c>
      <c r="J245" s="152">
        <f t="shared" si="191"/>
        <v>4122</v>
      </c>
      <c r="K245" s="152">
        <f t="shared" si="191"/>
        <v>1500</v>
      </c>
      <c r="L245" s="152">
        <f t="shared" si="191"/>
        <v>0</v>
      </c>
      <c r="M245" s="152">
        <f t="shared" si="191"/>
        <v>375</v>
      </c>
      <c r="N245" s="152">
        <f t="shared" si="191"/>
        <v>150</v>
      </c>
      <c r="O245" s="152">
        <f t="shared" si="191"/>
        <v>500</v>
      </c>
      <c r="P245" s="152">
        <f>SUM(P240:P244)</f>
        <v>4688.78</v>
      </c>
      <c r="Q245" s="152">
        <f t="shared" si="191"/>
        <v>105</v>
      </c>
      <c r="R245" s="152">
        <f>SUM(R240:R244)+0.01</f>
        <v>255.68538461538463</v>
      </c>
      <c r="S245" s="152">
        <f t="shared" si="191"/>
        <v>0</v>
      </c>
      <c r="T245" s="152">
        <f t="shared" si="191"/>
        <v>0</v>
      </c>
      <c r="U245" s="152">
        <f t="shared" si="191"/>
        <v>3823.96</v>
      </c>
      <c r="V245" s="152">
        <f t="shared" si="191"/>
        <v>294.15076923076924</v>
      </c>
      <c r="W245" s="152">
        <f t="shared" si="191"/>
        <v>0</v>
      </c>
      <c r="X245" s="152">
        <f t="shared" si="191"/>
        <v>0</v>
      </c>
      <c r="Y245" s="152">
        <f t="shared" si="191"/>
        <v>8512.74</v>
      </c>
      <c r="Z245" s="152">
        <f t="shared" si="191"/>
        <v>535.86</v>
      </c>
      <c r="AA245" s="152">
        <f t="shared" si="191"/>
        <v>41.22</v>
      </c>
      <c r="AB245" s="152">
        <f t="shared" si="191"/>
        <v>0</v>
      </c>
      <c r="AC245" s="152">
        <f t="shared" si="191"/>
        <v>0</v>
      </c>
      <c r="AD245" s="152">
        <f t="shared" si="191"/>
        <v>0</v>
      </c>
      <c r="AE245" s="152">
        <f t="shared" si="191"/>
        <v>0</v>
      </c>
      <c r="AF245" s="152">
        <f t="shared" si="191"/>
        <v>0</v>
      </c>
      <c r="AG245" s="152">
        <f t="shared" si="191"/>
        <v>0</v>
      </c>
      <c r="AH245" s="152">
        <f t="shared" si="191"/>
        <v>0</v>
      </c>
      <c r="AI245" s="152">
        <f t="shared" si="191"/>
        <v>0</v>
      </c>
      <c r="AJ245" s="152">
        <f t="shared" si="191"/>
        <v>0</v>
      </c>
      <c r="AK245" s="152">
        <f t="shared" si="191"/>
        <v>0</v>
      </c>
      <c r="AL245" s="152">
        <f t="shared" si="191"/>
        <v>0</v>
      </c>
    </row>
    <row r="246" spans="1:38" ht="21.9" customHeight="1">
      <c r="A246" s="172">
        <f>A244+1</f>
        <v>196</v>
      </c>
      <c r="B246" s="179" t="s">
        <v>644</v>
      </c>
      <c r="C246" s="161" t="s">
        <v>664</v>
      </c>
      <c r="D246" s="161" t="s">
        <v>79</v>
      </c>
      <c r="E246" s="163" t="s">
        <v>306</v>
      </c>
      <c r="F246" s="155">
        <v>700</v>
      </c>
      <c r="G246" s="155">
        <f>F246*12</f>
        <v>8400</v>
      </c>
      <c r="H246" s="155">
        <v>70</v>
      </c>
      <c r="I246" s="155"/>
      <c r="J246" s="155">
        <f>F246</f>
        <v>700</v>
      </c>
      <c r="K246" s="155">
        <v>300</v>
      </c>
      <c r="L246" s="155"/>
      <c r="M246" s="155"/>
      <c r="N246" s="155">
        <v>30</v>
      </c>
      <c r="O246" s="155">
        <v>100</v>
      </c>
      <c r="P246" s="155">
        <f>ROUND(F246*0.0875*13,2)</f>
        <v>796.25</v>
      </c>
      <c r="Q246" s="226"/>
      <c r="R246" s="155">
        <f>P246/13</f>
        <v>61.25</v>
      </c>
      <c r="S246" s="155"/>
      <c r="T246" s="155"/>
      <c r="U246" s="155">
        <f t="shared" si="188"/>
        <v>682.5</v>
      </c>
      <c r="V246" s="155">
        <f>U246/13</f>
        <v>52.5</v>
      </c>
      <c r="W246" s="155"/>
      <c r="X246" s="155"/>
      <c r="Y246" s="155">
        <f>P246+S246+U246+W246</f>
        <v>1478.75</v>
      </c>
      <c r="Z246" s="155">
        <f t="shared" si="189"/>
        <v>91</v>
      </c>
      <c r="AA246" s="155">
        <f>Z246/13</f>
        <v>7</v>
      </c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</row>
    <row r="247" spans="1:38" ht="21.9" customHeight="1">
      <c r="A247" s="172">
        <f>A246+1</f>
        <v>197</v>
      </c>
      <c r="B247" s="179" t="s">
        <v>644</v>
      </c>
      <c r="C247" s="161" t="s">
        <v>664</v>
      </c>
      <c r="D247" s="161" t="s">
        <v>79</v>
      </c>
      <c r="E247" s="163" t="s">
        <v>306</v>
      </c>
      <c r="F247" s="155">
        <v>417</v>
      </c>
      <c r="G247" s="155">
        <f>F247*12</f>
        <v>5004</v>
      </c>
      <c r="H247" s="155">
        <v>70</v>
      </c>
      <c r="I247" s="155"/>
      <c r="J247" s="155">
        <f>F247</f>
        <v>417</v>
      </c>
      <c r="K247" s="155">
        <v>300</v>
      </c>
      <c r="L247" s="155"/>
      <c r="M247" s="155"/>
      <c r="N247" s="155">
        <v>30</v>
      </c>
      <c r="O247" s="155">
        <v>100</v>
      </c>
      <c r="P247" s="155">
        <f>ROUND(F247*0.0875*13,2)</f>
        <v>474.34</v>
      </c>
      <c r="Q247" s="226"/>
      <c r="R247" s="155">
        <f>P247/13</f>
        <v>36.487692307692306</v>
      </c>
      <c r="S247" s="155"/>
      <c r="T247" s="155"/>
      <c r="U247" s="155">
        <f t="shared" ref="U247" si="192">ROUND(F247*0.075*13,2)</f>
        <v>406.58</v>
      </c>
      <c r="V247" s="155">
        <f>U247/13</f>
        <v>31.275384615384613</v>
      </c>
      <c r="W247" s="155"/>
      <c r="X247" s="155"/>
      <c r="Y247" s="155">
        <f>P247+S247+U247+W247</f>
        <v>880.92</v>
      </c>
      <c r="Z247" s="155">
        <f t="shared" ref="Z247" si="193">ROUND(F247*0.01*13,2)</f>
        <v>54.21</v>
      </c>
      <c r="AA247" s="155">
        <f>Z247/13</f>
        <v>4.17</v>
      </c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</row>
    <row r="248" spans="1:38" ht="21.9" customHeight="1">
      <c r="A248" s="172">
        <f t="shared" ref="A248:A249" si="194">A247+1</f>
        <v>198</v>
      </c>
      <c r="B248" s="177" t="s">
        <v>665</v>
      </c>
      <c r="C248" s="161" t="s">
        <v>664</v>
      </c>
      <c r="D248" s="161" t="s">
        <v>79</v>
      </c>
      <c r="E248" s="163" t="s">
        <v>306</v>
      </c>
      <c r="F248" s="155">
        <v>417</v>
      </c>
      <c r="G248" s="155">
        <f>F248*12</f>
        <v>5004</v>
      </c>
      <c r="H248" s="155">
        <v>70</v>
      </c>
      <c r="I248" s="155"/>
      <c r="J248" s="155">
        <f>F248</f>
        <v>417</v>
      </c>
      <c r="K248" s="155">
        <v>300</v>
      </c>
      <c r="L248" s="155"/>
      <c r="M248" s="155"/>
      <c r="N248" s="155">
        <v>30</v>
      </c>
      <c r="O248" s="155">
        <v>100</v>
      </c>
      <c r="P248" s="155">
        <f>ROUND(F248*0.0875*13,2)</f>
        <v>474.34</v>
      </c>
      <c r="Q248" s="155"/>
      <c r="R248" s="155">
        <f>P248/13</f>
        <v>36.487692307692306</v>
      </c>
      <c r="S248" s="155"/>
      <c r="T248" s="155"/>
      <c r="U248" s="155">
        <f t="shared" ref="U248" si="195">ROUND(F248*0.075*13,2)</f>
        <v>406.58</v>
      </c>
      <c r="V248" s="155">
        <f>U248/13</f>
        <v>31.275384615384613</v>
      </c>
      <c r="W248" s="155"/>
      <c r="X248" s="155"/>
      <c r="Y248" s="155">
        <f>P248+S248+U248+W248</f>
        <v>880.92</v>
      </c>
      <c r="Z248" s="155">
        <f t="shared" ref="Z248" si="196">ROUND(F248*0.01*13,2)</f>
        <v>54.21</v>
      </c>
      <c r="AA248" s="155">
        <f>Z248/13</f>
        <v>4.17</v>
      </c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</row>
    <row r="249" spans="1:38" ht="21.9" customHeight="1">
      <c r="A249" s="172">
        <f t="shared" si="194"/>
        <v>199</v>
      </c>
      <c r="B249" s="177" t="s">
        <v>665</v>
      </c>
      <c r="C249" s="161" t="s">
        <v>664</v>
      </c>
      <c r="D249" s="161" t="s">
        <v>79</v>
      </c>
      <c r="E249" s="163" t="s">
        <v>306</v>
      </c>
      <c r="F249" s="155">
        <v>417</v>
      </c>
      <c r="G249" s="155">
        <f>F249*12</f>
        <v>5004</v>
      </c>
      <c r="H249" s="155">
        <v>70</v>
      </c>
      <c r="I249" s="155"/>
      <c r="J249" s="155">
        <f>F249</f>
        <v>417</v>
      </c>
      <c r="K249" s="155">
        <v>300</v>
      </c>
      <c r="L249" s="155"/>
      <c r="M249" s="155"/>
      <c r="N249" s="155">
        <v>30</v>
      </c>
      <c r="O249" s="155">
        <v>100</v>
      </c>
      <c r="P249" s="155">
        <f>ROUND(F249*0.0875*13,2)</f>
        <v>474.34</v>
      </c>
      <c r="Q249" s="155">
        <f>P249/13</f>
        <v>36.487692307692306</v>
      </c>
      <c r="R249" s="155"/>
      <c r="S249" s="155"/>
      <c r="T249" s="155"/>
      <c r="U249" s="155">
        <f t="shared" si="188"/>
        <v>406.58</v>
      </c>
      <c r="V249" s="155">
        <f>U249/13</f>
        <v>31.275384615384613</v>
      </c>
      <c r="W249" s="155"/>
      <c r="X249" s="155"/>
      <c r="Y249" s="155">
        <f>P249+S249+U249+W249</f>
        <v>880.92</v>
      </c>
      <c r="Z249" s="155">
        <f t="shared" si="189"/>
        <v>54.21</v>
      </c>
      <c r="AA249" s="155">
        <f>Z249/13</f>
        <v>4.17</v>
      </c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</row>
    <row r="250" spans="1:38" ht="21.9" customHeight="1">
      <c r="B250" s="219"/>
      <c r="C250" s="219"/>
      <c r="D250" s="277"/>
      <c r="E250" s="128"/>
      <c r="F250" s="152">
        <f>SUM(F246:F249)</f>
        <v>1951</v>
      </c>
      <c r="G250" s="152">
        <f>SUM(G246:G249)</f>
        <v>23412</v>
      </c>
      <c r="H250" s="152">
        <f t="shared" ref="H250:O250" si="197">SUM(H246:H249)</f>
        <v>280</v>
      </c>
      <c r="I250" s="152">
        <f t="shared" si="197"/>
        <v>0</v>
      </c>
      <c r="J250" s="152">
        <f t="shared" si="197"/>
        <v>1951</v>
      </c>
      <c r="K250" s="152">
        <f t="shared" si="197"/>
        <v>1200</v>
      </c>
      <c r="L250" s="152">
        <f t="shared" si="197"/>
        <v>0</v>
      </c>
      <c r="M250" s="152">
        <f t="shared" si="197"/>
        <v>0</v>
      </c>
      <c r="N250" s="152">
        <f t="shared" si="197"/>
        <v>120</v>
      </c>
      <c r="O250" s="152">
        <f t="shared" si="197"/>
        <v>400</v>
      </c>
      <c r="P250" s="152">
        <f t="shared" ref="P250:X250" si="198">SUM(P246:P249)</f>
        <v>2219.27</v>
      </c>
      <c r="Q250" s="152">
        <f t="shared" si="198"/>
        <v>36.487692307692306</v>
      </c>
      <c r="R250" s="152">
        <f t="shared" si="198"/>
        <v>134.2253846153846</v>
      </c>
      <c r="S250" s="152">
        <f t="shared" si="198"/>
        <v>0</v>
      </c>
      <c r="T250" s="152">
        <f t="shared" si="198"/>
        <v>0</v>
      </c>
      <c r="U250" s="152">
        <f t="shared" si="198"/>
        <v>1902.2399999999998</v>
      </c>
      <c r="V250" s="152">
        <f t="shared" si="198"/>
        <v>146.32615384615383</v>
      </c>
      <c r="W250" s="152">
        <f t="shared" si="198"/>
        <v>0</v>
      </c>
      <c r="X250" s="152">
        <f t="shared" si="198"/>
        <v>0</v>
      </c>
      <c r="Y250" s="152">
        <f>SUM(Y246:Y249)</f>
        <v>4121.51</v>
      </c>
      <c r="Z250" s="152">
        <f>SUM(Z246:Z249)</f>
        <v>253.63000000000002</v>
      </c>
      <c r="AA250" s="152">
        <f>SUM(AA246:AA249)</f>
        <v>19.509999999999998</v>
      </c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</row>
    <row r="251" spans="1:38" ht="21.9" customHeight="1">
      <c r="A251" s="172">
        <f>A249+1</f>
        <v>200</v>
      </c>
      <c r="B251" s="182" t="s">
        <v>703</v>
      </c>
      <c r="C251" s="175" t="s">
        <v>643</v>
      </c>
      <c r="D251" s="161" t="s">
        <v>79</v>
      </c>
      <c r="E251" s="163" t="s">
        <v>306</v>
      </c>
      <c r="F251" s="155">
        <v>547</v>
      </c>
      <c r="G251" s="155">
        <f>F251*12</f>
        <v>6564</v>
      </c>
      <c r="H251" s="155">
        <v>70</v>
      </c>
      <c r="I251" s="155"/>
      <c r="J251" s="155">
        <f>F251</f>
        <v>547</v>
      </c>
      <c r="K251" s="155">
        <v>300</v>
      </c>
      <c r="L251" s="155"/>
      <c r="M251" s="155">
        <v>125</v>
      </c>
      <c r="N251" s="155">
        <v>30</v>
      </c>
      <c r="O251" s="155">
        <v>100</v>
      </c>
      <c r="P251" s="155">
        <f>ROUND(F251*0.0875*13,2)</f>
        <v>622.21</v>
      </c>
      <c r="Q251" s="226"/>
      <c r="R251" s="155">
        <f>P251/13</f>
        <v>47.862307692307695</v>
      </c>
      <c r="S251" s="155"/>
      <c r="T251" s="155"/>
      <c r="U251" s="155">
        <f t="shared" si="188"/>
        <v>533.33000000000004</v>
      </c>
      <c r="V251" s="155">
        <f>U251/13</f>
        <v>41.025384615384617</v>
      </c>
      <c r="W251" s="155"/>
      <c r="X251" s="155"/>
      <c r="Y251" s="155">
        <f>P251+S251+U251+W251</f>
        <v>1155.54</v>
      </c>
      <c r="Z251" s="155">
        <f t="shared" si="189"/>
        <v>71.11</v>
      </c>
      <c r="AA251" s="155">
        <f>Z251/13</f>
        <v>5.47</v>
      </c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</row>
    <row r="252" spans="1:38" ht="21.9" customHeight="1">
      <c r="A252" s="172">
        <f>A251+1</f>
        <v>201</v>
      </c>
      <c r="B252" s="182" t="s">
        <v>91</v>
      </c>
      <c r="C252" s="175" t="s">
        <v>643</v>
      </c>
      <c r="D252" s="161" t="s">
        <v>79</v>
      </c>
      <c r="E252" s="163" t="s">
        <v>306</v>
      </c>
      <c r="F252" s="155">
        <v>417</v>
      </c>
      <c r="G252" s="155">
        <f>F252*12</f>
        <v>5004</v>
      </c>
      <c r="H252" s="155">
        <v>70</v>
      </c>
      <c r="I252" s="155"/>
      <c r="J252" s="155">
        <f>F252</f>
        <v>417</v>
      </c>
      <c r="K252" s="155">
        <v>300</v>
      </c>
      <c r="L252" s="155"/>
      <c r="M252" s="155"/>
      <c r="N252" s="155">
        <v>30</v>
      </c>
      <c r="O252" s="155">
        <v>100</v>
      </c>
      <c r="P252" s="155">
        <f>ROUND(F252*0.0875*13,2)</f>
        <v>474.34</v>
      </c>
      <c r="Q252" s="155">
        <f>P252/13</f>
        <v>36.487692307692306</v>
      </c>
      <c r="R252" s="155"/>
      <c r="S252" s="155"/>
      <c r="T252" s="155"/>
      <c r="U252" s="155">
        <f t="shared" si="188"/>
        <v>406.58</v>
      </c>
      <c r="V252" s="155">
        <f>U252/13</f>
        <v>31.275384615384613</v>
      </c>
      <c r="W252" s="155"/>
      <c r="X252" s="155"/>
      <c r="Y252" s="155">
        <f>P252+S252+U252+W252</f>
        <v>880.92</v>
      </c>
      <c r="Z252" s="155">
        <f t="shared" si="189"/>
        <v>54.21</v>
      </c>
      <c r="AA252" s="155">
        <f>Z252/13</f>
        <v>4.17</v>
      </c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</row>
    <row r="253" spans="1:38" ht="21.9" customHeight="1">
      <c r="C253" s="161"/>
      <c r="D253" s="161"/>
      <c r="E253" s="163"/>
      <c r="F253" s="152">
        <f t="shared" ref="F253:U253" si="199">SUM(F251:F252)</f>
        <v>964</v>
      </c>
      <c r="G253" s="152">
        <f t="shared" si="199"/>
        <v>11568</v>
      </c>
      <c r="H253" s="152">
        <f t="shared" si="199"/>
        <v>140</v>
      </c>
      <c r="I253" s="152">
        <f t="shared" si="199"/>
        <v>0</v>
      </c>
      <c r="J253" s="152">
        <f t="shared" si="199"/>
        <v>964</v>
      </c>
      <c r="K253" s="152">
        <f t="shared" si="199"/>
        <v>600</v>
      </c>
      <c r="L253" s="152">
        <f t="shared" si="199"/>
        <v>0</v>
      </c>
      <c r="M253" s="152">
        <f t="shared" si="199"/>
        <v>125</v>
      </c>
      <c r="N253" s="152">
        <f t="shared" si="199"/>
        <v>60</v>
      </c>
      <c r="O253" s="152">
        <f t="shared" si="199"/>
        <v>200</v>
      </c>
      <c r="P253" s="152">
        <f t="shared" si="199"/>
        <v>1096.55</v>
      </c>
      <c r="Q253" s="152">
        <f t="shared" si="199"/>
        <v>36.487692307692306</v>
      </c>
      <c r="R253" s="152">
        <f t="shared" si="199"/>
        <v>47.862307692307695</v>
      </c>
      <c r="S253" s="152">
        <f t="shared" si="199"/>
        <v>0</v>
      </c>
      <c r="T253" s="152">
        <f t="shared" si="199"/>
        <v>0</v>
      </c>
      <c r="U253" s="152">
        <f t="shared" si="199"/>
        <v>939.91000000000008</v>
      </c>
      <c r="V253" s="152">
        <f>SUM(V251:V252)+0.01</f>
        <v>72.310769230769239</v>
      </c>
      <c r="W253" s="152">
        <f t="shared" ref="W253:AL253" si="200">SUM(W251:W252)</f>
        <v>0</v>
      </c>
      <c r="X253" s="152">
        <f t="shared" si="200"/>
        <v>0</v>
      </c>
      <c r="Y253" s="152">
        <f t="shared" si="200"/>
        <v>2036.46</v>
      </c>
      <c r="Z253" s="152">
        <f t="shared" si="200"/>
        <v>125.32</v>
      </c>
      <c r="AA253" s="152">
        <f t="shared" si="200"/>
        <v>9.64</v>
      </c>
      <c r="AB253" s="152">
        <f t="shared" si="200"/>
        <v>0</v>
      </c>
      <c r="AC253" s="152">
        <f t="shared" si="200"/>
        <v>0</v>
      </c>
      <c r="AD253" s="152">
        <f t="shared" si="200"/>
        <v>0</v>
      </c>
      <c r="AE253" s="152">
        <f t="shared" si="200"/>
        <v>0</v>
      </c>
      <c r="AF253" s="152">
        <f t="shared" si="200"/>
        <v>0</v>
      </c>
      <c r="AG253" s="152">
        <f t="shared" si="200"/>
        <v>0</v>
      </c>
      <c r="AH253" s="152">
        <f t="shared" si="200"/>
        <v>0</v>
      </c>
      <c r="AI253" s="152">
        <f t="shared" si="200"/>
        <v>0</v>
      </c>
      <c r="AJ253" s="152">
        <f t="shared" si="200"/>
        <v>0</v>
      </c>
      <c r="AK253" s="152">
        <f t="shared" si="200"/>
        <v>0</v>
      </c>
      <c r="AL253" s="152">
        <f t="shared" si="200"/>
        <v>0</v>
      </c>
    </row>
    <row r="254" spans="1:38" ht="21.9" customHeight="1">
      <c r="A254" s="172">
        <f>A252+1</f>
        <v>202</v>
      </c>
      <c r="B254" s="179" t="s">
        <v>714</v>
      </c>
      <c r="C254" s="161" t="s">
        <v>666</v>
      </c>
      <c r="D254" s="161" t="s">
        <v>79</v>
      </c>
      <c r="E254" s="163" t="s">
        <v>306</v>
      </c>
      <c r="F254" s="155">
        <v>600</v>
      </c>
      <c r="G254" s="155">
        <f>F254*12</f>
        <v>7200</v>
      </c>
      <c r="H254" s="155">
        <v>70</v>
      </c>
      <c r="I254" s="155"/>
      <c r="J254" s="155">
        <f>F254</f>
        <v>600</v>
      </c>
      <c r="K254" s="155">
        <v>300</v>
      </c>
      <c r="L254" s="155"/>
      <c r="M254" s="155"/>
      <c r="N254" s="155">
        <v>30</v>
      </c>
      <c r="O254" s="155">
        <v>100</v>
      </c>
      <c r="P254" s="155">
        <f>ROUND(F254*0.0875*13,2)</f>
        <v>682.5</v>
      </c>
      <c r="Q254" s="155"/>
      <c r="R254" s="155">
        <f>P254/13</f>
        <v>52.5</v>
      </c>
      <c r="S254" s="155"/>
      <c r="T254" s="155"/>
      <c r="U254" s="155">
        <f t="shared" si="188"/>
        <v>585</v>
      </c>
      <c r="V254" s="155">
        <f>U254/13</f>
        <v>45</v>
      </c>
      <c r="W254" s="155"/>
      <c r="X254" s="155"/>
      <c r="Y254" s="155">
        <f>P254+S254+U254+W254</f>
        <v>1267.5</v>
      </c>
      <c r="Z254" s="155">
        <f t="shared" si="189"/>
        <v>78</v>
      </c>
      <c r="AA254" s="155">
        <f>Z254/13</f>
        <v>6</v>
      </c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</row>
    <row r="255" spans="1:38" ht="21.9" customHeight="1">
      <c r="A255" s="172">
        <f>A254+1</f>
        <v>203</v>
      </c>
      <c r="B255" s="179" t="s">
        <v>650</v>
      </c>
      <c r="C255" s="161" t="s">
        <v>666</v>
      </c>
      <c r="D255" s="161" t="s">
        <v>79</v>
      </c>
      <c r="E255" s="163" t="s">
        <v>306</v>
      </c>
      <c r="F255" s="155">
        <v>597</v>
      </c>
      <c r="G255" s="155">
        <f>F255*12</f>
        <v>7164</v>
      </c>
      <c r="H255" s="155">
        <v>70</v>
      </c>
      <c r="I255" s="155"/>
      <c r="J255" s="155">
        <f>F255</f>
        <v>597</v>
      </c>
      <c r="K255" s="155">
        <v>300</v>
      </c>
      <c r="L255" s="155"/>
      <c r="M255" s="155"/>
      <c r="N255" s="155">
        <v>30</v>
      </c>
      <c r="O255" s="155">
        <v>100</v>
      </c>
      <c r="P255" s="155">
        <f>ROUND(F255*0.0875*13,2)</f>
        <v>679.09</v>
      </c>
      <c r="Q255" s="155"/>
      <c r="R255" s="155">
        <f>P255/13</f>
        <v>52.237692307692313</v>
      </c>
      <c r="S255" s="155"/>
      <c r="T255" s="155"/>
      <c r="U255" s="155">
        <f t="shared" si="188"/>
        <v>582.08000000000004</v>
      </c>
      <c r="V255" s="155">
        <f>U255/13</f>
        <v>44.775384615384617</v>
      </c>
      <c r="W255" s="155"/>
      <c r="X255" s="155"/>
      <c r="Y255" s="155">
        <f>P255+S255+U255+W255</f>
        <v>1261.17</v>
      </c>
      <c r="Z255" s="155">
        <f t="shared" si="189"/>
        <v>77.61</v>
      </c>
      <c r="AA255" s="155">
        <f>Z255/13</f>
        <v>5.97</v>
      </c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</row>
    <row r="256" spans="1:38" ht="21.9" customHeight="1">
      <c r="A256" s="154"/>
      <c r="C256" s="161"/>
      <c r="D256" s="161"/>
      <c r="E256" s="163"/>
      <c r="F256" s="152">
        <f t="shared" ref="F256:U256" si="201">SUM(F254:F255)</f>
        <v>1197</v>
      </c>
      <c r="G256" s="152">
        <f t="shared" si="201"/>
        <v>14364</v>
      </c>
      <c r="H256" s="152">
        <f t="shared" si="201"/>
        <v>140</v>
      </c>
      <c r="I256" s="152">
        <f t="shared" si="201"/>
        <v>0</v>
      </c>
      <c r="J256" s="152">
        <f t="shared" si="201"/>
        <v>1197</v>
      </c>
      <c r="K256" s="152">
        <f t="shared" si="201"/>
        <v>600</v>
      </c>
      <c r="L256" s="152">
        <f t="shared" si="201"/>
        <v>0</v>
      </c>
      <c r="M256" s="152">
        <f t="shared" si="201"/>
        <v>0</v>
      </c>
      <c r="N256" s="152">
        <f t="shared" si="201"/>
        <v>60</v>
      </c>
      <c r="O256" s="152">
        <f t="shared" si="201"/>
        <v>200</v>
      </c>
      <c r="P256" s="152">
        <f t="shared" si="201"/>
        <v>1361.5900000000001</v>
      </c>
      <c r="Q256" s="152">
        <f t="shared" si="201"/>
        <v>0</v>
      </c>
      <c r="R256" s="152">
        <f t="shared" si="201"/>
        <v>104.73769230769231</v>
      </c>
      <c r="S256" s="152">
        <f t="shared" si="201"/>
        <v>0</v>
      </c>
      <c r="T256" s="152">
        <f t="shared" si="201"/>
        <v>0</v>
      </c>
      <c r="U256" s="152">
        <f t="shared" si="201"/>
        <v>1167.08</v>
      </c>
      <c r="V256" s="152">
        <f>SUM(V254:V255)+0.01</f>
        <v>89.785384615384615</v>
      </c>
      <c r="W256" s="152">
        <f>SUM(W254:W255)</f>
        <v>0</v>
      </c>
      <c r="X256" s="152">
        <f>SUM(X254:X255)</f>
        <v>0</v>
      </c>
      <c r="Y256" s="152">
        <f>SUM(Y254:Y255)</f>
        <v>2528.67</v>
      </c>
      <c r="Z256" s="152">
        <f>SUM(Z254:Z255)</f>
        <v>155.61000000000001</v>
      </c>
      <c r="AA256" s="152">
        <f>SUM(AA254:AA255)</f>
        <v>11.969999999999999</v>
      </c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</row>
    <row r="257" spans="1:38" ht="21.9" customHeight="1">
      <c r="A257" s="172">
        <f>A255+1</f>
        <v>204</v>
      </c>
      <c r="B257" s="176" t="s">
        <v>704</v>
      </c>
      <c r="C257" s="161" t="s">
        <v>649</v>
      </c>
      <c r="D257" s="161" t="s">
        <v>79</v>
      </c>
      <c r="E257" s="163" t="s">
        <v>306</v>
      </c>
      <c r="F257" s="155">
        <v>700</v>
      </c>
      <c r="G257" s="155">
        <f t="shared" ref="G257:G259" si="202">F257*12</f>
        <v>8400</v>
      </c>
      <c r="H257" s="155">
        <v>70</v>
      </c>
      <c r="I257" s="155"/>
      <c r="J257" s="155">
        <f t="shared" ref="J257:J259" si="203">F257</f>
        <v>700</v>
      </c>
      <c r="K257" s="155">
        <v>300</v>
      </c>
      <c r="L257" s="155"/>
      <c r="M257" s="155">
        <v>125</v>
      </c>
      <c r="N257" s="155">
        <v>30</v>
      </c>
      <c r="O257" s="155">
        <v>100</v>
      </c>
      <c r="P257" s="155">
        <f t="shared" ref="P257:P259" si="204">ROUND(F257*0.0875*13,2)</f>
        <v>796.25</v>
      </c>
      <c r="Q257" s="155">
        <f>P257/13</f>
        <v>61.25</v>
      </c>
      <c r="R257" s="155"/>
      <c r="S257" s="155"/>
      <c r="T257" s="155"/>
      <c r="U257" s="155">
        <f t="shared" si="188"/>
        <v>682.5</v>
      </c>
      <c r="V257" s="155">
        <f t="shared" ref="V257:V259" si="205">U257/13</f>
        <v>52.5</v>
      </c>
      <c r="W257" s="155"/>
      <c r="X257" s="155"/>
      <c r="Y257" s="155">
        <f t="shared" ref="Y257:Y259" si="206">P257+S257+U257+W257</f>
        <v>1478.75</v>
      </c>
      <c r="Z257" s="155">
        <f t="shared" si="189"/>
        <v>91</v>
      </c>
      <c r="AA257" s="155">
        <f t="shared" ref="AA257:AA259" si="207">Z257/13</f>
        <v>7</v>
      </c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</row>
    <row r="258" spans="1:38" ht="21.9" customHeight="1">
      <c r="A258" s="172">
        <f>A257+1</f>
        <v>205</v>
      </c>
      <c r="B258" s="176" t="s">
        <v>162</v>
      </c>
      <c r="C258" s="161" t="s">
        <v>649</v>
      </c>
      <c r="D258" s="161" t="s">
        <v>79</v>
      </c>
      <c r="E258" s="163" t="s">
        <v>306</v>
      </c>
      <c r="F258" s="155">
        <f>497+50</f>
        <v>547</v>
      </c>
      <c r="G258" s="155">
        <f t="shared" si="202"/>
        <v>6564</v>
      </c>
      <c r="H258" s="155">
        <v>70</v>
      </c>
      <c r="I258" s="155"/>
      <c r="J258" s="155">
        <f t="shared" si="203"/>
        <v>547</v>
      </c>
      <c r="K258" s="155">
        <v>300</v>
      </c>
      <c r="L258" s="155"/>
      <c r="M258" s="155"/>
      <c r="N258" s="155">
        <v>30</v>
      </c>
      <c r="O258" s="155">
        <v>100</v>
      </c>
      <c r="P258" s="155">
        <f t="shared" si="204"/>
        <v>622.21</v>
      </c>
      <c r="Q258" s="155"/>
      <c r="R258" s="155">
        <f>P258/13</f>
        <v>47.862307692307695</v>
      </c>
      <c r="S258" s="155"/>
      <c r="T258" s="155"/>
      <c r="U258" s="155">
        <f t="shared" si="188"/>
        <v>533.33000000000004</v>
      </c>
      <c r="V258" s="155">
        <f t="shared" si="205"/>
        <v>41.025384615384617</v>
      </c>
      <c r="W258" s="155"/>
      <c r="X258" s="155"/>
      <c r="Y258" s="155">
        <f t="shared" si="206"/>
        <v>1155.54</v>
      </c>
      <c r="Z258" s="155">
        <f t="shared" si="189"/>
        <v>71.11</v>
      </c>
      <c r="AA258" s="155">
        <f t="shared" si="207"/>
        <v>5.47</v>
      </c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</row>
    <row r="259" spans="1:38" ht="21.9" customHeight="1">
      <c r="A259" s="172">
        <f>A258+1</f>
        <v>206</v>
      </c>
      <c r="B259" s="179" t="s">
        <v>123</v>
      </c>
      <c r="C259" s="161" t="s">
        <v>649</v>
      </c>
      <c r="D259" s="161" t="s">
        <v>79</v>
      </c>
      <c r="E259" s="163" t="s">
        <v>306</v>
      </c>
      <c r="F259" s="155">
        <v>417</v>
      </c>
      <c r="G259" s="155">
        <f t="shared" si="202"/>
        <v>5004</v>
      </c>
      <c r="H259" s="155">
        <v>70</v>
      </c>
      <c r="I259" s="155"/>
      <c r="J259" s="155">
        <f t="shared" si="203"/>
        <v>417</v>
      </c>
      <c r="K259" s="155">
        <v>300</v>
      </c>
      <c r="L259" s="155"/>
      <c r="M259" s="155">
        <v>125</v>
      </c>
      <c r="N259" s="155">
        <v>30</v>
      </c>
      <c r="O259" s="155">
        <v>100</v>
      </c>
      <c r="P259" s="155">
        <f t="shared" si="204"/>
        <v>474.34</v>
      </c>
      <c r="Q259" s="155"/>
      <c r="R259" s="155">
        <f>P259/13</f>
        <v>36.487692307692306</v>
      </c>
      <c r="S259" s="155"/>
      <c r="T259" s="155"/>
      <c r="U259" s="155">
        <f t="shared" si="188"/>
        <v>406.58</v>
      </c>
      <c r="V259" s="155">
        <f t="shared" si="205"/>
        <v>31.275384615384613</v>
      </c>
      <c r="W259" s="155"/>
      <c r="X259" s="155"/>
      <c r="Y259" s="155">
        <f t="shared" si="206"/>
        <v>880.92</v>
      </c>
      <c r="Z259" s="155">
        <f t="shared" si="189"/>
        <v>54.21</v>
      </c>
      <c r="AA259" s="155">
        <f t="shared" si="207"/>
        <v>4.17</v>
      </c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</row>
    <row r="260" spans="1:38" ht="21.9" customHeight="1">
      <c r="A260" s="172"/>
      <c r="B260" s="207" t="s">
        <v>634</v>
      </c>
      <c r="C260" s="161"/>
      <c r="D260" s="161"/>
      <c r="E260" s="163"/>
      <c r="F260" s="152">
        <f t="shared" ref="F260:U260" si="208">SUM(F257:F259)</f>
        <v>1664</v>
      </c>
      <c r="G260" s="152">
        <f t="shared" si="208"/>
        <v>19968</v>
      </c>
      <c r="H260" s="152">
        <f t="shared" si="208"/>
        <v>210</v>
      </c>
      <c r="I260" s="152">
        <f t="shared" si="208"/>
        <v>0</v>
      </c>
      <c r="J260" s="152">
        <f t="shared" si="208"/>
        <v>1664</v>
      </c>
      <c r="K260" s="152">
        <f t="shared" si="208"/>
        <v>900</v>
      </c>
      <c r="L260" s="152">
        <f t="shared" si="208"/>
        <v>0</v>
      </c>
      <c r="M260" s="152">
        <f t="shared" si="208"/>
        <v>250</v>
      </c>
      <c r="N260" s="152">
        <f t="shared" si="208"/>
        <v>90</v>
      </c>
      <c r="O260" s="152">
        <f t="shared" si="208"/>
        <v>300</v>
      </c>
      <c r="P260" s="152">
        <f t="shared" si="208"/>
        <v>1892.8</v>
      </c>
      <c r="Q260" s="152">
        <f t="shared" si="208"/>
        <v>61.25</v>
      </c>
      <c r="R260" s="152">
        <f t="shared" si="208"/>
        <v>84.35</v>
      </c>
      <c r="S260" s="152">
        <f t="shared" si="208"/>
        <v>0</v>
      </c>
      <c r="T260" s="152">
        <f t="shared" si="208"/>
        <v>0</v>
      </c>
      <c r="U260" s="152">
        <f t="shared" si="208"/>
        <v>1622.4099999999999</v>
      </c>
      <c r="V260" s="152">
        <f>SUM(V257:V259)+0.02</f>
        <v>124.82076923076922</v>
      </c>
      <c r="W260" s="152">
        <f>SUM(W257:W259)</f>
        <v>0</v>
      </c>
      <c r="X260" s="152">
        <f>SUM(X257:X259)</f>
        <v>0</v>
      </c>
      <c r="Y260" s="152">
        <f>SUM(Y257:Y259)</f>
        <v>3515.21</v>
      </c>
      <c r="Z260" s="152">
        <f>SUM(Z257:Z259)</f>
        <v>216.32000000000002</v>
      </c>
      <c r="AA260" s="152">
        <f>SUM(AA257:AA259)</f>
        <v>16.64</v>
      </c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</row>
    <row r="261" spans="1:38" ht="21.9" customHeight="1">
      <c r="A261" s="172">
        <f>A259+1</f>
        <v>207</v>
      </c>
      <c r="B261" s="177" t="s">
        <v>646</v>
      </c>
      <c r="C261" s="161" t="s">
        <v>645</v>
      </c>
      <c r="D261" s="161" t="s">
        <v>79</v>
      </c>
      <c r="E261" s="163" t="s">
        <v>306</v>
      </c>
      <c r="F261" s="155">
        <v>700</v>
      </c>
      <c r="G261" s="155">
        <f t="shared" ref="G261:G267" si="209">F261*12</f>
        <v>8400</v>
      </c>
      <c r="H261" s="155">
        <v>70</v>
      </c>
      <c r="I261" s="155"/>
      <c r="J261" s="155">
        <f t="shared" ref="J261:J266" si="210">F261</f>
        <v>700</v>
      </c>
      <c r="K261" s="155">
        <v>300</v>
      </c>
      <c r="L261" s="155"/>
      <c r="M261" s="155">
        <v>125</v>
      </c>
      <c r="N261" s="155">
        <v>30</v>
      </c>
      <c r="O261" s="155">
        <v>100</v>
      </c>
      <c r="P261" s="155">
        <f t="shared" ref="P261:P267" si="211">ROUND(F261*0.0875*13,2)</f>
        <v>796.25</v>
      </c>
      <c r="Q261" s="226"/>
      <c r="R261" s="155">
        <f t="shared" ref="R261:R267" si="212">P261/13</f>
        <v>61.25</v>
      </c>
      <c r="S261" s="155"/>
      <c r="T261" s="155"/>
      <c r="U261" s="155">
        <f t="shared" si="188"/>
        <v>682.5</v>
      </c>
      <c r="V261" s="155">
        <f t="shared" ref="V261:V267" si="213">U261/13</f>
        <v>52.5</v>
      </c>
      <c r="W261" s="155"/>
      <c r="X261" s="155"/>
      <c r="Y261" s="155">
        <f>P261+S261+U261+W261</f>
        <v>1478.75</v>
      </c>
      <c r="Z261" s="155">
        <f t="shared" si="189"/>
        <v>91</v>
      </c>
      <c r="AA261" s="155">
        <f t="shared" ref="AA261:AA267" si="214">Z261/13</f>
        <v>7</v>
      </c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</row>
    <row r="262" spans="1:38" ht="21.9" customHeight="1">
      <c r="A262" s="172">
        <f t="shared" ref="A262:A266" si="215">A261+1</f>
        <v>208</v>
      </c>
      <c r="B262" s="177" t="s">
        <v>758</v>
      </c>
      <c r="C262" s="161" t="s">
        <v>645</v>
      </c>
      <c r="D262" s="161" t="s">
        <v>79</v>
      </c>
      <c r="E262" s="163" t="s">
        <v>306</v>
      </c>
      <c r="F262" s="155">
        <v>700</v>
      </c>
      <c r="G262" s="155">
        <f t="shared" si="209"/>
        <v>8400</v>
      </c>
      <c r="H262" s="155">
        <v>70</v>
      </c>
      <c r="I262" s="155"/>
      <c r="J262" s="155">
        <f t="shared" si="210"/>
        <v>700</v>
      </c>
      <c r="K262" s="155">
        <v>300</v>
      </c>
      <c r="L262" s="155"/>
      <c r="M262" s="155"/>
      <c r="N262" s="155">
        <v>30</v>
      </c>
      <c r="O262" s="155">
        <v>100</v>
      </c>
      <c r="P262" s="155">
        <f t="shared" si="211"/>
        <v>796.25</v>
      </c>
      <c r="Q262" s="226"/>
      <c r="R262" s="155">
        <f t="shared" si="212"/>
        <v>61.25</v>
      </c>
      <c r="S262" s="155"/>
      <c r="T262" s="155"/>
      <c r="U262" s="155">
        <f t="shared" si="188"/>
        <v>682.5</v>
      </c>
      <c r="V262" s="155">
        <f t="shared" si="213"/>
        <v>52.5</v>
      </c>
      <c r="W262" s="155"/>
      <c r="X262" s="155"/>
      <c r="Y262" s="155">
        <f t="shared" ref="Y262:Y267" si="216">P262+S262+U262+W262</f>
        <v>1478.75</v>
      </c>
      <c r="Z262" s="155">
        <f t="shared" si="189"/>
        <v>91</v>
      </c>
      <c r="AA262" s="155">
        <f t="shared" si="214"/>
        <v>7</v>
      </c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</row>
    <row r="263" spans="1:38" ht="21.9" customHeight="1">
      <c r="A263" s="172">
        <f t="shared" si="215"/>
        <v>209</v>
      </c>
      <c r="B263" s="177" t="s">
        <v>366</v>
      </c>
      <c r="C263" s="161" t="s">
        <v>645</v>
      </c>
      <c r="D263" s="161" t="s">
        <v>79</v>
      </c>
      <c r="E263" s="163" t="s">
        <v>306</v>
      </c>
      <c r="F263" s="155">
        <v>417</v>
      </c>
      <c r="G263" s="155">
        <f t="shared" si="209"/>
        <v>5004</v>
      </c>
      <c r="H263" s="155">
        <v>70</v>
      </c>
      <c r="I263" s="155"/>
      <c r="J263" s="155">
        <f t="shared" si="210"/>
        <v>417</v>
      </c>
      <c r="K263" s="155">
        <v>300</v>
      </c>
      <c r="L263" s="155"/>
      <c r="M263" s="155">
        <v>125</v>
      </c>
      <c r="N263" s="155">
        <v>30</v>
      </c>
      <c r="O263" s="155">
        <v>100</v>
      </c>
      <c r="P263" s="155">
        <f t="shared" si="211"/>
        <v>474.34</v>
      </c>
      <c r="Q263" s="226"/>
      <c r="R263" s="155">
        <f t="shared" si="212"/>
        <v>36.487692307692306</v>
      </c>
      <c r="S263" s="155"/>
      <c r="T263" s="155"/>
      <c r="U263" s="155">
        <f t="shared" si="188"/>
        <v>406.58</v>
      </c>
      <c r="V263" s="155">
        <f t="shared" si="213"/>
        <v>31.275384615384613</v>
      </c>
      <c r="W263" s="155"/>
      <c r="X263" s="155"/>
      <c r="Y263" s="155">
        <f t="shared" si="216"/>
        <v>880.92</v>
      </c>
      <c r="Z263" s="155">
        <f t="shared" si="189"/>
        <v>54.21</v>
      </c>
      <c r="AA263" s="155">
        <f t="shared" si="214"/>
        <v>4.17</v>
      </c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</row>
    <row r="264" spans="1:38" ht="21.9" customHeight="1">
      <c r="A264" s="172">
        <f t="shared" si="215"/>
        <v>210</v>
      </c>
      <c r="B264" s="177" t="s">
        <v>366</v>
      </c>
      <c r="C264" s="161" t="s">
        <v>645</v>
      </c>
      <c r="D264" s="161" t="s">
        <v>79</v>
      </c>
      <c r="E264" s="163" t="s">
        <v>306</v>
      </c>
      <c r="F264" s="155">
        <v>417</v>
      </c>
      <c r="G264" s="155">
        <f t="shared" si="209"/>
        <v>5004</v>
      </c>
      <c r="H264" s="155">
        <v>70</v>
      </c>
      <c r="I264" s="155"/>
      <c r="J264" s="155">
        <f t="shared" si="210"/>
        <v>417</v>
      </c>
      <c r="K264" s="155">
        <v>300</v>
      </c>
      <c r="L264" s="155"/>
      <c r="M264" s="155">
        <v>125</v>
      </c>
      <c r="N264" s="155">
        <v>30</v>
      </c>
      <c r="O264" s="155">
        <v>100</v>
      </c>
      <c r="P264" s="155">
        <f t="shared" si="211"/>
        <v>474.34</v>
      </c>
      <c r="Q264" s="226"/>
      <c r="R264" s="155">
        <f t="shared" si="212"/>
        <v>36.487692307692306</v>
      </c>
      <c r="S264" s="155"/>
      <c r="T264" s="155"/>
      <c r="U264" s="155">
        <f t="shared" si="188"/>
        <v>406.58</v>
      </c>
      <c r="V264" s="155">
        <f t="shared" si="213"/>
        <v>31.275384615384613</v>
      </c>
      <c r="W264" s="155"/>
      <c r="X264" s="155"/>
      <c r="Y264" s="155">
        <f t="shared" si="216"/>
        <v>880.92</v>
      </c>
      <c r="Z264" s="155">
        <f t="shared" si="189"/>
        <v>54.21</v>
      </c>
      <c r="AA264" s="155">
        <f t="shared" si="214"/>
        <v>4.17</v>
      </c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</row>
    <row r="265" spans="1:38" ht="21.9" customHeight="1">
      <c r="A265" s="172">
        <f t="shared" si="215"/>
        <v>211</v>
      </c>
      <c r="B265" s="177" t="s">
        <v>366</v>
      </c>
      <c r="C265" s="161" t="s">
        <v>645</v>
      </c>
      <c r="D265" s="161" t="s">
        <v>79</v>
      </c>
      <c r="E265" s="163" t="s">
        <v>306</v>
      </c>
      <c r="F265" s="155">
        <v>417</v>
      </c>
      <c r="G265" s="155">
        <f t="shared" si="209"/>
        <v>5004</v>
      </c>
      <c r="H265" s="155">
        <v>70</v>
      </c>
      <c r="I265" s="155"/>
      <c r="J265" s="155">
        <f t="shared" si="210"/>
        <v>417</v>
      </c>
      <c r="K265" s="155">
        <v>300</v>
      </c>
      <c r="L265" s="155"/>
      <c r="M265" s="155">
        <v>125</v>
      </c>
      <c r="N265" s="155">
        <v>30</v>
      </c>
      <c r="O265" s="155">
        <v>100</v>
      </c>
      <c r="P265" s="155">
        <f t="shared" si="211"/>
        <v>474.34</v>
      </c>
      <c r="Q265" s="226"/>
      <c r="R265" s="155">
        <f t="shared" si="212"/>
        <v>36.487692307692306</v>
      </c>
      <c r="S265" s="155"/>
      <c r="T265" s="155"/>
      <c r="U265" s="155">
        <f t="shared" si="188"/>
        <v>406.58</v>
      </c>
      <c r="V265" s="155">
        <f t="shared" si="213"/>
        <v>31.275384615384613</v>
      </c>
      <c r="W265" s="155"/>
      <c r="X265" s="155"/>
      <c r="Y265" s="155">
        <f t="shared" si="216"/>
        <v>880.92</v>
      </c>
      <c r="Z265" s="155">
        <f t="shared" si="189"/>
        <v>54.21</v>
      </c>
      <c r="AA265" s="155">
        <f t="shared" si="214"/>
        <v>4.17</v>
      </c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</row>
    <row r="266" spans="1:38" ht="21.9" customHeight="1">
      <c r="A266" s="172">
        <f t="shared" si="215"/>
        <v>212</v>
      </c>
      <c r="B266" s="177" t="s">
        <v>366</v>
      </c>
      <c r="C266" s="161" t="s">
        <v>645</v>
      </c>
      <c r="D266" s="161" t="s">
        <v>79</v>
      </c>
      <c r="E266" s="163" t="s">
        <v>306</v>
      </c>
      <c r="F266" s="155">
        <v>417</v>
      </c>
      <c r="G266" s="155">
        <f t="shared" si="209"/>
        <v>5004</v>
      </c>
      <c r="H266" s="155">
        <v>70</v>
      </c>
      <c r="I266" s="155"/>
      <c r="J266" s="155">
        <f t="shared" si="210"/>
        <v>417</v>
      </c>
      <c r="K266" s="155">
        <v>300</v>
      </c>
      <c r="L266" s="155"/>
      <c r="M266" s="155">
        <v>125</v>
      </c>
      <c r="N266" s="155">
        <v>30</v>
      </c>
      <c r="O266" s="155">
        <v>100</v>
      </c>
      <c r="P266" s="155">
        <f t="shared" si="211"/>
        <v>474.34</v>
      </c>
      <c r="Q266" s="226"/>
      <c r="R266" s="155">
        <f t="shared" si="212"/>
        <v>36.487692307692306</v>
      </c>
      <c r="S266" s="155"/>
      <c r="T266" s="155"/>
      <c r="U266" s="155">
        <f t="shared" si="188"/>
        <v>406.58</v>
      </c>
      <c r="V266" s="155">
        <f t="shared" si="213"/>
        <v>31.275384615384613</v>
      </c>
      <c r="W266" s="155"/>
      <c r="X266" s="155"/>
      <c r="Y266" s="155">
        <f t="shared" si="216"/>
        <v>880.92</v>
      </c>
      <c r="Z266" s="155">
        <f t="shared" si="189"/>
        <v>54.21</v>
      </c>
      <c r="AA266" s="155">
        <f t="shared" si="214"/>
        <v>4.17</v>
      </c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</row>
    <row r="267" spans="1:38" ht="21.9" customHeight="1">
      <c r="A267" s="172">
        <f>A266+1</f>
        <v>213</v>
      </c>
      <c r="B267" s="177" t="s">
        <v>366</v>
      </c>
      <c r="C267" s="161" t="s">
        <v>645</v>
      </c>
      <c r="D267" s="161" t="s">
        <v>79</v>
      </c>
      <c r="E267" s="163" t="s">
        <v>306</v>
      </c>
      <c r="F267" s="155">
        <v>597</v>
      </c>
      <c r="G267" s="155">
        <f t="shared" si="209"/>
        <v>7164</v>
      </c>
      <c r="H267" s="155">
        <v>70</v>
      </c>
      <c r="I267" s="155"/>
      <c r="J267" s="155">
        <f>F267</f>
        <v>597</v>
      </c>
      <c r="K267" s="155">
        <v>300</v>
      </c>
      <c r="L267" s="155"/>
      <c r="M267" s="155"/>
      <c r="N267" s="155">
        <v>30</v>
      </c>
      <c r="O267" s="155">
        <v>100</v>
      </c>
      <c r="P267" s="155">
        <f t="shared" si="211"/>
        <v>679.09</v>
      </c>
      <c r="Q267" s="226"/>
      <c r="R267" s="155">
        <f t="shared" si="212"/>
        <v>52.237692307692313</v>
      </c>
      <c r="S267" s="155"/>
      <c r="T267" s="155"/>
      <c r="U267" s="155">
        <f t="shared" si="188"/>
        <v>582.08000000000004</v>
      </c>
      <c r="V267" s="155">
        <f t="shared" si="213"/>
        <v>44.775384615384617</v>
      </c>
      <c r="W267" s="155"/>
      <c r="X267" s="155"/>
      <c r="Y267" s="155">
        <f t="shared" si="216"/>
        <v>1261.17</v>
      </c>
      <c r="Z267" s="155">
        <f t="shared" si="189"/>
        <v>77.61</v>
      </c>
      <c r="AA267" s="155">
        <f t="shared" si="214"/>
        <v>5.97</v>
      </c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</row>
    <row r="268" spans="1:38" ht="21.9" customHeight="1">
      <c r="B268" s="207" t="s">
        <v>667</v>
      </c>
      <c r="C268" s="161"/>
      <c r="D268" s="161"/>
      <c r="E268" s="163"/>
      <c r="F268" s="152">
        <f>SUM(F261:F267)</f>
        <v>3665</v>
      </c>
      <c r="G268" s="152">
        <f>SUM(G261:G267)</f>
        <v>43980</v>
      </c>
      <c r="H268" s="152">
        <f t="shared" ref="H268:AA268" si="217">SUM(H261:H267)</f>
        <v>490</v>
      </c>
      <c r="I268" s="152">
        <f t="shared" si="217"/>
        <v>0</v>
      </c>
      <c r="J268" s="152">
        <f t="shared" si="217"/>
        <v>3665</v>
      </c>
      <c r="K268" s="152">
        <f t="shared" si="217"/>
        <v>2100</v>
      </c>
      <c r="L268" s="152">
        <f t="shared" si="217"/>
        <v>0</v>
      </c>
      <c r="M268" s="152">
        <f>SUM(M261:M267)</f>
        <v>625</v>
      </c>
      <c r="N268" s="152">
        <f>SUM(N261:N267)</f>
        <v>210</v>
      </c>
      <c r="O268" s="152">
        <f>SUM(O261:O267)</f>
        <v>700</v>
      </c>
      <c r="P268" s="152">
        <f>SUM(P261:P267)</f>
        <v>4168.9500000000007</v>
      </c>
      <c r="Q268" s="152">
        <f t="shared" si="217"/>
        <v>0</v>
      </c>
      <c r="R268" s="152">
        <f>SUM(R261:R267)+0.01</f>
        <v>320.69846153846152</v>
      </c>
      <c r="S268" s="152">
        <f t="shared" si="217"/>
        <v>0</v>
      </c>
      <c r="T268" s="152">
        <f t="shared" si="217"/>
        <v>0</v>
      </c>
      <c r="U268" s="152">
        <f>SUM(U261:U267)</f>
        <v>3573.3999999999996</v>
      </c>
      <c r="V268" s="152">
        <f>SUM(V261:V267)+0.03</f>
        <v>274.90692307692302</v>
      </c>
      <c r="W268" s="152">
        <f t="shared" si="217"/>
        <v>0</v>
      </c>
      <c r="X268" s="152">
        <f t="shared" si="217"/>
        <v>0</v>
      </c>
      <c r="Y268" s="152">
        <f t="shared" si="217"/>
        <v>7742.35</v>
      </c>
      <c r="Z268" s="152">
        <f t="shared" si="217"/>
        <v>476.45</v>
      </c>
      <c r="AA268" s="152">
        <f t="shared" si="217"/>
        <v>36.650000000000006</v>
      </c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</row>
    <row r="269" spans="1:38" ht="21.9" customHeight="1">
      <c r="A269" s="172">
        <f>A267+1</f>
        <v>214</v>
      </c>
      <c r="B269" s="178" t="s">
        <v>96</v>
      </c>
      <c r="C269" s="161" t="s">
        <v>696</v>
      </c>
      <c r="D269" s="161" t="s">
        <v>79</v>
      </c>
      <c r="E269" s="163" t="s">
        <v>306</v>
      </c>
      <c r="F269" s="155">
        <f>467+30+50+50</f>
        <v>597</v>
      </c>
      <c r="G269" s="155">
        <f>F269*12</f>
        <v>7164</v>
      </c>
      <c r="H269" s="155">
        <v>70</v>
      </c>
      <c r="I269" s="155"/>
      <c r="J269" s="155">
        <f>F269</f>
        <v>597</v>
      </c>
      <c r="K269" s="155">
        <v>300</v>
      </c>
      <c r="L269" s="155"/>
      <c r="M269" s="155">
        <v>125</v>
      </c>
      <c r="N269" s="155">
        <v>30</v>
      </c>
      <c r="O269" s="155">
        <v>100</v>
      </c>
      <c r="P269" s="155">
        <f>ROUND(F269*0.0875*13,2)</f>
        <v>679.09</v>
      </c>
      <c r="Q269" s="155">
        <f>P269/13</f>
        <v>52.237692307692313</v>
      </c>
      <c r="R269" s="155"/>
      <c r="S269" s="155"/>
      <c r="T269" s="155"/>
      <c r="U269" s="155">
        <f t="shared" si="188"/>
        <v>582.08000000000004</v>
      </c>
      <c r="V269" s="155">
        <f>U269/13</f>
        <v>44.775384615384617</v>
      </c>
      <c r="W269" s="155"/>
      <c r="X269" s="155"/>
      <c r="Y269" s="155">
        <f>P269+S269+U269+W269</f>
        <v>1261.17</v>
      </c>
      <c r="Z269" s="155">
        <f t="shared" si="189"/>
        <v>77.61</v>
      </c>
      <c r="AA269" s="155">
        <f>Z269/13</f>
        <v>5.97</v>
      </c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</row>
    <row r="270" spans="1:38" ht="21.9" customHeight="1">
      <c r="A270" s="233"/>
      <c r="B270" s="207" t="s">
        <v>98</v>
      </c>
      <c r="C270" s="161"/>
      <c r="D270" s="161"/>
      <c r="E270" s="163"/>
      <c r="F270" s="152">
        <f>SUM(F269)</f>
        <v>597</v>
      </c>
      <c r="G270" s="152">
        <f>SUM(G269)</f>
        <v>7164</v>
      </c>
      <c r="H270" s="152">
        <f>SUM(H269)</f>
        <v>70</v>
      </c>
      <c r="I270" s="155"/>
      <c r="J270" s="152">
        <f>SUM(J269)</f>
        <v>597</v>
      </c>
      <c r="K270" s="152">
        <f>SUM(K269)</f>
        <v>300</v>
      </c>
      <c r="L270" s="155"/>
      <c r="M270" s="152">
        <f t="shared" ref="M270:S270" si="218">SUM(M269)</f>
        <v>125</v>
      </c>
      <c r="N270" s="152">
        <f t="shared" si="218"/>
        <v>30</v>
      </c>
      <c r="O270" s="152">
        <f>SUM(O269)</f>
        <v>100</v>
      </c>
      <c r="P270" s="152">
        <f t="shared" si="218"/>
        <v>679.09</v>
      </c>
      <c r="Q270" s="152">
        <f t="shared" si="218"/>
        <v>52.237692307692313</v>
      </c>
      <c r="R270" s="152">
        <f t="shared" si="218"/>
        <v>0</v>
      </c>
      <c r="S270" s="155">
        <f t="shared" si="218"/>
        <v>0</v>
      </c>
      <c r="T270" s="155"/>
      <c r="U270" s="152">
        <f>SUM(U269)</f>
        <v>582.08000000000004</v>
      </c>
      <c r="V270" s="152">
        <f>SUM(V269)</f>
        <v>44.775384615384617</v>
      </c>
      <c r="W270" s="155"/>
      <c r="X270" s="155"/>
      <c r="Y270" s="152">
        <f>SUM(Y269)</f>
        <v>1261.17</v>
      </c>
      <c r="Z270" s="152">
        <f>SUM(Z269)</f>
        <v>77.61</v>
      </c>
      <c r="AA270" s="152">
        <f>AA269</f>
        <v>5.97</v>
      </c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</row>
    <row r="271" spans="1:38" ht="21.9" customHeight="1">
      <c r="B271" s="292" t="s">
        <v>671</v>
      </c>
      <c r="C271" s="293"/>
      <c r="D271" s="293"/>
      <c r="E271" s="294"/>
      <c r="F271" s="153">
        <f t="shared" ref="F271:P271" si="219">SUM(F270,F268,F260,F256,F253,F250,F245,F239,F235,F229,F212)</f>
        <v>31295</v>
      </c>
      <c r="G271" s="153">
        <f t="shared" si="219"/>
        <v>375540</v>
      </c>
      <c r="H271" s="153">
        <f t="shared" si="219"/>
        <v>3710</v>
      </c>
      <c r="I271" s="153">
        <f t="shared" ca="1" si="219"/>
        <v>0</v>
      </c>
      <c r="J271" s="153">
        <f t="shared" si="219"/>
        <v>31295</v>
      </c>
      <c r="K271" s="153">
        <f t="shared" si="219"/>
        <v>15900</v>
      </c>
      <c r="L271" s="152">
        <f t="shared" si="219"/>
        <v>0</v>
      </c>
      <c r="M271" s="152">
        <f t="shared" si="219"/>
        <v>4500</v>
      </c>
      <c r="N271" s="152">
        <f t="shared" si="219"/>
        <v>1590</v>
      </c>
      <c r="O271" s="152">
        <f t="shared" si="219"/>
        <v>5300</v>
      </c>
      <c r="P271" s="152">
        <f t="shared" si="219"/>
        <v>34805.300000000003</v>
      </c>
      <c r="Q271" s="152">
        <f>SUM(Q270,Q268,Q260,Q256,Q253,Q250,Q245,Q239,Q235,Q229,Q212)+0.01</f>
        <v>950.18461538461531</v>
      </c>
      <c r="R271" s="152">
        <f>SUM(R270,R268,R260,R256,R253,R250,R245,R239,R235,R229,R212)</f>
        <v>1727.1961538461542</v>
      </c>
      <c r="S271" s="152">
        <f>SUM(S270,S268,S260,S256,S253,S250,S245,S239,S235,S229,S212)</f>
        <v>0</v>
      </c>
      <c r="T271" s="152">
        <f>SUM(T270,T268,T260,T256,T253,T250,T245,T239,T235,T229,T212)</f>
        <v>0</v>
      </c>
      <c r="U271" s="152">
        <f>SUM(U270,U268,U260,U256,U253,U250,U245,U239,U235,U229,U212)</f>
        <v>30535.219999999998</v>
      </c>
      <c r="V271" s="152">
        <f>SUM(V270,V268,V260,V256,V253,V250,V245,V239,V235,V229,V212)+0.03</f>
        <v>2349.043076923077</v>
      </c>
      <c r="W271" s="152">
        <f t="shared" ref="W271:AL271" si="220">SUM(W270,W268,W260,W256,W253,W250,W245,W239,W235,W229,W212)</f>
        <v>543.66</v>
      </c>
      <c r="X271" s="152">
        <f t="shared" si="220"/>
        <v>34.020000000000003</v>
      </c>
      <c r="Y271" s="152">
        <f t="shared" si="220"/>
        <v>65884.179999999993</v>
      </c>
      <c r="Z271" s="152">
        <f t="shared" si="220"/>
        <v>4097.34</v>
      </c>
      <c r="AA271" s="152">
        <f t="shared" si="220"/>
        <v>315.18</v>
      </c>
      <c r="AB271" s="152">
        <f t="shared" si="220"/>
        <v>0</v>
      </c>
      <c r="AC271" s="152">
        <f t="shared" si="220"/>
        <v>0</v>
      </c>
      <c r="AD271" s="152">
        <f t="shared" si="220"/>
        <v>0</v>
      </c>
      <c r="AE271" s="152">
        <f t="shared" si="220"/>
        <v>0</v>
      </c>
      <c r="AF271" s="152">
        <f t="shared" si="220"/>
        <v>0</v>
      </c>
      <c r="AG271" s="152">
        <f t="shared" si="220"/>
        <v>0</v>
      </c>
      <c r="AH271" s="152">
        <f t="shared" si="220"/>
        <v>0</v>
      </c>
      <c r="AI271" s="152">
        <f t="shared" si="220"/>
        <v>0</v>
      </c>
      <c r="AJ271" s="152">
        <f t="shared" si="220"/>
        <v>0</v>
      </c>
      <c r="AK271" s="152">
        <f t="shared" si="220"/>
        <v>0</v>
      </c>
      <c r="AL271" s="152">
        <f t="shared" si="220"/>
        <v>0</v>
      </c>
    </row>
    <row r="272" spans="1:38" ht="21.9" customHeight="1">
      <c r="A272" s="172">
        <f>A269+1</f>
        <v>215</v>
      </c>
      <c r="B272" s="178" t="s">
        <v>323</v>
      </c>
      <c r="C272" s="161" t="s">
        <v>324</v>
      </c>
      <c r="D272" s="161" t="s">
        <v>79</v>
      </c>
      <c r="E272" s="163" t="s">
        <v>351</v>
      </c>
      <c r="F272" s="155">
        <v>1500</v>
      </c>
      <c r="G272" s="155">
        <f t="shared" ref="G272:G277" si="221">F272*12</f>
        <v>18000</v>
      </c>
      <c r="H272" s="155">
        <v>70</v>
      </c>
      <c r="I272" s="155"/>
      <c r="J272" s="155">
        <v>1500</v>
      </c>
      <c r="K272" s="155">
        <v>300</v>
      </c>
      <c r="L272" s="155"/>
      <c r="M272" s="155">
        <v>125</v>
      </c>
      <c r="N272" s="155">
        <v>30</v>
      </c>
      <c r="O272" s="155">
        <v>100</v>
      </c>
      <c r="P272" s="155">
        <f>ROUND(F272*0.0875*13,2)</f>
        <v>1706.25</v>
      </c>
      <c r="Q272" s="155">
        <f>P272/13</f>
        <v>131.25</v>
      </c>
      <c r="R272" s="155"/>
      <c r="S272" s="155"/>
      <c r="T272" s="155"/>
      <c r="U272" s="155">
        <f>75*13</f>
        <v>975</v>
      </c>
      <c r="V272" s="155">
        <f t="shared" ref="V272:V277" si="222">U272/13</f>
        <v>75</v>
      </c>
      <c r="W272" s="155"/>
      <c r="X272" s="155"/>
      <c r="Y272" s="155">
        <f t="shared" ref="Y272:Y277" si="223">P272+S272+U272+W272</f>
        <v>2681.25</v>
      </c>
      <c r="Z272" s="155">
        <f>10*13</f>
        <v>130</v>
      </c>
      <c r="AA272" s="155">
        <f t="shared" ref="AA272:AA277" si="224">Z272/13</f>
        <v>10</v>
      </c>
      <c r="AB272" s="155"/>
      <c r="AC272" s="225"/>
      <c r="AD272" s="155"/>
      <c r="AE272" s="225"/>
      <c r="AF272" s="155"/>
      <c r="AG272" s="155"/>
      <c r="AH272" s="155"/>
      <c r="AI272" s="155"/>
      <c r="AJ272" s="155"/>
      <c r="AK272" s="155"/>
      <c r="AL272" s="155"/>
    </row>
    <row r="273" spans="1:38" ht="21.9" customHeight="1">
      <c r="A273" s="172">
        <f>A272+1</f>
        <v>216</v>
      </c>
      <c r="B273" s="177" t="s">
        <v>342</v>
      </c>
      <c r="C273" s="161" t="s">
        <v>324</v>
      </c>
      <c r="D273" s="161" t="s">
        <v>79</v>
      </c>
      <c r="E273" s="163" t="s">
        <v>351</v>
      </c>
      <c r="F273" s="155">
        <v>1000</v>
      </c>
      <c r="G273" s="155">
        <f>F273*12</f>
        <v>12000</v>
      </c>
      <c r="H273" s="155">
        <v>70</v>
      </c>
      <c r="I273" s="155"/>
      <c r="J273" s="155">
        <f>F273</f>
        <v>1000</v>
      </c>
      <c r="K273" s="155">
        <v>300</v>
      </c>
      <c r="L273" s="155"/>
      <c r="M273" s="155"/>
      <c r="N273" s="155">
        <v>30</v>
      </c>
      <c r="O273" s="155">
        <v>100</v>
      </c>
      <c r="P273" s="155">
        <f>ROUND(F273*0.0875*13,2)</f>
        <v>1137.5</v>
      </c>
      <c r="Q273" s="155"/>
      <c r="R273" s="155">
        <f>P273/13</f>
        <v>87.5</v>
      </c>
      <c r="S273" s="155"/>
      <c r="T273" s="155"/>
      <c r="U273" s="155">
        <f>ROUND(F273*0.075*13,2)</f>
        <v>975</v>
      </c>
      <c r="V273" s="155">
        <f>U273/13</f>
        <v>75</v>
      </c>
      <c r="W273" s="155"/>
      <c r="X273" s="155"/>
      <c r="Y273" s="155">
        <f>P273+S273+U273+W273</f>
        <v>2112.5</v>
      </c>
      <c r="Z273" s="155">
        <f>ROUND(F273*0.01*13,2)</f>
        <v>130</v>
      </c>
      <c r="AA273" s="155">
        <f>Z273/13</f>
        <v>10</v>
      </c>
      <c r="AB273" s="225"/>
      <c r="AC273" s="225"/>
      <c r="AD273" s="155"/>
      <c r="AE273" s="225"/>
      <c r="AF273" s="155"/>
      <c r="AG273" s="155"/>
      <c r="AH273" s="225"/>
      <c r="AI273" s="225"/>
      <c r="AJ273" s="225"/>
      <c r="AK273" s="225"/>
      <c r="AL273" s="155"/>
    </row>
    <row r="274" spans="1:38" ht="21.9" customHeight="1">
      <c r="A274" s="172">
        <f>A273+1</f>
        <v>217</v>
      </c>
      <c r="B274" s="177" t="s">
        <v>328</v>
      </c>
      <c r="C274" s="161" t="s">
        <v>324</v>
      </c>
      <c r="D274" s="161" t="s">
        <v>79</v>
      </c>
      <c r="E274" s="163" t="s">
        <v>351</v>
      </c>
      <c r="F274" s="155">
        <f>612+30+50+50</f>
        <v>742</v>
      </c>
      <c r="G274" s="155">
        <f t="shared" si="221"/>
        <v>8904</v>
      </c>
      <c r="H274" s="155">
        <v>70</v>
      </c>
      <c r="I274" s="155"/>
      <c r="J274" s="155">
        <f>F274</f>
        <v>742</v>
      </c>
      <c r="K274" s="155">
        <v>300</v>
      </c>
      <c r="L274" s="155"/>
      <c r="M274" s="155"/>
      <c r="N274" s="155">
        <v>30</v>
      </c>
      <c r="O274" s="155">
        <v>100</v>
      </c>
      <c r="P274" s="155">
        <f>ROUND(F274*0.0875*13,2)</f>
        <v>844.03</v>
      </c>
      <c r="Q274" s="155">
        <f>P274/13</f>
        <v>64.925384615384615</v>
      </c>
      <c r="R274" s="155"/>
      <c r="S274" s="155"/>
      <c r="T274" s="155"/>
      <c r="U274" s="155">
        <f>ROUND(F274*0.075*13,2)</f>
        <v>723.45</v>
      </c>
      <c r="V274" s="155">
        <f t="shared" si="222"/>
        <v>55.650000000000006</v>
      </c>
      <c r="W274" s="155"/>
      <c r="X274" s="155"/>
      <c r="Y274" s="155">
        <f t="shared" si="223"/>
        <v>1567.48</v>
      </c>
      <c r="Z274" s="155">
        <f>ROUND(F274*0.01*13,2)</f>
        <v>96.46</v>
      </c>
      <c r="AA274" s="155">
        <f t="shared" si="224"/>
        <v>7.42</v>
      </c>
      <c r="AB274" s="225"/>
      <c r="AC274" s="225"/>
      <c r="AD274" s="155"/>
      <c r="AE274" s="225"/>
      <c r="AF274" s="155"/>
      <c r="AG274" s="155"/>
      <c r="AH274" s="225"/>
      <c r="AI274" s="225"/>
      <c r="AJ274" s="225"/>
      <c r="AK274" s="225"/>
      <c r="AL274" s="155"/>
    </row>
    <row r="275" spans="1:38" ht="21.9" customHeight="1">
      <c r="A275" s="172">
        <f>A274+1</f>
        <v>218</v>
      </c>
      <c r="B275" s="177" t="s">
        <v>135</v>
      </c>
      <c r="C275" s="161" t="s">
        <v>324</v>
      </c>
      <c r="D275" s="161" t="s">
        <v>79</v>
      </c>
      <c r="E275" s="163" t="s">
        <v>351</v>
      </c>
      <c r="F275" s="155">
        <f>617.72+30+50+50</f>
        <v>747.72</v>
      </c>
      <c r="G275" s="155">
        <f t="shared" si="221"/>
        <v>8972.64</v>
      </c>
      <c r="H275" s="155">
        <v>70</v>
      </c>
      <c r="I275" s="155"/>
      <c r="J275" s="155">
        <f>F275</f>
        <v>747.72</v>
      </c>
      <c r="K275" s="155">
        <v>300</v>
      </c>
      <c r="L275" s="155"/>
      <c r="M275" s="155"/>
      <c r="N275" s="155">
        <v>30</v>
      </c>
      <c r="O275" s="155">
        <v>100</v>
      </c>
      <c r="P275" s="155">
        <f>ROUND(F275*0.0875*13,2)</f>
        <v>850.53</v>
      </c>
      <c r="Q275" s="155"/>
      <c r="R275" s="155">
        <f>P275/13</f>
        <v>65.425384615384615</v>
      </c>
      <c r="S275" s="155"/>
      <c r="T275" s="155"/>
      <c r="U275" s="155">
        <f>ROUND(F275*0.075*13,2)</f>
        <v>729.03</v>
      </c>
      <c r="V275" s="155">
        <f t="shared" si="222"/>
        <v>56.079230769230769</v>
      </c>
      <c r="W275" s="155"/>
      <c r="X275" s="155">
        <f>W275/12</f>
        <v>0</v>
      </c>
      <c r="Y275" s="155">
        <f t="shared" si="223"/>
        <v>1579.56</v>
      </c>
      <c r="Z275" s="155">
        <f>ROUND(F275*0.01*13,2)</f>
        <v>97.2</v>
      </c>
      <c r="AA275" s="155">
        <f t="shared" si="224"/>
        <v>7.476923076923077</v>
      </c>
      <c r="AB275" s="225"/>
      <c r="AC275" s="225"/>
      <c r="AD275" s="155"/>
      <c r="AE275" s="225"/>
      <c r="AF275" s="225"/>
      <c r="AG275" s="155"/>
      <c r="AH275" s="225"/>
      <c r="AI275" s="225"/>
      <c r="AJ275" s="225"/>
      <c r="AK275" s="225"/>
      <c r="AL275" s="155"/>
    </row>
    <row r="276" spans="1:38" ht="21.9" customHeight="1">
      <c r="A276" s="172">
        <f>A275+1</f>
        <v>219</v>
      </c>
      <c r="B276" s="176" t="s">
        <v>629</v>
      </c>
      <c r="C276" s="161" t="s">
        <v>324</v>
      </c>
      <c r="D276" s="161" t="s">
        <v>79</v>
      </c>
      <c r="E276" s="163" t="s">
        <v>351</v>
      </c>
      <c r="F276" s="155">
        <f>667+50</f>
        <v>717</v>
      </c>
      <c r="G276" s="155">
        <f t="shared" si="221"/>
        <v>8604</v>
      </c>
      <c r="H276" s="155">
        <v>70</v>
      </c>
      <c r="I276" s="155"/>
      <c r="J276" s="155">
        <f>F276</f>
        <v>717</v>
      </c>
      <c r="K276" s="155">
        <v>300</v>
      </c>
      <c r="L276" s="155"/>
      <c r="M276" s="155"/>
      <c r="N276" s="155">
        <v>30</v>
      </c>
      <c r="O276" s="155">
        <v>100</v>
      </c>
      <c r="P276" s="155">
        <f>ROUND(F276*0.0875*13,2)</f>
        <v>815.59</v>
      </c>
      <c r="Q276" s="155"/>
      <c r="R276" s="155">
        <f>P276/13</f>
        <v>62.737692307692313</v>
      </c>
      <c r="S276" s="155"/>
      <c r="T276" s="155"/>
      <c r="U276" s="155">
        <f>ROUND(F276*0.075*13,2)</f>
        <v>699.08</v>
      </c>
      <c r="V276" s="155">
        <f t="shared" si="222"/>
        <v>53.775384615384617</v>
      </c>
      <c r="W276" s="155"/>
      <c r="X276" s="155"/>
      <c r="Y276" s="155">
        <f t="shared" si="223"/>
        <v>1514.67</v>
      </c>
      <c r="Z276" s="155">
        <f>ROUND(F276*0.01*13,2)</f>
        <v>93.21</v>
      </c>
      <c r="AA276" s="155">
        <f t="shared" si="224"/>
        <v>7.17</v>
      </c>
      <c r="AB276" s="225"/>
      <c r="AC276" s="225"/>
      <c r="AD276" s="155"/>
      <c r="AE276" s="225"/>
      <c r="AF276" s="155"/>
      <c r="AG276" s="155"/>
      <c r="AH276" s="225"/>
      <c r="AI276" s="225"/>
      <c r="AJ276" s="225"/>
      <c r="AK276" s="225"/>
      <c r="AL276" s="155"/>
    </row>
    <row r="277" spans="1:38" ht="21.9" customHeight="1">
      <c r="A277" s="154">
        <f>A276+1</f>
        <v>220</v>
      </c>
      <c r="B277" s="177" t="s">
        <v>630</v>
      </c>
      <c r="C277" s="161" t="s">
        <v>324</v>
      </c>
      <c r="D277" s="161" t="s">
        <v>79</v>
      </c>
      <c r="E277" s="163" t="s">
        <v>351</v>
      </c>
      <c r="F277" s="155">
        <f>567+30+50+50</f>
        <v>697</v>
      </c>
      <c r="G277" s="155">
        <f t="shared" si="221"/>
        <v>8364</v>
      </c>
      <c r="H277" s="155">
        <v>70</v>
      </c>
      <c r="I277" s="155"/>
      <c r="J277" s="155">
        <f>F277</f>
        <v>697</v>
      </c>
      <c r="K277" s="155">
        <v>300</v>
      </c>
      <c r="L277" s="155"/>
      <c r="M277" s="155">
        <v>125</v>
      </c>
      <c r="N277" s="155">
        <v>30</v>
      </c>
      <c r="O277" s="155">
        <v>100</v>
      </c>
      <c r="P277" s="155"/>
      <c r="Q277" s="155"/>
      <c r="R277" s="155"/>
      <c r="S277" s="155">
        <f>F277*0.075*13</f>
        <v>679.57499999999993</v>
      </c>
      <c r="T277" s="155">
        <f>S277/12</f>
        <v>56.631249999999994</v>
      </c>
      <c r="U277" s="155">
        <f>ROUND(F277*0.075*13,2)</f>
        <v>679.58</v>
      </c>
      <c r="V277" s="155">
        <f t="shared" si="222"/>
        <v>52.275384615384617</v>
      </c>
      <c r="W277" s="155"/>
      <c r="X277" s="155"/>
      <c r="Y277" s="155">
        <f t="shared" si="223"/>
        <v>1359.155</v>
      </c>
      <c r="Z277" s="155">
        <f>ROUND(F277*0.01*13,2)</f>
        <v>90.61</v>
      </c>
      <c r="AA277" s="155">
        <f t="shared" si="224"/>
        <v>6.97</v>
      </c>
      <c r="AB277" s="225"/>
      <c r="AC277" s="225"/>
      <c r="AD277" s="155"/>
      <c r="AE277" s="225"/>
      <c r="AF277" s="155"/>
      <c r="AG277" s="155"/>
      <c r="AH277" s="225"/>
      <c r="AI277" s="225"/>
      <c r="AJ277" s="225"/>
      <c r="AK277" s="225"/>
      <c r="AL277" s="155"/>
    </row>
    <row r="278" spans="1:38" ht="21.9" customHeight="1">
      <c r="B278" s="207" t="s">
        <v>337</v>
      </c>
      <c r="C278" s="210"/>
      <c r="D278" s="161"/>
      <c r="E278" s="163"/>
      <c r="F278" s="152">
        <f>SUM(F272:F277)</f>
        <v>5403.72</v>
      </c>
      <c r="G278" s="152">
        <f>SUM(G272:G277)</f>
        <v>64844.639999999999</v>
      </c>
      <c r="H278" s="152">
        <f>SUM(H272:H277)</f>
        <v>420</v>
      </c>
      <c r="I278" s="152">
        <f>SUM(I274:I277)</f>
        <v>0</v>
      </c>
      <c r="J278" s="152">
        <f>SUM(J272:J277)</f>
        <v>5403.72</v>
      </c>
      <c r="K278" s="152">
        <f>SUM(K272:K277)</f>
        <v>1800</v>
      </c>
      <c r="L278" s="152">
        <f>SUM(L274:L277)</f>
        <v>0</v>
      </c>
      <c r="M278" s="152">
        <f t="shared" ref="M278:U278" si="225">SUM(M272:M277)</f>
        <v>250</v>
      </c>
      <c r="N278" s="152">
        <f t="shared" si="225"/>
        <v>180</v>
      </c>
      <c r="O278" s="152">
        <f t="shared" si="225"/>
        <v>600</v>
      </c>
      <c r="P278" s="152">
        <f t="shared" si="225"/>
        <v>5353.9</v>
      </c>
      <c r="Q278" s="152">
        <f t="shared" si="225"/>
        <v>196.17538461538462</v>
      </c>
      <c r="R278" s="152">
        <f t="shared" si="225"/>
        <v>215.66307692307691</v>
      </c>
      <c r="S278" s="152">
        <f t="shared" si="225"/>
        <v>679.57499999999993</v>
      </c>
      <c r="T278" s="152">
        <f t="shared" si="225"/>
        <v>56.631249999999994</v>
      </c>
      <c r="U278" s="152">
        <f t="shared" si="225"/>
        <v>4781.1399999999994</v>
      </c>
      <c r="V278" s="152">
        <f>SUM(V272:V277)+0.01</f>
        <v>367.78999999999996</v>
      </c>
      <c r="W278" s="152">
        <f>SUM(W272:W277)</f>
        <v>0</v>
      </c>
      <c r="X278" s="152">
        <f>SUM(X272:X277)</f>
        <v>0</v>
      </c>
      <c r="Y278" s="152">
        <f>SUM(Y272:Y277)</f>
        <v>10814.615</v>
      </c>
      <c r="Z278" s="152">
        <f>SUM(Z272:Z277)</f>
        <v>637.48</v>
      </c>
      <c r="AA278" s="152">
        <f>SUM(AA272:AA277)</f>
        <v>49.036923076923081</v>
      </c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2"/>
      <c r="AL278" s="152"/>
    </row>
    <row r="279" spans="1:38" ht="21.9" customHeight="1">
      <c r="A279" s="154">
        <f>A277+1</f>
        <v>221</v>
      </c>
      <c r="B279" s="177" t="s">
        <v>697</v>
      </c>
      <c r="C279" s="161" t="s">
        <v>693</v>
      </c>
      <c r="D279" s="161" t="s">
        <v>79</v>
      </c>
      <c r="E279" s="163" t="s">
        <v>351</v>
      </c>
      <c r="F279" s="155">
        <v>1000</v>
      </c>
      <c r="G279" s="155">
        <f t="shared" ref="G279:G288" si="226">F279*12</f>
        <v>12000</v>
      </c>
      <c r="H279" s="155">
        <v>70</v>
      </c>
      <c r="I279" s="155"/>
      <c r="J279" s="155">
        <f t="shared" ref="J279:J289" si="227">F279</f>
        <v>1000</v>
      </c>
      <c r="K279" s="155">
        <v>300</v>
      </c>
      <c r="L279" s="155"/>
      <c r="M279" s="155">
        <v>125</v>
      </c>
      <c r="N279" s="155">
        <v>30</v>
      </c>
      <c r="O279" s="155">
        <v>100</v>
      </c>
      <c r="P279" s="155">
        <f t="shared" ref="P279:P289" si="228">ROUND(F279*0.0875*13,2)</f>
        <v>1137.5</v>
      </c>
      <c r="Q279" s="155"/>
      <c r="R279" s="155">
        <f>P279/13</f>
        <v>87.5</v>
      </c>
      <c r="S279" s="155"/>
      <c r="T279" s="155"/>
      <c r="U279" s="155">
        <f>75*13</f>
        <v>975</v>
      </c>
      <c r="V279" s="155">
        <f t="shared" ref="V279:V289" si="229">U279/13</f>
        <v>75</v>
      </c>
      <c r="W279" s="155"/>
      <c r="X279" s="155"/>
      <c r="Y279" s="155">
        <f t="shared" ref="Y279:Y284" si="230">P279+S279+U279+W279</f>
        <v>2112.5</v>
      </c>
      <c r="Z279" s="155">
        <f>F279*0.01*13</f>
        <v>130</v>
      </c>
      <c r="AA279" s="155">
        <f t="shared" ref="AA279:AA289" si="231">Z279/13</f>
        <v>10</v>
      </c>
      <c r="AB279" s="225"/>
      <c r="AC279" s="225"/>
      <c r="AD279" s="155"/>
      <c r="AE279" s="225"/>
      <c r="AF279" s="155"/>
      <c r="AG279" s="155"/>
      <c r="AH279" s="225"/>
      <c r="AI279" s="225"/>
      <c r="AJ279" s="225"/>
      <c r="AK279" s="225"/>
      <c r="AL279" s="155"/>
    </row>
    <row r="280" spans="1:38" ht="21.9" customHeight="1">
      <c r="A280" s="154">
        <f t="shared" ref="A280:A289" si="232">A279+1</f>
        <v>222</v>
      </c>
      <c r="B280" s="178" t="s">
        <v>342</v>
      </c>
      <c r="C280" s="161" t="s">
        <v>693</v>
      </c>
      <c r="D280" s="161" t="s">
        <v>79</v>
      </c>
      <c r="E280" s="163" t="s">
        <v>351</v>
      </c>
      <c r="F280" s="155">
        <v>850</v>
      </c>
      <c r="G280" s="155">
        <f t="shared" si="226"/>
        <v>10200</v>
      </c>
      <c r="H280" s="155">
        <v>70</v>
      </c>
      <c r="I280" s="155"/>
      <c r="J280" s="155">
        <f t="shared" si="227"/>
        <v>850</v>
      </c>
      <c r="K280" s="155">
        <v>300</v>
      </c>
      <c r="L280" s="155"/>
      <c r="M280" s="155">
        <v>125</v>
      </c>
      <c r="N280" s="155">
        <v>30</v>
      </c>
      <c r="O280" s="155">
        <v>100</v>
      </c>
      <c r="P280" s="155">
        <f t="shared" si="228"/>
        <v>966.88</v>
      </c>
      <c r="Q280" s="155">
        <f t="shared" ref="Q280:Q281" si="233">P280/13</f>
        <v>74.375384615384618</v>
      </c>
      <c r="R280" s="155"/>
      <c r="S280" s="155"/>
      <c r="T280" s="155"/>
      <c r="U280" s="155">
        <f t="shared" ref="U280:U289" si="234">ROUND(F280*0.075*13,2)</f>
        <v>828.75</v>
      </c>
      <c r="V280" s="155">
        <f t="shared" si="229"/>
        <v>63.75</v>
      </c>
      <c r="W280" s="155"/>
      <c r="X280" s="155"/>
      <c r="Y280" s="155">
        <f t="shared" si="230"/>
        <v>1795.63</v>
      </c>
      <c r="Z280" s="155">
        <f t="shared" ref="Z280:Z289" si="235">ROUND(F280*0.01*13,2)</f>
        <v>110.5</v>
      </c>
      <c r="AA280" s="155">
        <f t="shared" si="231"/>
        <v>8.5</v>
      </c>
      <c r="AB280" s="225"/>
      <c r="AC280" s="225"/>
      <c r="AD280" s="155"/>
      <c r="AE280" s="225"/>
      <c r="AF280" s="155"/>
      <c r="AG280" s="155"/>
      <c r="AH280" s="225"/>
      <c r="AI280" s="225"/>
      <c r="AJ280" s="225"/>
      <c r="AK280" s="225"/>
      <c r="AL280" s="155"/>
    </row>
    <row r="281" spans="1:38" ht="21.9" customHeight="1">
      <c r="A281" s="154">
        <f t="shared" si="232"/>
        <v>223</v>
      </c>
      <c r="B281" s="177" t="s">
        <v>308</v>
      </c>
      <c r="C281" s="161" t="s">
        <v>693</v>
      </c>
      <c r="D281" s="161" t="s">
        <v>79</v>
      </c>
      <c r="E281" s="163" t="s">
        <v>351</v>
      </c>
      <c r="F281" s="155">
        <v>600</v>
      </c>
      <c r="G281" s="155">
        <f t="shared" si="226"/>
        <v>7200</v>
      </c>
      <c r="H281" s="155">
        <v>70</v>
      </c>
      <c r="I281" s="155"/>
      <c r="J281" s="155">
        <f t="shared" si="227"/>
        <v>600</v>
      </c>
      <c r="K281" s="155">
        <v>300</v>
      </c>
      <c r="L281" s="155"/>
      <c r="M281" s="155"/>
      <c r="N281" s="155">
        <v>30</v>
      </c>
      <c r="O281" s="155">
        <v>100</v>
      </c>
      <c r="P281" s="155">
        <f t="shared" si="228"/>
        <v>682.5</v>
      </c>
      <c r="Q281" s="155">
        <f t="shared" si="233"/>
        <v>52.5</v>
      </c>
      <c r="R281" s="155"/>
      <c r="S281" s="155"/>
      <c r="T281" s="155"/>
      <c r="U281" s="155">
        <f t="shared" si="234"/>
        <v>585</v>
      </c>
      <c r="V281" s="155">
        <f t="shared" si="229"/>
        <v>45</v>
      </c>
      <c r="W281" s="155"/>
      <c r="X281" s="155"/>
      <c r="Y281" s="155">
        <f t="shared" si="230"/>
        <v>1267.5</v>
      </c>
      <c r="Z281" s="155">
        <f t="shared" si="235"/>
        <v>78</v>
      </c>
      <c r="AA281" s="155">
        <f t="shared" si="231"/>
        <v>6</v>
      </c>
      <c r="AB281" s="225"/>
      <c r="AC281" s="225"/>
      <c r="AD281" s="155"/>
      <c r="AE281" s="225"/>
      <c r="AF281" s="155"/>
      <c r="AG281" s="155"/>
      <c r="AH281" s="225"/>
      <c r="AI281" s="225"/>
      <c r="AJ281" s="225"/>
      <c r="AK281" s="225"/>
      <c r="AL281" s="155"/>
    </row>
    <row r="282" spans="1:38" ht="21.9" customHeight="1">
      <c r="A282" s="154">
        <f t="shared" si="232"/>
        <v>224</v>
      </c>
      <c r="B282" s="177" t="s">
        <v>657</v>
      </c>
      <c r="C282" s="161" t="s">
        <v>693</v>
      </c>
      <c r="D282" s="161" t="s">
        <v>79</v>
      </c>
      <c r="E282" s="163" t="s">
        <v>351</v>
      </c>
      <c r="F282" s="155">
        <f>547+50</f>
        <v>597</v>
      </c>
      <c r="G282" s="155">
        <f t="shared" si="226"/>
        <v>7164</v>
      </c>
      <c r="H282" s="155">
        <v>70</v>
      </c>
      <c r="I282" s="155"/>
      <c r="J282" s="155">
        <f t="shared" si="227"/>
        <v>597</v>
      </c>
      <c r="K282" s="155">
        <v>300</v>
      </c>
      <c r="L282" s="155"/>
      <c r="M282" s="155">
        <v>125</v>
      </c>
      <c r="N282" s="155">
        <v>30</v>
      </c>
      <c r="O282" s="155">
        <v>100</v>
      </c>
      <c r="P282" s="155">
        <f t="shared" si="228"/>
        <v>679.09</v>
      </c>
      <c r="Q282" s="226"/>
      <c r="R282" s="155">
        <f>P282/13</f>
        <v>52.237692307692313</v>
      </c>
      <c r="S282" s="155"/>
      <c r="T282" s="155"/>
      <c r="U282" s="155">
        <f t="shared" si="234"/>
        <v>582.08000000000004</v>
      </c>
      <c r="V282" s="155">
        <f t="shared" si="229"/>
        <v>44.775384615384617</v>
      </c>
      <c r="W282" s="155"/>
      <c r="X282" s="155"/>
      <c r="Y282" s="155">
        <f t="shared" si="230"/>
        <v>1261.17</v>
      </c>
      <c r="Z282" s="155">
        <f t="shared" si="235"/>
        <v>77.61</v>
      </c>
      <c r="AA282" s="155">
        <f t="shared" si="231"/>
        <v>5.97</v>
      </c>
      <c r="AB282" s="225"/>
      <c r="AC282" s="225"/>
      <c r="AD282" s="155"/>
      <c r="AE282" s="225"/>
      <c r="AF282" s="155"/>
      <c r="AG282" s="155"/>
      <c r="AH282" s="225"/>
      <c r="AI282" s="225"/>
      <c r="AJ282" s="225"/>
      <c r="AK282" s="225"/>
      <c r="AL282" s="155"/>
    </row>
    <row r="283" spans="1:38" ht="21.9" customHeight="1">
      <c r="A283" s="154">
        <f t="shared" si="232"/>
        <v>225</v>
      </c>
      <c r="B283" s="177" t="s">
        <v>312</v>
      </c>
      <c r="C283" s="161" t="s">
        <v>693</v>
      </c>
      <c r="D283" s="161" t="s">
        <v>79</v>
      </c>
      <c r="E283" s="163" t="s">
        <v>351</v>
      </c>
      <c r="F283" s="155">
        <v>817</v>
      </c>
      <c r="G283" s="155">
        <f>F283*12</f>
        <v>9804</v>
      </c>
      <c r="H283" s="155">
        <v>70</v>
      </c>
      <c r="I283" s="155"/>
      <c r="J283" s="155">
        <f t="shared" si="227"/>
        <v>817</v>
      </c>
      <c r="K283" s="155">
        <v>300</v>
      </c>
      <c r="L283" s="155"/>
      <c r="M283" s="155">
        <v>125</v>
      </c>
      <c r="N283" s="155">
        <v>30</v>
      </c>
      <c r="O283" s="155">
        <v>100</v>
      </c>
      <c r="P283" s="155">
        <f t="shared" si="228"/>
        <v>929.34</v>
      </c>
      <c r="Q283" s="155">
        <f>P283/13</f>
        <v>71.487692307692313</v>
      </c>
      <c r="R283" s="155"/>
      <c r="S283" s="155"/>
      <c r="T283" s="155"/>
      <c r="U283" s="155">
        <f t="shared" si="234"/>
        <v>796.58</v>
      </c>
      <c r="V283" s="155">
        <f t="shared" si="229"/>
        <v>61.275384615384617</v>
      </c>
      <c r="W283" s="155"/>
      <c r="X283" s="155"/>
      <c r="Y283" s="155">
        <f>P283+S283+U283+W283</f>
        <v>1725.92</v>
      </c>
      <c r="Z283" s="155">
        <f t="shared" si="235"/>
        <v>106.21</v>
      </c>
      <c r="AA283" s="155">
        <f t="shared" si="231"/>
        <v>8.17</v>
      </c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</row>
    <row r="284" spans="1:38" ht="21.9" customHeight="1">
      <c r="A284" s="154">
        <f t="shared" si="232"/>
        <v>226</v>
      </c>
      <c r="B284" s="177" t="s">
        <v>315</v>
      </c>
      <c r="C284" s="161" t="s">
        <v>693</v>
      </c>
      <c r="D284" s="161" t="s">
        <v>79</v>
      </c>
      <c r="E284" s="163" t="s">
        <v>351</v>
      </c>
      <c r="F284" s="155">
        <f>600+50</f>
        <v>650</v>
      </c>
      <c r="G284" s="155">
        <f t="shared" si="226"/>
        <v>7800</v>
      </c>
      <c r="H284" s="155">
        <v>70</v>
      </c>
      <c r="I284" s="155"/>
      <c r="J284" s="155">
        <f t="shared" si="227"/>
        <v>650</v>
      </c>
      <c r="K284" s="155">
        <v>300</v>
      </c>
      <c r="L284" s="155"/>
      <c r="M284" s="155">
        <v>125</v>
      </c>
      <c r="N284" s="155">
        <v>30</v>
      </c>
      <c r="O284" s="155">
        <v>100</v>
      </c>
      <c r="P284" s="155">
        <f t="shared" si="228"/>
        <v>739.38</v>
      </c>
      <c r="Q284" s="155">
        <f>P284/13</f>
        <v>56.875384615384618</v>
      </c>
      <c r="R284" s="155"/>
      <c r="S284" s="155"/>
      <c r="T284" s="155"/>
      <c r="U284" s="155">
        <f t="shared" si="234"/>
        <v>633.75</v>
      </c>
      <c r="V284" s="155">
        <f t="shared" si="229"/>
        <v>48.75</v>
      </c>
      <c r="W284" s="155"/>
      <c r="X284" s="155"/>
      <c r="Y284" s="155">
        <f t="shared" si="230"/>
        <v>1373.13</v>
      </c>
      <c r="Z284" s="155">
        <f t="shared" si="235"/>
        <v>84.5</v>
      </c>
      <c r="AA284" s="155">
        <f t="shared" si="231"/>
        <v>6.5</v>
      </c>
      <c r="AB284" s="225"/>
      <c r="AC284" s="225"/>
      <c r="AD284" s="155"/>
      <c r="AE284" s="225"/>
      <c r="AF284" s="155"/>
      <c r="AG284" s="155"/>
      <c r="AH284" s="225"/>
      <c r="AI284" s="225"/>
      <c r="AJ284" s="225"/>
      <c r="AK284" s="225"/>
      <c r="AL284" s="155"/>
    </row>
    <row r="285" spans="1:38" ht="21.9" customHeight="1">
      <c r="A285" s="154">
        <f t="shared" si="232"/>
        <v>227</v>
      </c>
      <c r="B285" s="177" t="s">
        <v>317</v>
      </c>
      <c r="C285" s="161" t="s">
        <v>693</v>
      </c>
      <c r="D285" s="161" t="s">
        <v>79</v>
      </c>
      <c r="E285" s="163" t="s">
        <v>351</v>
      </c>
      <c r="F285" s="155">
        <v>497</v>
      </c>
      <c r="G285" s="155">
        <f>F285*12</f>
        <v>5964</v>
      </c>
      <c r="H285" s="155">
        <v>70</v>
      </c>
      <c r="I285" s="155"/>
      <c r="J285" s="155">
        <f t="shared" si="227"/>
        <v>497</v>
      </c>
      <c r="K285" s="155">
        <v>300</v>
      </c>
      <c r="L285" s="155"/>
      <c r="M285" s="155">
        <v>125</v>
      </c>
      <c r="N285" s="155">
        <v>30</v>
      </c>
      <c r="O285" s="155">
        <v>100</v>
      </c>
      <c r="P285" s="155">
        <f t="shared" si="228"/>
        <v>565.34</v>
      </c>
      <c r="Q285" s="155"/>
      <c r="R285" s="155">
        <f>P285/13</f>
        <v>43.487692307692313</v>
      </c>
      <c r="S285" s="155"/>
      <c r="T285" s="155"/>
      <c r="U285" s="155">
        <f t="shared" si="234"/>
        <v>484.58</v>
      </c>
      <c r="V285" s="155">
        <f t="shared" si="229"/>
        <v>37.275384615384617</v>
      </c>
      <c r="W285" s="155"/>
      <c r="X285" s="155"/>
      <c r="Y285" s="155">
        <f>P285+S285+U285+W285</f>
        <v>1049.92</v>
      </c>
      <c r="Z285" s="155">
        <f t="shared" si="235"/>
        <v>64.61</v>
      </c>
      <c r="AA285" s="155">
        <f t="shared" si="231"/>
        <v>4.97</v>
      </c>
      <c r="AB285" s="225"/>
      <c r="AC285" s="225"/>
      <c r="AD285" s="155"/>
      <c r="AE285" s="225"/>
      <c r="AF285" s="155"/>
      <c r="AG285" s="155"/>
      <c r="AH285" s="225"/>
      <c r="AI285" s="225"/>
      <c r="AJ285" s="225"/>
      <c r="AK285" s="225"/>
      <c r="AL285" s="155"/>
    </row>
    <row r="286" spans="1:38" ht="21.9" customHeight="1">
      <c r="A286" s="154">
        <f t="shared" si="232"/>
        <v>228</v>
      </c>
      <c r="B286" s="177" t="s">
        <v>317</v>
      </c>
      <c r="C286" s="161" t="s">
        <v>693</v>
      </c>
      <c r="D286" s="161" t="s">
        <v>79</v>
      </c>
      <c r="E286" s="163" t="s">
        <v>351</v>
      </c>
      <c r="F286" s="155">
        <f>497+20</f>
        <v>517</v>
      </c>
      <c r="G286" s="155">
        <f t="shared" si="226"/>
        <v>6204</v>
      </c>
      <c r="H286" s="155">
        <v>70</v>
      </c>
      <c r="I286" s="155"/>
      <c r="J286" s="155">
        <f t="shared" si="227"/>
        <v>517</v>
      </c>
      <c r="K286" s="155">
        <v>300</v>
      </c>
      <c r="L286" s="155"/>
      <c r="M286" s="155">
        <v>125</v>
      </c>
      <c r="N286" s="155">
        <v>30</v>
      </c>
      <c r="O286" s="155">
        <v>100</v>
      </c>
      <c r="P286" s="155">
        <f t="shared" si="228"/>
        <v>588.09</v>
      </c>
      <c r="Q286" s="155">
        <f>P286/13</f>
        <v>45.237692307692313</v>
      </c>
      <c r="R286" s="155"/>
      <c r="S286" s="155"/>
      <c r="T286" s="155"/>
      <c r="U286" s="155">
        <f t="shared" si="234"/>
        <v>504.08</v>
      </c>
      <c r="V286" s="155">
        <f t="shared" si="229"/>
        <v>38.775384615384617</v>
      </c>
      <c r="W286" s="155"/>
      <c r="X286" s="155"/>
      <c r="Y286" s="155">
        <f>P286+S286+U286+W286</f>
        <v>1092.17</v>
      </c>
      <c r="Z286" s="155">
        <f t="shared" si="235"/>
        <v>67.209999999999994</v>
      </c>
      <c r="AA286" s="155">
        <f t="shared" si="231"/>
        <v>5.17</v>
      </c>
      <c r="AB286" s="225"/>
      <c r="AC286" s="225"/>
      <c r="AD286" s="155"/>
      <c r="AE286" s="225"/>
      <c r="AF286" s="155"/>
      <c r="AG286" s="155"/>
      <c r="AH286" s="225"/>
      <c r="AI286" s="225"/>
      <c r="AJ286" s="225"/>
      <c r="AK286" s="225"/>
      <c r="AL286" s="155"/>
    </row>
    <row r="287" spans="1:38" ht="21.9" customHeight="1">
      <c r="A287" s="154">
        <f t="shared" si="232"/>
        <v>229</v>
      </c>
      <c r="B287" s="177" t="s">
        <v>319</v>
      </c>
      <c r="C287" s="161" t="s">
        <v>693</v>
      </c>
      <c r="D287" s="161" t="s">
        <v>79</v>
      </c>
      <c r="E287" s="163" t="s">
        <v>351</v>
      </c>
      <c r="F287" s="155">
        <v>417</v>
      </c>
      <c r="G287" s="155">
        <f t="shared" si="226"/>
        <v>5004</v>
      </c>
      <c r="H287" s="155">
        <v>70</v>
      </c>
      <c r="I287" s="155"/>
      <c r="J287" s="155">
        <f t="shared" ref="J287:J288" si="236">F287</f>
        <v>417</v>
      </c>
      <c r="K287" s="155">
        <v>300</v>
      </c>
      <c r="L287" s="155"/>
      <c r="M287" s="155"/>
      <c r="N287" s="155">
        <v>30</v>
      </c>
      <c r="O287" s="155">
        <v>100</v>
      </c>
      <c r="P287" s="155">
        <f t="shared" ref="P287:P288" si="237">ROUND(F287*0.0875*13,2)</f>
        <v>474.34</v>
      </c>
      <c r="Q287" s="226"/>
      <c r="R287" s="155">
        <f t="shared" ref="R287:R288" si="238">P287/13</f>
        <v>36.487692307692306</v>
      </c>
      <c r="S287" s="155"/>
      <c r="T287" s="155"/>
      <c r="U287" s="155">
        <f t="shared" ref="U287:U288" si="239">ROUND(F287*0.075*13,2)</f>
        <v>406.58</v>
      </c>
      <c r="V287" s="155">
        <f t="shared" ref="V287:V288" si="240">U287/13</f>
        <v>31.275384615384613</v>
      </c>
      <c r="W287" s="155"/>
      <c r="X287" s="155"/>
      <c r="Y287" s="155">
        <f t="shared" ref="Y287:Y288" si="241">P287+S287+U287+W287</f>
        <v>880.92</v>
      </c>
      <c r="Z287" s="155">
        <f t="shared" ref="Z287:Z288" si="242">ROUND(F287*0.01*13,2)</f>
        <v>54.21</v>
      </c>
      <c r="AA287" s="155">
        <f t="shared" ref="AA287:AA288" si="243">Z287/13</f>
        <v>4.17</v>
      </c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</row>
    <row r="288" spans="1:38" ht="21.9" customHeight="1">
      <c r="A288" s="154">
        <f t="shared" si="232"/>
        <v>230</v>
      </c>
      <c r="B288" s="177" t="s">
        <v>319</v>
      </c>
      <c r="C288" s="161" t="s">
        <v>693</v>
      </c>
      <c r="D288" s="161" t="s">
        <v>79</v>
      </c>
      <c r="E288" s="163" t="s">
        <v>351</v>
      </c>
      <c r="F288" s="155">
        <v>417</v>
      </c>
      <c r="G288" s="155">
        <f t="shared" si="226"/>
        <v>5004</v>
      </c>
      <c r="H288" s="155">
        <v>70</v>
      </c>
      <c r="I288" s="155"/>
      <c r="J288" s="155">
        <f t="shared" si="236"/>
        <v>417</v>
      </c>
      <c r="K288" s="155">
        <v>300</v>
      </c>
      <c r="L288" s="155"/>
      <c r="M288" s="155"/>
      <c r="N288" s="155">
        <v>30</v>
      </c>
      <c r="O288" s="155">
        <v>100</v>
      </c>
      <c r="P288" s="155">
        <f t="shared" si="237"/>
        <v>474.34</v>
      </c>
      <c r="Q288" s="226"/>
      <c r="R288" s="155">
        <f t="shared" si="238"/>
        <v>36.487692307692306</v>
      </c>
      <c r="S288" s="155"/>
      <c r="T288" s="155"/>
      <c r="U288" s="155">
        <f t="shared" si="239"/>
        <v>406.58</v>
      </c>
      <c r="V288" s="155">
        <f t="shared" si="240"/>
        <v>31.275384615384613</v>
      </c>
      <c r="W288" s="155"/>
      <c r="X288" s="155"/>
      <c r="Y288" s="155">
        <f t="shared" si="241"/>
        <v>880.92</v>
      </c>
      <c r="Z288" s="155">
        <f t="shared" si="242"/>
        <v>54.21</v>
      </c>
      <c r="AA288" s="155">
        <f t="shared" si="243"/>
        <v>4.17</v>
      </c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</row>
    <row r="289" spans="1:38" ht="21.9" customHeight="1">
      <c r="A289" s="154">
        <f t="shared" si="232"/>
        <v>231</v>
      </c>
      <c r="B289" s="177" t="s">
        <v>319</v>
      </c>
      <c r="C289" s="161" t="s">
        <v>693</v>
      </c>
      <c r="D289" s="161" t="s">
        <v>79</v>
      </c>
      <c r="E289" s="163" t="s">
        <v>351</v>
      </c>
      <c r="F289" s="155">
        <v>417</v>
      </c>
      <c r="G289" s="155">
        <f>F289*12</f>
        <v>5004</v>
      </c>
      <c r="H289" s="155">
        <v>70</v>
      </c>
      <c r="I289" s="155"/>
      <c r="J289" s="155">
        <f t="shared" si="227"/>
        <v>417</v>
      </c>
      <c r="K289" s="155">
        <v>300</v>
      </c>
      <c r="L289" s="155"/>
      <c r="M289" s="155"/>
      <c r="N289" s="155">
        <v>30</v>
      </c>
      <c r="O289" s="155">
        <v>100</v>
      </c>
      <c r="P289" s="155">
        <f t="shared" si="228"/>
        <v>474.34</v>
      </c>
      <c r="Q289" s="226"/>
      <c r="R289" s="155">
        <f>P289/13</f>
        <v>36.487692307692306</v>
      </c>
      <c r="S289" s="155"/>
      <c r="T289" s="155"/>
      <c r="U289" s="155">
        <f t="shared" si="234"/>
        <v>406.58</v>
      </c>
      <c r="V289" s="155">
        <f t="shared" si="229"/>
        <v>31.275384615384613</v>
      </c>
      <c r="W289" s="155"/>
      <c r="X289" s="155"/>
      <c r="Y289" s="155">
        <f>P289+S289+U289+W289</f>
        <v>880.92</v>
      </c>
      <c r="Z289" s="155">
        <f t="shared" si="235"/>
        <v>54.21</v>
      </c>
      <c r="AA289" s="155">
        <f t="shared" si="231"/>
        <v>4.17</v>
      </c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</row>
    <row r="290" spans="1:38" ht="21.9" customHeight="1">
      <c r="A290" s="154"/>
      <c r="B290" s="207" t="s">
        <v>695</v>
      </c>
      <c r="C290" s="161"/>
      <c r="D290" s="161"/>
      <c r="E290" s="163"/>
      <c r="F290" s="152">
        <f>SUM(F279:F289)</f>
        <v>6779</v>
      </c>
      <c r="G290" s="152">
        <f>SUM(G279:G289)</f>
        <v>81348</v>
      </c>
      <c r="H290" s="152">
        <f>SUM(H279:H289)</f>
        <v>770</v>
      </c>
      <c r="I290" s="152"/>
      <c r="J290" s="152">
        <f>SUM(J279:J289)</f>
        <v>6779</v>
      </c>
      <c r="K290" s="152">
        <f>SUM(K279:K289)</f>
        <v>3300</v>
      </c>
      <c r="L290" s="152"/>
      <c r="M290" s="152">
        <f>SUM(M279:M289)</f>
        <v>875</v>
      </c>
      <c r="N290" s="152">
        <f>SUM(N279:N289)</f>
        <v>330</v>
      </c>
      <c r="O290" s="152">
        <f>SUM(O279:O289)</f>
        <v>1100</v>
      </c>
      <c r="P290" s="152">
        <f>SUM(P279:P289)</f>
        <v>7711.1400000000012</v>
      </c>
      <c r="Q290" s="152">
        <f>SUM(Q279:Q289)+0.01</f>
        <v>300.48615384615385</v>
      </c>
      <c r="R290" s="152">
        <f>SUM(R279:R289)+0.01</f>
        <v>292.69846153846157</v>
      </c>
      <c r="S290" s="152">
        <f>SUM(S279:S286)</f>
        <v>0</v>
      </c>
      <c r="T290" s="152">
        <f>SUM(T279:T286)</f>
        <v>0</v>
      </c>
      <c r="U290" s="152">
        <f>SUM(U279:U289)</f>
        <v>6609.5599999999995</v>
      </c>
      <c r="V290" s="152">
        <f>SUM(V279:V289)+0.03</f>
        <v>508.45769230769224</v>
      </c>
      <c r="W290" s="152">
        <f>SUM(W279:W289)</f>
        <v>0</v>
      </c>
      <c r="X290" s="152">
        <f>SUM(X279:X289)</f>
        <v>0</v>
      </c>
      <c r="Y290" s="152">
        <f>SUM(Y279:Y289)</f>
        <v>14320.7</v>
      </c>
      <c r="Z290" s="152">
        <f>SUM(Z279:Z289)</f>
        <v>881.2700000000001</v>
      </c>
      <c r="AA290" s="152">
        <f>SUM(AA279:AA289)</f>
        <v>67.790000000000006</v>
      </c>
      <c r="AB290" s="152"/>
      <c r="AC290" s="152"/>
      <c r="AD290" s="152"/>
      <c r="AE290" s="152"/>
      <c r="AF290" s="152"/>
      <c r="AG290" s="152"/>
      <c r="AH290" s="152"/>
      <c r="AI290" s="152"/>
      <c r="AJ290" s="152"/>
      <c r="AK290" s="152"/>
      <c r="AL290" s="152"/>
    </row>
    <row r="291" spans="1:38" ht="21.9" customHeight="1">
      <c r="A291" s="154"/>
      <c r="B291" s="304" t="s">
        <v>647</v>
      </c>
      <c r="C291" s="305"/>
      <c r="D291" s="305"/>
      <c r="E291" s="306"/>
      <c r="F291" s="153">
        <f t="shared" ref="F291:P291" si="244">SUM(F290,F278)</f>
        <v>12182.720000000001</v>
      </c>
      <c r="G291" s="153">
        <f t="shared" si="244"/>
        <v>146192.64000000001</v>
      </c>
      <c r="H291" s="153">
        <f t="shared" si="244"/>
        <v>1190</v>
      </c>
      <c r="I291" s="153">
        <f t="shared" si="244"/>
        <v>0</v>
      </c>
      <c r="J291" s="153">
        <f t="shared" si="244"/>
        <v>12182.720000000001</v>
      </c>
      <c r="K291" s="153">
        <f t="shared" si="244"/>
        <v>5100</v>
      </c>
      <c r="L291" s="152">
        <f t="shared" si="244"/>
        <v>0</v>
      </c>
      <c r="M291" s="152">
        <f t="shared" si="244"/>
        <v>1125</v>
      </c>
      <c r="N291" s="152">
        <f t="shared" si="244"/>
        <v>510</v>
      </c>
      <c r="O291" s="152">
        <f t="shared" si="244"/>
        <v>1700</v>
      </c>
      <c r="P291" s="152">
        <f t="shared" si="244"/>
        <v>13065.04</v>
      </c>
      <c r="Q291" s="152">
        <f>SUM(Q290,Q278)+0.01</f>
        <v>496.67153846153849</v>
      </c>
      <c r="R291" s="152">
        <f t="shared" ref="R291:AL291" si="245">SUM(R290,R278)</f>
        <v>508.36153846153849</v>
      </c>
      <c r="S291" s="152">
        <f t="shared" si="245"/>
        <v>679.57499999999993</v>
      </c>
      <c r="T291" s="152">
        <f t="shared" si="245"/>
        <v>56.631249999999994</v>
      </c>
      <c r="U291" s="152">
        <f t="shared" si="245"/>
        <v>11390.699999999999</v>
      </c>
      <c r="V291" s="152">
        <f t="shared" si="245"/>
        <v>876.2476923076922</v>
      </c>
      <c r="W291" s="152">
        <f t="shared" si="245"/>
        <v>0</v>
      </c>
      <c r="X291" s="152">
        <f t="shared" si="245"/>
        <v>0</v>
      </c>
      <c r="Y291" s="152">
        <f t="shared" si="245"/>
        <v>25135.315000000002</v>
      </c>
      <c r="Z291" s="152">
        <f t="shared" si="245"/>
        <v>1518.75</v>
      </c>
      <c r="AA291" s="152">
        <f t="shared" si="245"/>
        <v>116.82692307692309</v>
      </c>
      <c r="AB291" s="152">
        <f t="shared" si="245"/>
        <v>0</v>
      </c>
      <c r="AC291" s="152">
        <f t="shared" si="245"/>
        <v>0</v>
      </c>
      <c r="AD291" s="152">
        <f t="shared" si="245"/>
        <v>0</v>
      </c>
      <c r="AE291" s="152">
        <f t="shared" si="245"/>
        <v>0</v>
      </c>
      <c r="AF291" s="152">
        <f t="shared" si="245"/>
        <v>0</v>
      </c>
      <c r="AG291" s="152">
        <f t="shared" si="245"/>
        <v>0</v>
      </c>
      <c r="AH291" s="152">
        <f t="shared" si="245"/>
        <v>0</v>
      </c>
      <c r="AI291" s="152">
        <f t="shared" si="245"/>
        <v>0</v>
      </c>
      <c r="AJ291" s="152">
        <f t="shared" si="245"/>
        <v>0</v>
      </c>
      <c r="AK291" s="152">
        <f t="shared" si="245"/>
        <v>0</v>
      </c>
      <c r="AL291" s="152">
        <f t="shared" si="245"/>
        <v>0</v>
      </c>
    </row>
    <row r="292" spans="1:38" ht="21.9" customHeight="1">
      <c r="A292" s="154">
        <f>A289+1</f>
        <v>232</v>
      </c>
      <c r="B292" s="177" t="s">
        <v>451</v>
      </c>
      <c r="C292" s="175" t="s">
        <v>452</v>
      </c>
      <c r="D292" s="161" t="s">
        <v>79</v>
      </c>
      <c r="E292" s="163" t="s">
        <v>668</v>
      </c>
      <c r="F292" s="155">
        <v>1000</v>
      </c>
      <c r="G292" s="155">
        <f>F292*12</f>
        <v>12000</v>
      </c>
      <c r="H292" s="155">
        <v>70</v>
      </c>
      <c r="I292" s="155"/>
      <c r="J292" s="155">
        <f>F292</f>
        <v>1000</v>
      </c>
      <c r="K292" s="155">
        <v>300</v>
      </c>
      <c r="L292" s="155"/>
      <c r="M292" s="155">
        <v>125</v>
      </c>
      <c r="N292" s="155">
        <v>30</v>
      </c>
      <c r="O292" s="155">
        <v>100</v>
      </c>
      <c r="P292" s="155">
        <f>ROUND(F292*0.0875*13,2)</f>
        <v>1137.5</v>
      </c>
      <c r="Q292" s="155"/>
      <c r="R292" s="155">
        <f>P292/13</f>
        <v>87.5</v>
      </c>
      <c r="S292" s="155"/>
      <c r="T292" s="155"/>
      <c r="U292" s="155">
        <f>75*13</f>
        <v>975</v>
      </c>
      <c r="V292" s="155">
        <f>U292/13</f>
        <v>75</v>
      </c>
      <c r="W292" s="155"/>
      <c r="X292" s="155"/>
      <c r="Y292" s="155">
        <f>P292+S292+U292+W292</f>
        <v>2112.5</v>
      </c>
      <c r="Z292" s="155">
        <f>F292*0.01*13</f>
        <v>130</v>
      </c>
      <c r="AA292" s="155">
        <f>Z292/13</f>
        <v>10</v>
      </c>
      <c r="AB292" s="155">
        <f>F292/30/7*1.5*45</f>
        <v>321.42857142857139</v>
      </c>
      <c r="AC292" s="155">
        <f>ROUND(AB292*0.0875,2)</f>
        <v>28.13</v>
      </c>
      <c r="AD292" s="155"/>
      <c r="AE292" s="155">
        <f>ROUND(AB292*0.075,2)</f>
        <v>24.11</v>
      </c>
      <c r="AF292" s="155"/>
      <c r="AG292" s="155">
        <f>AC292+AD292+AE292+AF292</f>
        <v>52.239999999999995</v>
      </c>
      <c r="AH292" s="155">
        <f>AB292*0.01</f>
        <v>3.214285714285714</v>
      </c>
      <c r="AI292" s="155"/>
      <c r="AJ292" s="155"/>
      <c r="AK292" s="155"/>
      <c r="AL292" s="155"/>
    </row>
    <row r="293" spans="1:38" ht="21.9" customHeight="1">
      <c r="A293" s="154">
        <f>A292+1</f>
        <v>233</v>
      </c>
      <c r="B293" s="177" t="s">
        <v>454</v>
      </c>
      <c r="C293" s="175" t="s">
        <v>452</v>
      </c>
      <c r="D293" s="161" t="s">
        <v>79</v>
      </c>
      <c r="E293" s="163" t="s">
        <v>668</v>
      </c>
      <c r="F293" s="155">
        <v>925</v>
      </c>
      <c r="G293" s="155">
        <f>F293*12</f>
        <v>11100</v>
      </c>
      <c r="H293" s="155">
        <v>70</v>
      </c>
      <c r="I293" s="155"/>
      <c r="J293" s="155">
        <f>F293</f>
        <v>925</v>
      </c>
      <c r="K293" s="155">
        <v>300</v>
      </c>
      <c r="L293" s="155"/>
      <c r="M293" s="155">
        <v>125</v>
      </c>
      <c r="N293" s="155">
        <v>30</v>
      </c>
      <c r="O293" s="155">
        <v>100</v>
      </c>
      <c r="P293" s="155">
        <f>ROUND(F293*0.0875*13,2)</f>
        <v>1052.19</v>
      </c>
      <c r="Q293" s="155">
        <f>P293/13</f>
        <v>80.937692307692316</v>
      </c>
      <c r="R293" s="155"/>
      <c r="S293" s="155"/>
      <c r="T293" s="155"/>
      <c r="U293" s="155">
        <f>ROUND(F293*0.075*13,2)</f>
        <v>901.88</v>
      </c>
      <c r="V293" s="155">
        <f>U293/13</f>
        <v>69.375384615384618</v>
      </c>
      <c r="W293" s="155"/>
      <c r="X293" s="155"/>
      <c r="Y293" s="155">
        <f>P293+S293+U293+W293</f>
        <v>1954.0700000000002</v>
      </c>
      <c r="Z293" s="155">
        <f>ROUND(F293*0.01*13,2)</f>
        <v>120.25</v>
      </c>
      <c r="AA293" s="155">
        <f>Z293/13</f>
        <v>9.25</v>
      </c>
      <c r="AB293" s="155">
        <f>F293/30/7*1.5*45</f>
        <v>297.3214285714285</v>
      </c>
      <c r="AC293" s="155">
        <f>ROUND(AB293*0.0875,2)</f>
        <v>26.02</v>
      </c>
      <c r="AD293" s="155"/>
      <c r="AE293" s="155">
        <f>ROUND(AB293*0.075,2)</f>
        <v>22.3</v>
      </c>
      <c r="AF293" s="155"/>
      <c r="AG293" s="155">
        <f>ROUND(AC293+AD293+AE293+AF293,2)</f>
        <v>48.32</v>
      </c>
      <c r="AH293" s="155">
        <f>AB293*0.01</f>
        <v>2.9732142857142851</v>
      </c>
      <c r="AI293" s="155"/>
      <c r="AJ293" s="155"/>
      <c r="AK293" s="155"/>
      <c r="AL293" s="155"/>
    </row>
    <row r="294" spans="1:38" ht="21.9" customHeight="1">
      <c r="A294" s="154">
        <f>A293+1</f>
        <v>234</v>
      </c>
      <c r="B294" s="176" t="s">
        <v>162</v>
      </c>
      <c r="C294" s="175" t="s">
        <v>452</v>
      </c>
      <c r="D294" s="161" t="s">
        <v>79</v>
      </c>
      <c r="E294" s="163" t="s">
        <v>668</v>
      </c>
      <c r="F294" s="155">
        <v>500</v>
      </c>
      <c r="G294" s="155">
        <f>F294*12</f>
        <v>6000</v>
      </c>
      <c r="H294" s="155">
        <v>70</v>
      </c>
      <c r="I294" s="155"/>
      <c r="J294" s="155">
        <f>F294</f>
        <v>500</v>
      </c>
      <c r="K294" s="155">
        <v>300</v>
      </c>
      <c r="L294" s="155"/>
      <c r="M294" s="155">
        <v>125</v>
      </c>
      <c r="N294" s="155">
        <v>30</v>
      </c>
      <c r="O294" s="155">
        <v>100</v>
      </c>
      <c r="P294" s="155">
        <f>ROUND(F294*0.0875*13,2)</f>
        <v>568.75</v>
      </c>
      <c r="Q294" s="155">
        <f>P294/13</f>
        <v>43.75</v>
      </c>
      <c r="R294" s="155"/>
      <c r="S294" s="155"/>
      <c r="T294" s="155"/>
      <c r="U294" s="155">
        <f>ROUND(F294*0.075*13,2)</f>
        <v>487.5</v>
      </c>
      <c r="V294" s="155">
        <f>U294/13</f>
        <v>37.5</v>
      </c>
      <c r="W294" s="155"/>
      <c r="X294" s="155"/>
      <c r="Y294" s="155">
        <f>P294+S294+U294+W294</f>
        <v>1056.25</v>
      </c>
      <c r="Z294" s="155">
        <f>ROUND(F294*0.01*13,2)</f>
        <v>65</v>
      </c>
      <c r="AA294" s="155">
        <f>Z294/13</f>
        <v>5</v>
      </c>
      <c r="AB294" s="155">
        <f>F294/30/7*1.5*45</f>
        <v>160.71428571428569</v>
      </c>
      <c r="AC294" s="155">
        <f>ROUND(AB294*0.0875,2)</f>
        <v>14.06</v>
      </c>
      <c r="AD294" s="155"/>
      <c r="AE294" s="155">
        <f>ROUND(AB294*0.075,2)</f>
        <v>12.05</v>
      </c>
      <c r="AF294" s="155"/>
      <c r="AG294" s="155">
        <f>AC294+AD294+AE294+AF294</f>
        <v>26.11</v>
      </c>
      <c r="AH294" s="155">
        <f>AB294*0.01</f>
        <v>1.607142857142857</v>
      </c>
      <c r="AI294" s="155"/>
      <c r="AJ294" s="155"/>
      <c r="AK294" s="155"/>
      <c r="AL294" s="155"/>
    </row>
    <row r="295" spans="1:38" ht="21.9" customHeight="1">
      <c r="A295" s="154">
        <f>A294+1</f>
        <v>235</v>
      </c>
      <c r="B295" s="177" t="s">
        <v>83</v>
      </c>
      <c r="C295" s="175" t="s">
        <v>452</v>
      </c>
      <c r="D295" s="161" t="s">
        <v>79</v>
      </c>
      <c r="E295" s="163" t="s">
        <v>668</v>
      </c>
      <c r="F295" s="155">
        <v>597</v>
      </c>
      <c r="G295" s="155">
        <f>F295*12</f>
        <v>7164</v>
      </c>
      <c r="H295" s="155">
        <v>70</v>
      </c>
      <c r="I295" s="155"/>
      <c r="J295" s="155">
        <f>F295</f>
        <v>597</v>
      </c>
      <c r="K295" s="155">
        <v>300</v>
      </c>
      <c r="L295" s="155"/>
      <c r="M295" s="155">
        <v>125</v>
      </c>
      <c r="N295" s="155">
        <v>30</v>
      </c>
      <c r="O295" s="155">
        <v>100</v>
      </c>
      <c r="P295" s="155">
        <f>ROUND(F295*0.0875*13,2)</f>
        <v>679.09</v>
      </c>
      <c r="Q295" s="155"/>
      <c r="R295" s="155">
        <f>P295/13</f>
        <v>52.237692307692313</v>
      </c>
      <c r="S295" s="155"/>
      <c r="T295" s="155"/>
      <c r="U295" s="155">
        <f>ROUND(F295*0.075*13,2)</f>
        <v>582.08000000000004</v>
      </c>
      <c r="V295" s="155">
        <f>U295/13</f>
        <v>44.775384615384617</v>
      </c>
      <c r="W295" s="155"/>
      <c r="X295" s="155"/>
      <c r="Y295" s="155">
        <f>P295+S295+U295+W295</f>
        <v>1261.17</v>
      </c>
      <c r="Z295" s="155">
        <f>ROUND(F295*0.01*13,2)</f>
        <v>77.61</v>
      </c>
      <c r="AA295" s="155">
        <f>Z295/13</f>
        <v>5.97</v>
      </c>
      <c r="AB295" s="155">
        <f>F295/30/7*1.5*45</f>
        <v>191.89285714285714</v>
      </c>
      <c r="AC295" s="155">
        <f>ROUND(AB295*0.0875,2)</f>
        <v>16.79</v>
      </c>
      <c r="AD295" s="155"/>
      <c r="AE295" s="155">
        <f>ROUND(AB295*0.075,2)</f>
        <v>14.39</v>
      </c>
      <c r="AF295" s="155"/>
      <c r="AG295" s="155">
        <f>AC295+AD295+AE295+AF295</f>
        <v>31.18</v>
      </c>
      <c r="AH295" s="155">
        <f>AB295*0.01</f>
        <v>1.9189285714285713</v>
      </c>
      <c r="AI295" s="155"/>
      <c r="AJ295" s="155"/>
      <c r="AK295" s="155"/>
      <c r="AL295" s="155"/>
    </row>
    <row r="296" spans="1:38" s="126" customFormat="1" ht="21.9" customHeight="1">
      <c r="A296" s="154">
        <f>A295+1</f>
        <v>236</v>
      </c>
      <c r="B296" s="177" t="s">
        <v>682</v>
      </c>
      <c r="C296" s="175" t="s">
        <v>452</v>
      </c>
      <c r="D296" s="161" t="s">
        <v>79</v>
      </c>
      <c r="E296" s="163" t="s">
        <v>668</v>
      </c>
      <c r="F296" s="155">
        <f>497+50</f>
        <v>547</v>
      </c>
      <c r="G296" s="155">
        <f>F296*12</f>
        <v>6564</v>
      </c>
      <c r="H296" s="155">
        <v>70</v>
      </c>
      <c r="I296" s="155"/>
      <c r="J296" s="155">
        <f>F296</f>
        <v>547</v>
      </c>
      <c r="K296" s="155">
        <v>300</v>
      </c>
      <c r="L296" s="155"/>
      <c r="M296" s="155">
        <v>125</v>
      </c>
      <c r="N296" s="155">
        <v>30</v>
      </c>
      <c r="O296" s="155">
        <v>100</v>
      </c>
      <c r="P296" s="155">
        <f>ROUND(F296*0.0875*13,2)</f>
        <v>622.21</v>
      </c>
      <c r="Q296" s="155">
        <f>P296/13</f>
        <v>47.862307692307695</v>
      </c>
      <c r="R296" s="155"/>
      <c r="S296" s="155"/>
      <c r="T296" s="155"/>
      <c r="U296" s="155">
        <f>ROUND(F296*0.075*13,2)</f>
        <v>533.33000000000004</v>
      </c>
      <c r="V296" s="155">
        <f>U296/13</f>
        <v>41.025384615384617</v>
      </c>
      <c r="W296" s="155"/>
      <c r="X296" s="155"/>
      <c r="Y296" s="155">
        <f>P296+S296+U296+W296</f>
        <v>1155.54</v>
      </c>
      <c r="Z296" s="155">
        <f>ROUND(F296*0.01*13,2)</f>
        <v>71.11</v>
      </c>
      <c r="AA296" s="155">
        <f>Z296/13</f>
        <v>5.47</v>
      </c>
      <c r="AB296" s="155">
        <f>F296/30/7*1.5*45</f>
        <v>175.82142857142858</v>
      </c>
      <c r="AC296" s="155">
        <f>ROUND(AB296*0.0875,2)</f>
        <v>15.38</v>
      </c>
      <c r="AD296" s="155"/>
      <c r="AE296" s="155">
        <f>ROUND(AB296*0.075,2)</f>
        <v>13.19</v>
      </c>
      <c r="AF296" s="155"/>
      <c r="AG296" s="155">
        <f t="shared" ref="AG296:AG359" si="246">AC296+AD296+AE296+AF296</f>
        <v>28.57</v>
      </c>
      <c r="AH296" s="155">
        <f>AB296*0.01</f>
        <v>1.758214285714286</v>
      </c>
      <c r="AI296" s="155"/>
      <c r="AJ296" s="155"/>
      <c r="AK296" s="155"/>
      <c r="AL296" s="155"/>
    </row>
    <row r="297" spans="1:38" ht="21.9" customHeight="1">
      <c r="B297" s="207" t="s">
        <v>457</v>
      </c>
      <c r="C297" s="161"/>
      <c r="D297" s="161"/>
      <c r="E297" s="163"/>
      <c r="F297" s="152"/>
      <c r="G297" s="152"/>
      <c r="H297" s="152"/>
      <c r="I297" s="152"/>
      <c r="J297" s="152"/>
      <c r="K297" s="152"/>
      <c r="L297" s="152"/>
      <c r="M297" s="152"/>
      <c r="N297" s="155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  <c r="AD297" s="152"/>
      <c r="AE297" s="152"/>
      <c r="AF297" s="152"/>
      <c r="AG297" s="152"/>
      <c r="AH297" s="152"/>
      <c r="AI297" s="155"/>
      <c r="AJ297" s="155"/>
      <c r="AK297" s="155"/>
      <c r="AL297" s="155"/>
    </row>
    <row r="298" spans="1:38" ht="21.9" customHeight="1">
      <c r="A298" s="154">
        <f>A296+1</f>
        <v>237</v>
      </c>
      <c r="B298" s="177" t="s">
        <v>459</v>
      </c>
      <c r="C298" s="175" t="s">
        <v>452</v>
      </c>
      <c r="D298" s="161" t="s">
        <v>79</v>
      </c>
      <c r="E298" s="163" t="s">
        <v>668</v>
      </c>
      <c r="F298" s="155">
        <v>700</v>
      </c>
      <c r="G298" s="155">
        <f t="shared" ref="G298:G307" si="247">F298*12</f>
        <v>8400</v>
      </c>
      <c r="H298" s="155">
        <v>70</v>
      </c>
      <c r="I298" s="155"/>
      <c r="J298" s="155">
        <f t="shared" ref="J298:J328" si="248">F298</f>
        <v>700</v>
      </c>
      <c r="K298" s="155">
        <v>300</v>
      </c>
      <c r="L298" s="155"/>
      <c r="M298" s="155"/>
      <c r="N298" s="155">
        <v>30</v>
      </c>
      <c r="O298" s="155">
        <v>100</v>
      </c>
      <c r="P298" s="155">
        <f t="shared" ref="P298:P315" si="249">ROUND(F298*0.0875*13,2)</f>
        <v>796.25</v>
      </c>
      <c r="Q298" s="155"/>
      <c r="R298" s="155">
        <f>P298/13</f>
        <v>61.25</v>
      </c>
      <c r="S298" s="155"/>
      <c r="T298" s="155"/>
      <c r="U298" s="155">
        <f t="shared" ref="U298:U361" si="250">ROUND(F298*0.075*13,2)</f>
        <v>682.5</v>
      </c>
      <c r="V298" s="155">
        <f t="shared" ref="V298:V315" si="251">U298/13</f>
        <v>52.5</v>
      </c>
      <c r="W298" s="155"/>
      <c r="X298" s="155"/>
      <c r="Y298" s="155">
        <f t="shared" ref="Y298:Y315" si="252">P298+S298+U298+W298</f>
        <v>1478.75</v>
      </c>
      <c r="Z298" s="155">
        <f t="shared" ref="Z298:Z315" si="253">ROUND(F298*0.01*13,2)</f>
        <v>91</v>
      </c>
      <c r="AA298" s="155">
        <f>Z298/13</f>
        <v>7</v>
      </c>
      <c r="AB298" s="155">
        <f t="shared" ref="AB298:AB315" si="254">F298/30/7*1.5*45</f>
        <v>225</v>
      </c>
      <c r="AC298" s="155">
        <f>ROUND(AB298*0.0875,2)</f>
        <v>19.690000000000001</v>
      </c>
      <c r="AD298" s="155"/>
      <c r="AE298" s="155">
        <f>ROUND(AB298*0.075,2)</f>
        <v>16.88</v>
      </c>
      <c r="AF298" s="155"/>
      <c r="AG298" s="155">
        <f t="shared" si="246"/>
        <v>36.57</v>
      </c>
      <c r="AH298" s="155">
        <f t="shared" ref="AH298:AH314" si="255">AB298*0.01</f>
        <v>2.25</v>
      </c>
      <c r="AI298" s="155"/>
      <c r="AJ298" s="155"/>
      <c r="AK298" s="155"/>
      <c r="AL298" s="155"/>
    </row>
    <row r="299" spans="1:38" ht="21.9" customHeight="1">
      <c r="A299" s="154">
        <f t="shared" ref="A299:A315" si="256">A298+1</f>
        <v>238</v>
      </c>
      <c r="B299" s="177" t="s">
        <v>461</v>
      </c>
      <c r="C299" s="175" t="s">
        <v>452</v>
      </c>
      <c r="D299" s="161" t="s">
        <v>79</v>
      </c>
      <c r="E299" s="163" t="s">
        <v>668</v>
      </c>
      <c r="F299" s="155">
        <f>712+30+50+50</f>
        <v>842</v>
      </c>
      <c r="G299" s="155">
        <f t="shared" si="247"/>
        <v>10104</v>
      </c>
      <c r="H299" s="155">
        <v>70</v>
      </c>
      <c r="I299" s="155"/>
      <c r="J299" s="155">
        <f t="shared" si="248"/>
        <v>842</v>
      </c>
      <c r="K299" s="155">
        <v>300</v>
      </c>
      <c r="L299" s="155"/>
      <c r="M299" s="155">
        <v>125</v>
      </c>
      <c r="N299" s="155">
        <v>30</v>
      </c>
      <c r="O299" s="155">
        <v>100</v>
      </c>
      <c r="P299" s="155">
        <f t="shared" si="249"/>
        <v>957.78</v>
      </c>
      <c r="Q299" s="155">
        <f>P299/13</f>
        <v>73.675384615384615</v>
      </c>
      <c r="R299" s="155"/>
      <c r="S299" s="155"/>
      <c r="T299" s="155"/>
      <c r="U299" s="155">
        <f t="shared" si="250"/>
        <v>820.95</v>
      </c>
      <c r="V299" s="155">
        <f t="shared" si="251"/>
        <v>63.150000000000006</v>
      </c>
      <c r="W299" s="155"/>
      <c r="X299" s="155"/>
      <c r="Y299" s="155">
        <f t="shared" si="252"/>
        <v>1778.73</v>
      </c>
      <c r="Z299" s="155">
        <f t="shared" si="253"/>
        <v>109.46</v>
      </c>
      <c r="AA299" s="155">
        <f t="shared" ref="AA299:AA307" si="257">Z299/13</f>
        <v>8.42</v>
      </c>
      <c r="AB299" s="155">
        <f t="shared" si="254"/>
        <v>270.64285714285717</v>
      </c>
      <c r="AC299" s="155">
        <f t="shared" ref="AC299:AC315" si="258">ROUND(AB299*0.0875,2)</f>
        <v>23.68</v>
      </c>
      <c r="AD299" s="155"/>
      <c r="AE299" s="155">
        <f t="shared" ref="AE299:AE315" si="259">ROUND(AB299*0.075,2)</f>
        <v>20.3</v>
      </c>
      <c r="AF299" s="155"/>
      <c r="AG299" s="155">
        <f t="shared" si="246"/>
        <v>43.980000000000004</v>
      </c>
      <c r="AH299" s="155">
        <f t="shared" si="255"/>
        <v>2.7064285714285718</v>
      </c>
      <c r="AI299" s="155"/>
      <c r="AJ299" s="155"/>
      <c r="AK299" s="155"/>
      <c r="AL299" s="155"/>
    </row>
    <row r="300" spans="1:38" ht="21.9" customHeight="1">
      <c r="A300" s="154">
        <f t="shared" si="256"/>
        <v>239</v>
      </c>
      <c r="B300" s="177" t="s">
        <v>461</v>
      </c>
      <c r="C300" s="175" t="s">
        <v>452</v>
      </c>
      <c r="D300" s="161" t="s">
        <v>79</v>
      </c>
      <c r="E300" s="163" t="s">
        <v>668</v>
      </c>
      <c r="F300" s="155">
        <f>694.29+30+50+50</f>
        <v>824.29</v>
      </c>
      <c r="G300" s="155">
        <f t="shared" si="247"/>
        <v>9891.48</v>
      </c>
      <c r="H300" s="155">
        <v>70</v>
      </c>
      <c r="I300" s="155"/>
      <c r="J300" s="155">
        <f t="shared" si="248"/>
        <v>824.29</v>
      </c>
      <c r="K300" s="155">
        <v>300</v>
      </c>
      <c r="L300" s="155"/>
      <c r="M300" s="155">
        <v>125</v>
      </c>
      <c r="N300" s="155">
        <v>30</v>
      </c>
      <c r="O300" s="155">
        <v>100</v>
      </c>
      <c r="P300" s="155">
        <f t="shared" si="249"/>
        <v>937.63</v>
      </c>
      <c r="Q300" s="155">
        <f>P300/13</f>
        <v>72.125384615384618</v>
      </c>
      <c r="R300" s="155"/>
      <c r="S300" s="155"/>
      <c r="T300" s="155"/>
      <c r="U300" s="155">
        <f t="shared" si="250"/>
        <v>803.68</v>
      </c>
      <c r="V300" s="155">
        <f t="shared" si="251"/>
        <v>61.821538461538459</v>
      </c>
      <c r="W300" s="155"/>
      <c r="X300" s="155"/>
      <c r="Y300" s="155">
        <f t="shared" si="252"/>
        <v>1741.31</v>
      </c>
      <c r="Z300" s="155">
        <f t="shared" si="253"/>
        <v>107.16</v>
      </c>
      <c r="AA300" s="155">
        <f t="shared" si="257"/>
        <v>8.2430769230769236</v>
      </c>
      <c r="AB300" s="155">
        <f t="shared" si="254"/>
        <v>264.95035714285711</v>
      </c>
      <c r="AC300" s="155">
        <f t="shared" si="258"/>
        <v>23.18</v>
      </c>
      <c r="AD300" s="155"/>
      <c r="AE300" s="155">
        <f t="shared" si="259"/>
        <v>19.87</v>
      </c>
      <c r="AF300" s="155"/>
      <c r="AG300" s="155">
        <f t="shared" si="246"/>
        <v>43.05</v>
      </c>
      <c r="AH300" s="155">
        <f t="shared" si="255"/>
        <v>2.6495035714285713</v>
      </c>
      <c r="AI300" s="155"/>
      <c r="AJ300" s="155"/>
      <c r="AK300" s="155"/>
      <c r="AL300" s="155"/>
    </row>
    <row r="301" spans="1:38" ht="21.9" customHeight="1">
      <c r="A301" s="154">
        <f t="shared" si="256"/>
        <v>240</v>
      </c>
      <c r="B301" s="177" t="s">
        <v>464</v>
      </c>
      <c r="C301" s="175" t="s">
        <v>452</v>
      </c>
      <c r="D301" s="161" t="s">
        <v>79</v>
      </c>
      <c r="E301" s="163" t="s">
        <v>668</v>
      </c>
      <c r="F301" s="155">
        <f>547+30+50+50</f>
        <v>677</v>
      </c>
      <c r="G301" s="155">
        <f t="shared" si="247"/>
        <v>8124</v>
      </c>
      <c r="H301" s="155">
        <v>70</v>
      </c>
      <c r="I301" s="155"/>
      <c r="J301" s="155">
        <f t="shared" si="248"/>
        <v>677</v>
      </c>
      <c r="K301" s="155">
        <v>300</v>
      </c>
      <c r="L301" s="155"/>
      <c r="M301" s="155">
        <v>125</v>
      </c>
      <c r="N301" s="155">
        <v>30</v>
      </c>
      <c r="O301" s="155">
        <v>100</v>
      </c>
      <c r="P301" s="155">
        <f t="shared" si="249"/>
        <v>770.09</v>
      </c>
      <c r="Q301" s="226"/>
      <c r="R301" s="155">
        <f>P301/13</f>
        <v>59.237692307692313</v>
      </c>
      <c r="S301" s="155"/>
      <c r="T301" s="155"/>
      <c r="U301" s="155">
        <f t="shared" si="250"/>
        <v>660.08</v>
      </c>
      <c r="V301" s="155">
        <f t="shared" si="251"/>
        <v>50.775384615384617</v>
      </c>
      <c r="W301" s="155"/>
      <c r="X301" s="155"/>
      <c r="Y301" s="155">
        <f t="shared" si="252"/>
        <v>1430.17</v>
      </c>
      <c r="Z301" s="155">
        <f t="shared" si="253"/>
        <v>88.01</v>
      </c>
      <c r="AA301" s="155">
        <f t="shared" si="257"/>
        <v>6.7700000000000005</v>
      </c>
      <c r="AB301" s="155">
        <f t="shared" si="254"/>
        <v>217.60714285714283</v>
      </c>
      <c r="AC301" s="155">
        <f t="shared" si="258"/>
        <v>19.04</v>
      </c>
      <c r="AD301" s="155"/>
      <c r="AE301" s="155">
        <f t="shared" si="259"/>
        <v>16.32</v>
      </c>
      <c r="AF301" s="155"/>
      <c r="AG301" s="155">
        <f t="shared" si="246"/>
        <v>35.36</v>
      </c>
      <c r="AH301" s="155">
        <f t="shared" si="255"/>
        <v>2.1760714285714284</v>
      </c>
      <c r="AI301" s="155"/>
      <c r="AJ301" s="155"/>
      <c r="AK301" s="155"/>
      <c r="AL301" s="155"/>
    </row>
    <row r="302" spans="1:38" ht="21.9" customHeight="1">
      <c r="A302" s="154">
        <f t="shared" si="256"/>
        <v>241</v>
      </c>
      <c r="B302" s="177" t="s">
        <v>464</v>
      </c>
      <c r="C302" s="175" t="s">
        <v>452</v>
      </c>
      <c r="D302" s="161" t="s">
        <v>79</v>
      </c>
      <c r="E302" s="163" t="s">
        <v>668</v>
      </c>
      <c r="F302" s="155">
        <f>547+30+50+50</f>
        <v>677</v>
      </c>
      <c r="G302" s="155">
        <f t="shared" si="247"/>
        <v>8124</v>
      </c>
      <c r="H302" s="155">
        <v>70</v>
      </c>
      <c r="I302" s="155"/>
      <c r="J302" s="155">
        <f t="shared" si="248"/>
        <v>677</v>
      </c>
      <c r="K302" s="155">
        <v>300</v>
      </c>
      <c r="L302" s="155"/>
      <c r="M302" s="155">
        <v>125</v>
      </c>
      <c r="N302" s="155">
        <v>30</v>
      </c>
      <c r="O302" s="155">
        <v>100</v>
      </c>
      <c r="P302" s="155">
        <f t="shared" si="249"/>
        <v>770.09</v>
      </c>
      <c r="Q302" s="155">
        <f>P302/13</f>
        <v>59.237692307692313</v>
      </c>
      <c r="R302" s="155"/>
      <c r="S302" s="155"/>
      <c r="T302" s="155"/>
      <c r="U302" s="155">
        <f t="shared" si="250"/>
        <v>660.08</v>
      </c>
      <c r="V302" s="155">
        <f t="shared" si="251"/>
        <v>50.775384615384617</v>
      </c>
      <c r="W302" s="155"/>
      <c r="X302" s="155"/>
      <c r="Y302" s="155">
        <f t="shared" si="252"/>
        <v>1430.17</v>
      </c>
      <c r="Z302" s="155">
        <f t="shared" si="253"/>
        <v>88.01</v>
      </c>
      <c r="AA302" s="155">
        <f t="shared" si="257"/>
        <v>6.7700000000000005</v>
      </c>
      <c r="AB302" s="155">
        <f t="shared" si="254"/>
        <v>217.60714285714283</v>
      </c>
      <c r="AC302" s="155">
        <f t="shared" si="258"/>
        <v>19.04</v>
      </c>
      <c r="AD302" s="155"/>
      <c r="AE302" s="155">
        <f t="shared" si="259"/>
        <v>16.32</v>
      </c>
      <c r="AF302" s="155"/>
      <c r="AG302" s="155">
        <f t="shared" si="246"/>
        <v>35.36</v>
      </c>
      <c r="AH302" s="155">
        <f t="shared" si="255"/>
        <v>2.1760714285714284</v>
      </c>
      <c r="AI302" s="155"/>
      <c r="AJ302" s="155"/>
      <c r="AK302" s="155"/>
      <c r="AL302" s="155"/>
    </row>
    <row r="303" spans="1:38" ht="21.9" customHeight="1">
      <c r="A303" s="154">
        <f t="shared" si="256"/>
        <v>242</v>
      </c>
      <c r="B303" s="177" t="s">
        <v>632</v>
      </c>
      <c r="C303" s="175" t="s">
        <v>452</v>
      </c>
      <c r="D303" s="161" t="s">
        <v>79</v>
      </c>
      <c r="E303" s="163" t="s">
        <v>668</v>
      </c>
      <c r="F303" s="155">
        <f>467+30+50+50</f>
        <v>597</v>
      </c>
      <c r="G303" s="155">
        <f t="shared" si="247"/>
        <v>7164</v>
      </c>
      <c r="H303" s="155">
        <v>70</v>
      </c>
      <c r="I303" s="155"/>
      <c r="J303" s="155">
        <f t="shared" si="248"/>
        <v>597</v>
      </c>
      <c r="K303" s="155">
        <v>300</v>
      </c>
      <c r="L303" s="155"/>
      <c r="M303" s="155"/>
      <c r="N303" s="155">
        <v>30</v>
      </c>
      <c r="O303" s="155">
        <v>100</v>
      </c>
      <c r="P303" s="155">
        <f t="shared" si="249"/>
        <v>679.09</v>
      </c>
      <c r="Q303" s="155"/>
      <c r="R303" s="155">
        <f>P303/13</f>
        <v>52.237692307692313</v>
      </c>
      <c r="S303" s="155"/>
      <c r="T303" s="155"/>
      <c r="U303" s="155">
        <f t="shared" si="250"/>
        <v>582.08000000000004</v>
      </c>
      <c r="V303" s="155">
        <f t="shared" si="251"/>
        <v>44.775384615384617</v>
      </c>
      <c r="W303" s="155"/>
      <c r="X303" s="155"/>
      <c r="Y303" s="155">
        <f t="shared" si="252"/>
        <v>1261.17</v>
      </c>
      <c r="Z303" s="155">
        <f t="shared" si="253"/>
        <v>77.61</v>
      </c>
      <c r="AA303" s="155">
        <f t="shared" si="257"/>
        <v>5.97</v>
      </c>
      <c r="AB303" s="155">
        <f t="shared" si="254"/>
        <v>191.89285714285714</v>
      </c>
      <c r="AC303" s="155">
        <f t="shared" si="258"/>
        <v>16.79</v>
      </c>
      <c r="AD303" s="155"/>
      <c r="AE303" s="155">
        <f t="shared" si="259"/>
        <v>14.39</v>
      </c>
      <c r="AF303" s="155"/>
      <c r="AG303" s="155">
        <f t="shared" si="246"/>
        <v>31.18</v>
      </c>
      <c r="AH303" s="155">
        <f t="shared" si="255"/>
        <v>1.9189285714285713</v>
      </c>
      <c r="AI303" s="155"/>
      <c r="AJ303" s="155"/>
      <c r="AK303" s="155"/>
      <c r="AL303" s="155"/>
    </row>
    <row r="304" spans="1:38" ht="21.9" customHeight="1">
      <c r="A304" s="154">
        <f t="shared" si="256"/>
        <v>243</v>
      </c>
      <c r="B304" s="177" t="s">
        <v>632</v>
      </c>
      <c r="C304" s="175" t="s">
        <v>452</v>
      </c>
      <c r="D304" s="161" t="s">
        <v>79</v>
      </c>
      <c r="E304" s="163" t="s">
        <v>668</v>
      </c>
      <c r="F304" s="155">
        <f>417+30+50</f>
        <v>497</v>
      </c>
      <c r="G304" s="155">
        <f t="shared" si="247"/>
        <v>5964</v>
      </c>
      <c r="H304" s="155">
        <v>70</v>
      </c>
      <c r="I304" s="155"/>
      <c r="J304" s="155">
        <f t="shared" si="248"/>
        <v>497</v>
      </c>
      <c r="K304" s="155">
        <v>300</v>
      </c>
      <c r="L304" s="155"/>
      <c r="M304" s="155"/>
      <c r="N304" s="155">
        <v>30</v>
      </c>
      <c r="O304" s="155">
        <v>100</v>
      </c>
      <c r="P304" s="155">
        <f t="shared" si="249"/>
        <v>565.34</v>
      </c>
      <c r="Q304" s="226"/>
      <c r="R304" s="155">
        <f>P304/13</f>
        <v>43.487692307692313</v>
      </c>
      <c r="S304" s="155"/>
      <c r="T304" s="155"/>
      <c r="U304" s="155">
        <f t="shared" si="250"/>
        <v>484.58</v>
      </c>
      <c r="V304" s="155">
        <f t="shared" si="251"/>
        <v>37.275384615384617</v>
      </c>
      <c r="W304" s="155"/>
      <c r="X304" s="155"/>
      <c r="Y304" s="155">
        <f t="shared" si="252"/>
        <v>1049.92</v>
      </c>
      <c r="Z304" s="155">
        <f t="shared" si="253"/>
        <v>64.61</v>
      </c>
      <c r="AA304" s="155">
        <f>Z304/13</f>
        <v>4.97</v>
      </c>
      <c r="AB304" s="155">
        <f t="shared" si="254"/>
        <v>159.75</v>
      </c>
      <c r="AC304" s="155">
        <f t="shared" si="258"/>
        <v>13.98</v>
      </c>
      <c r="AD304" s="155"/>
      <c r="AE304" s="155">
        <f t="shared" si="259"/>
        <v>11.98</v>
      </c>
      <c r="AF304" s="155"/>
      <c r="AG304" s="155">
        <f t="shared" si="246"/>
        <v>25.96</v>
      </c>
      <c r="AH304" s="155">
        <f t="shared" si="255"/>
        <v>1.5975000000000001</v>
      </c>
      <c r="AI304" s="155"/>
      <c r="AJ304" s="155"/>
      <c r="AK304" s="155"/>
      <c r="AL304" s="155"/>
    </row>
    <row r="305" spans="1:38" ht="21.9" customHeight="1">
      <c r="A305" s="154">
        <f t="shared" si="256"/>
        <v>244</v>
      </c>
      <c r="B305" s="177" t="s">
        <v>683</v>
      </c>
      <c r="C305" s="175" t="s">
        <v>452</v>
      </c>
      <c r="D305" s="161" t="s">
        <v>79</v>
      </c>
      <c r="E305" s="163" t="s">
        <v>668</v>
      </c>
      <c r="F305" s="155">
        <f>669.15+30+50+50</f>
        <v>799.15</v>
      </c>
      <c r="G305" s="155">
        <f t="shared" si="247"/>
        <v>9589.7999999999993</v>
      </c>
      <c r="H305" s="155">
        <v>70</v>
      </c>
      <c r="I305" s="155"/>
      <c r="J305" s="155">
        <f t="shared" si="248"/>
        <v>799.15</v>
      </c>
      <c r="K305" s="155">
        <v>300</v>
      </c>
      <c r="L305" s="155"/>
      <c r="M305" s="155">
        <v>125</v>
      </c>
      <c r="N305" s="155">
        <v>30</v>
      </c>
      <c r="O305" s="155">
        <v>100</v>
      </c>
      <c r="P305" s="155">
        <f t="shared" si="249"/>
        <v>909.03</v>
      </c>
      <c r="Q305" s="155">
        <f>P305/13</f>
        <v>69.925384615384615</v>
      </c>
      <c r="R305" s="155"/>
      <c r="S305" s="155"/>
      <c r="T305" s="155"/>
      <c r="U305" s="155">
        <f t="shared" si="250"/>
        <v>779.17</v>
      </c>
      <c r="V305" s="155">
        <f t="shared" si="251"/>
        <v>59.936153846153843</v>
      </c>
      <c r="W305" s="155"/>
      <c r="X305" s="155"/>
      <c r="Y305" s="155">
        <f t="shared" si="252"/>
        <v>1688.1999999999998</v>
      </c>
      <c r="Z305" s="155">
        <f t="shared" si="253"/>
        <v>103.89</v>
      </c>
      <c r="AA305" s="155">
        <f>Z305/13</f>
        <v>7.9915384615384619</v>
      </c>
      <c r="AB305" s="155">
        <f t="shared" si="254"/>
        <v>256.86964285714288</v>
      </c>
      <c r="AC305" s="155">
        <f t="shared" si="258"/>
        <v>22.48</v>
      </c>
      <c r="AD305" s="155"/>
      <c r="AE305" s="155">
        <f t="shared" si="259"/>
        <v>19.27</v>
      </c>
      <c r="AF305" s="155"/>
      <c r="AG305" s="155">
        <f t="shared" si="246"/>
        <v>41.75</v>
      </c>
      <c r="AH305" s="155">
        <f>AB305*0.01</f>
        <v>2.5686964285714287</v>
      </c>
      <c r="AI305" s="155"/>
      <c r="AJ305" s="155"/>
      <c r="AK305" s="155"/>
      <c r="AL305" s="155"/>
    </row>
    <row r="306" spans="1:38" ht="21.9" customHeight="1">
      <c r="A306" s="154">
        <f t="shared" si="256"/>
        <v>245</v>
      </c>
      <c r="B306" s="177" t="s">
        <v>683</v>
      </c>
      <c r="C306" s="175" t="s">
        <v>452</v>
      </c>
      <c r="D306" s="161" t="s">
        <v>79</v>
      </c>
      <c r="E306" s="163" t="s">
        <v>668</v>
      </c>
      <c r="F306" s="155">
        <f>669.15+30+50+50</f>
        <v>799.15</v>
      </c>
      <c r="G306" s="155">
        <f t="shared" si="247"/>
        <v>9589.7999999999993</v>
      </c>
      <c r="H306" s="155">
        <v>70</v>
      </c>
      <c r="I306" s="155"/>
      <c r="J306" s="155">
        <f t="shared" si="248"/>
        <v>799.15</v>
      </c>
      <c r="K306" s="155">
        <v>300</v>
      </c>
      <c r="L306" s="155"/>
      <c r="M306" s="155">
        <v>125</v>
      </c>
      <c r="N306" s="155">
        <v>30</v>
      </c>
      <c r="O306" s="155">
        <v>100</v>
      </c>
      <c r="P306" s="155">
        <f t="shared" si="249"/>
        <v>909.03</v>
      </c>
      <c r="Q306" s="226"/>
      <c r="R306" s="155">
        <f t="shared" ref="R306:R314" si="260">P306/13</f>
        <v>69.925384615384615</v>
      </c>
      <c r="S306" s="155"/>
      <c r="T306" s="155"/>
      <c r="U306" s="155">
        <f t="shared" si="250"/>
        <v>779.17</v>
      </c>
      <c r="V306" s="155">
        <f t="shared" si="251"/>
        <v>59.936153846153843</v>
      </c>
      <c r="W306" s="155"/>
      <c r="X306" s="155"/>
      <c r="Y306" s="155">
        <f t="shared" si="252"/>
        <v>1688.1999999999998</v>
      </c>
      <c r="Z306" s="155">
        <f t="shared" si="253"/>
        <v>103.89</v>
      </c>
      <c r="AA306" s="155">
        <f>Z306/13</f>
        <v>7.9915384615384619</v>
      </c>
      <c r="AB306" s="155">
        <f t="shared" si="254"/>
        <v>256.86964285714288</v>
      </c>
      <c r="AC306" s="155">
        <f t="shared" si="258"/>
        <v>22.48</v>
      </c>
      <c r="AD306" s="155"/>
      <c r="AE306" s="155">
        <f t="shared" si="259"/>
        <v>19.27</v>
      </c>
      <c r="AF306" s="155"/>
      <c r="AG306" s="155">
        <f t="shared" si="246"/>
        <v>41.75</v>
      </c>
      <c r="AH306" s="155">
        <f>AB306*0.01</f>
        <v>2.5686964285714287</v>
      </c>
      <c r="AI306" s="155"/>
      <c r="AJ306" s="155"/>
      <c r="AK306" s="155"/>
      <c r="AL306" s="155"/>
    </row>
    <row r="307" spans="1:38" ht="21.9" customHeight="1">
      <c r="A307" s="154">
        <f t="shared" si="256"/>
        <v>246</v>
      </c>
      <c r="B307" s="177" t="s">
        <v>470</v>
      </c>
      <c r="C307" s="175" t="s">
        <v>452</v>
      </c>
      <c r="D307" s="161" t="s">
        <v>79</v>
      </c>
      <c r="E307" s="163" t="s">
        <v>668</v>
      </c>
      <c r="F307" s="155">
        <f>621.72+30+50+50</f>
        <v>751.72</v>
      </c>
      <c r="G307" s="155">
        <f t="shared" si="247"/>
        <v>9020.64</v>
      </c>
      <c r="H307" s="155">
        <v>70</v>
      </c>
      <c r="I307" s="155"/>
      <c r="J307" s="155">
        <f t="shared" si="248"/>
        <v>751.72</v>
      </c>
      <c r="K307" s="155">
        <v>300</v>
      </c>
      <c r="L307" s="155"/>
      <c r="M307" s="155">
        <v>125</v>
      </c>
      <c r="N307" s="155">
        <v>30</v>
      </c>
      <c r="O307" s="155">
        <v>100</v>
      </c>
      <c r="P307" s="155">
        <f t="shared" si="249"/>
        <v>855.08</v>
      </c>
      <c r="Q307" s="226"/>
      <c r="R307" s="155">
        <f t="shared" si="260"/>
        <v>65.775384615384624</v>
      </c>
      <c r="S307" s="155"/>
      <c r="T307" s="155"/>
      <c r="U307" s="155">
        <f t="shared" si="250"/>
        <v>732.93</v>
      </c>
      <c r="V307" s="155">
        <f t="shared" si="251"/>
        <v>56.379230769230766</v>
      </c>
      <c r="W307" s="155"/>
      <c r="X307" s="155"/>
      <c r="Y307" s="155">
        <f t="shared" si="252"/>
        <v>1588.01</v>
      </c>
      <c r="Z307" s="155">
        <f t="shared" si="253"/>
        <v>97.72</v>
      </c>
      <c r="AA307" s="155">
        <f t="shared" si="257"/>
        <v>7.516923076923077</v>
      </c>
      <c r="AB307" s="155">
        <f t="shared" si="254"/>
        <v>241.62428571428575</v>
      </c>
      <c r="AC307" s="155">
        <f t="shared" si="258"/>
        <v>21.14</v>
      </c>
      <c r="AD307" s="155"/>
      <c r="AE307" s="155">
        <f t="shared" si="259"/>
        <v>18.12</v>
      </c>
      <c r="AF307" s="155"/>
      <c r="AG307" s="155">
        <f t="shared" si="246"/>
        <v>39.260000000000005</v>
      </c>
      <c r="AH307" s="155">
        <f t="shared" si="255"/>
        <v>2.4162428571428576</v>
      </c>
      <c r="AI307" s="155"/>
      <c r="AJ307" s="155"/>
      <c r="AK307" s="155"/>
      <c r="AL307" s="155"/>
    </row>
    <row r="308" spans="1:38" ht="21.9" customHeight="1">
      <c r="A308" s="154">
        <f t="shared" si="256"/>
        <v>247</v>
      </c>
      <c r="B308" s="177" t="s">
        <v>473</v>
      </c>
      <c r="C308" s="175" t="s">
        <v>452</v>
      </c>
      <c r="D308" s="161" t="s">
        <v>79</v>
      </c>
      <c r="E308" s="163" t="s">
        <v>668</v>
      </c>
      <c r="F308" s="155">
        <f>547+50</f>
        <v>597</v>
      </c>
      <c r="G308" s="155">
        <f t="shared" ref="G308:G313" si="261">F308*12</f>
        <v>7164</v>
      </c>
      <c r="H308" s="155">
        <v>70</v>
      </c>
      <c r="I308" s="155"/>
      <c r="J308" s="155">
        <f t="shared" si="248"/>
        <v>597</v>
      </c>
      <c r="K308" s="155">
        <v>300</v>
      </c>
      <c r="L308" s="155"/>
      <c r="M308" s="155">
        <v>125</v>
      </c>
      <c r="N308" s="155">
        <v>30</v>
      </c>
      <c r="O308" s="155">
        <v>100</v>
      </c>
      <c r="P308" s="155">
        <f t="shared" si="249"/>
        <v>679.09</v>
      </c>
      <c r="Q308" s="155"/>
      <c r="R308" s="155">
        <f t="shared" si="260"/>
        <v>52.237692307692313</v>
      </c>
      <c r="S308" s="155"/>
      <c r="T308" s="155"/>
      <c r="U308" s="155">
        <f t="shared" si="250"/>
        <v>582.08000000000004</v>
      </c>
      <c r="V308" s="155">
        <f t="shared" si="251"/>
        <v>44.775384615384617</v>
      </c>
      <c r="W308" s="155"/>
      <c r="X308" s="155"/>
      <c r="Y308" s="155">
        <f t="shared" si="252"/>
        <v>1261.17</v>
      </c>
      <c r="Z308" s="155">
        <f t="shared" si="253"/>
        <v>77.61</v>
      </c>
      <c r="AA308" s="155">
        <f t="shared" ref="AA308:AA315" si="262">Z308/13</f>
        <v>5.97</v>
      </c>
      <c r="AB308" s="155">
        <f t="shared" si="254"/>
        <v>191.89285714285714</v>
      </c>
      <c r="AC308" s="155">
        <f t="shared" si="258"/>
        <v>16.79</v>
      </c>
      <c r="AD308" s="155"/>
      <c r="AE308" s="155">
        <f t="shared" si="259"/>
        <v>14.39</v>
      </c>
      <c r="AF308" s="155"/>
      <c r="AG308" s="155">
        <f t="shared" si="246"/>
        <v>31.18</v>
      </c>
      <c r="AH308" s="155">
        <f>AB308*0.01</f>
        <v>1.9189285714285713</v>
      </c>
      <c r="AI308" s="155"/>
      <c r="AJ308" s="155"/>
      <c r="AK308" s="155"/>
      <c r="AL308" s="155"/>
    </row>
    <row r="309" spans="1:38" ht="21.9" customHeight="1">
      <c r="A309" s="154">
        <f t="shared" si="256"/>
        <v>248</v>
      </c>
      <c r="B309" s="177" t="s">
        <v>473</v>
      </c>
      <c r="C309" s="175" t="s">
        <v>452</v>
      </c>
      <c r="D309" s="161" t="s">
        <v>79</v>
      </c>
      <c r="E309" s="163" t="s">
        <v>648</v>
      </c>
      <c r="F309" s="155">
        <v>597</v>
      </c>
      <c r="G309" s="155">
        <f t="shared" si="261"/>
        <v>7164</v>
      </c>
      <c r="H309" s="155">
        <v>70</v>
      </c>
      <c r="I309" s="155"/>
      <c r="J309" s="155">
        <f t="shared" si="248"/>
        <v>597</v>
      </c>
      <c r="K309" s="155">
        <v>300</v>
      </c>
      <c r="L309" s="155"/>
      <c r="M309" s="155"/>
      <c r="N309" s="155">
        <v>30</v>
      </c>
      <c r="O309" s="155">
        <v>100</v>
      </c>
      <c r="P309" s="155">
        <f t="shared" si="249"/>
        <v>679.09</v>
      </c>
      <c r="Q309" s="155">
        <f>P309/13</f>
        <v>52.237692307692313</v>
      </c>
      <c r="R309" s="155"/>
      <c r="S309" s="155"/>
      <c r="T309" s="155"/>
      <c r="U309" s="155">
        <f t="shared" si="250"/>
        <v>582.08000000000004</v>
      </c>
      <c r="V309" s="155">
        <f t="shared" si="251"/>
        <v>44.775384615384617</v>
      </c>
      <c r="W309" s="155"/>
      <c r="X309" s="155"/>
      <c r="Y309" s="155">
        <f t="shared" si="252"/>
        <v>1261.17</v>
      </c>
      <c r="Z309" s="155">
        <f t="shared" si="253"/>
        <v>77.61</v>
      </c>
      <c r="AA309" s="155">
        <f t="shared" si="262"/>
        <v>5.97</v>
      </c>
      <c r="AB309" s="155">
        <f t="shared" si="254"/>
        <v>191.89285714285714</v>
      </c>
      <c r="AC309" s="155">
        <f t="shared" si="258"/>
        <v>16.79</v>
      </c>
      <c r="AD309" s="155"/>
      <c r="AE309" s="155">
        <f t="shared" si="259"/>
        <v>14.39</v>
      </c>
      <c r="AF309" s="155"/>
      <c r="AG309" s="155">
        <f t="shared" si="246"/>
        <v>31.18</v>
      </c>
      <c r="AH309" s="155">
        <f>AB309*0.01</f>
        <v>1.9189285714285713</v>
      </c>
      <c r="AI309" s="155"/>
      <c r="AJ309" s="155"/>
      <c r="AK309" s="155"/>
      <c r="AL309" s="155"/>
    </row>
    <row r="310" spans="1:38" ht="21.9" customHeight="1">
      <c r="A310" s="154">
        <f t="shared" si="256"/>
        <v>249</v>
      </c>
      <c r="B310" s="177" t="s">
        <v>473</v>
      </c>
      <c r="C310" s="175" t="s">
        <v>452</v>
      </c>
      <c r="D310" s="161" t="s">
        <v>79</v>
      </c>
      <c r="E310" s="163" t="s">
        <v>668</v>
      </c>
      <c r="F310" s="155">
        <f>614.86+30+50+50</f>
        <v>744.86</v>
      </c>
      <c r="G310" s="155">
        <f t="shared" si="261"/>
        <v>8938.32</v>
      </c>
      <c r="H310" s="155">
        <v>70</v>
      </c>
      <c r="I310" s="155"/>
      <c r="J310" s="155">
        <f>F310</f>
        <v>744.86</v>
      </c>
      <c r="K310" s="155">
        <v>300</v>
      </c>
      <c r="L310" s="155"/>
      <c r="M310" s="155">
        <v>125</v>
      </c>
      <c r="N310" s="155">
        <v>30</v>
      </c>
      <c r="O310" s="155">
        <v>100</v>
      </c>
      <c r="P310" s="155">
        <f t="shared" si="249"/>
        <v>847.28</v>
      </c>
      <c r="Q310" s="226"/>
      <c r="R310" s="155">
        <f t="shared" si="260"/>
        <v>65.175384615384615</v>
      </c>
      <c r="S310" s="155"/>
      <c r="T310" s="155"/>
      <c r="U310" s="155">
        <f t="shared" si="250"/>
        <v>726.24</v>
      </c>
      <c r="V310" s="155">
        <f t="shared" si="251"/>
        <v>55.864615384615384</v>
      </c>
      <c r="W310" s="155"/>
      <c r="X310" s="155"/>
      <c r="Y310" s="155">
        <f t="shared" si="252"/>
        <v>1573.52</v>
      </c>
      <c r="Z310" s="155">
        <f t="shared" si="253"/>
        <v>96.83</v>
      </c>
      <c r="AA310" s="155">
        <f t="shared" si="262"/>
        <v>7.4484615384615385</v>
      </c>
      <c r="AB310" s="155">
        <f t="shared" si="254"/>
        <v>239.41928571428573</v>
      </c>
      <c r="AC310" s="155">
        <f t="shared" si="258"/>
        <v>20.95</v>
      </c>
      <c r="AD310" s="155"/>
      <c r="AE310" s="155">
        <f t="shared" si="259"/>
        <v>17.96</v>
      </c>
      <c r="AF310" s="155"/>
      <c r="AG310" s="155">
        <f t="shared" si="246"/>
        <v>38.909999999999997</v>
      </c>
      <c r="AH310" s="155">
        <f>AB310*0.01</f>
        <v>2.3941928571428575</v>
      </c>
      <c r="AI310" s="155"/>
      <c r="AJ310" s="155"/>
      <c r="AK310" s="155"/>
      <c r="AL310" s="155"/>
    </row>
    <row r="311" spans="1:38" ht="21.9" customHeight="1">
      <c r="A311" s="154">
        <f t="shared" si="256"/>
        <v>250</v>
      </c>
      <c r="B311" s="177" t="s">
        <v>475</v>
      </c>
      <c r="C311" s="175" t="s">
        <v>452</v>
      </c>
      <c r="D311" s="161" t="s">
        <v>79</v>
      </c>
      <c r="E311" s="163" t="s">
        <v>668</v>
      </c>
      <c r="F311" s="155">
        <f>517+30+50+50</f>
        <v>647</v>
      </c>
      <c r="G311" s="155">
        <f t="shared" si="261"/>
        <v>7764</v>
      </c>
      <c r="H311" s="155">
        <v>70</v>
      </c>
      <c r="I311" s="155"/>
      <c r="J311" s="155">
        <f t="shared" si="248"/>
        <v>647</v>
      </c>
      <c r="K311" s="155">
        <v>300</v>
      </c>
      <c r="L311" s="155"/>
      <c r="M311" s="155">
        <v>125</v>
      </c>
      <c r="N311" s="155">
        <v>30</v>
      </c>
      <c r="O311" s="155">
        <v>100</v>
      </c>
      <c r="P311" s="155">
        <f t="shared" si="249"/>
        <v>735.96</v>
      </c>
      <c r="Q311" s="226"/>
      <c r="R311" s="155">
        <f t="shared" si="260"/>
        <v>56.612307692307695</v>
      </c>
      <c r="S311" s="155"/>
      <c r="T311" s="155"/>
      <c r="U311" s="155">
        <f t="shared" si="250"/>
        <v>630.83000000000004</v>
      </c>
      <c r="V311" s="155">
        <f t="shared" si="251"/>
        <v>48.525384615384617</v>
      </c>
      <c r="W311" s="155"/>
      <c r="X311" s="155"/>
      <c r="Y311" s="155">
        <f t="shared" si="252"/>
        <v>1366.79</v>
      </c>
      <c r="Z311" s="155">
        <f t="shared" si="253"/>
        <v>84.11</v>
      </c>
      <c r="AA311" s="155">
        <f t="shared" si="262"/>
        <v>6.47</v>
      </c>
      <c r="AB311" s="155">
        <f t="shared" si="254"/>
        <v>207.96428571428572</v>
      </c>
      <c r="AC311" s="155">
        <f t="shared" si="258"/>
        <v>18.2</v>
      </c>
      <c r="AD311" s="155"/>
      <c r="AE311" s="155">
        <f t="shared" si="259"/>
        <v>15.6</v>
      </c>
      <c r="AF311" s="155"/>
      <c r="AG311" s="155">
        <f t="shared" si="246"/>
        <v>33.799999999999997</v>
      </c>
      <c r="AH311" s="155">
        <f>AB311*0.01</f>
        <v>2.0796428571428573</v>
      </c>
      <c r="AI311" s="155"/>
      <c r="AJ311" s="155"/>
      <c r="AK311" s="155"/>
      <c r="AL311" s="155"/>
    </row>
    <row r="312" spans="1:38" ht="21.9" customHeight="1">
      <c r="A312" s="154">
        <f t="shared" si="256"/>
        <v>251</v>
      </c>
      <c r="B312" s="178" t="s">
        <v>651</v>
      </c>
      <c r="C312" s="175" t="s">
        <v>452</v>
      </c>
      <c r="D312" s="161" t="s">
        <v>79</v>
      </c>
      <c r="E312" s="163" t="s">
        <v>668</v>
      </c>
      <c r="F312" s="155">
        <v>497</v>
      </c>
      <c r="G312" s="155">
        <f t="shared" si="261"/>
        <v>5964</v>
      </c>
      <c r="H312" s="155">
        <v>70</v>
      </c>
      <c r="I312" s="155"/>
      <c r="J312" s="155">
        <f t="shared" si="248"/>
        <v>497</v>
      </c>
      <c r="K312" s="155">
        <v>300</v>
      </c>
      <c r="L312" s="155"/>
      <c r="M312" s="155">
        <v>125</v>
      </c>
      <c r="N312" s="155">
        <v>30</v>
      </c>
      <c r="O312" s="155">
        <v>100</v>
      </c>
      <c r="P312" s="155">
        <f t="shared" si="249"/>
        <v>565.34</v>
      </c>
      <c r="Q312" s="155"/>
      <c r="R312" s="155">
        <f t="shared" si="260"/>
        <v>43.487692307692313</v>
      </c>
      <c r="S312" s="155"/>
      <c r="T312" s="155"/>
      <c r="U312" s="155">
        <f t="shared" si="250"/>
        <v>484.58</v>
      </c>
      <c r="V312" s="155">
        <f t="shared" si="251"/>
        <v>37.275384615384617</v>
      </c>
      <c r="W312" s="155"/>
      <c r="X312" s="155"/>
      <c r="Y312" s="155">
        <f t="shared" si="252"/>
        <v>1049.92</v>
      </c>
      <c r="Z312" s="155">
        <f t="shared" si="253"/>
        <v>64.61</v>
      </c>
      <c r="AA312" s="155">
        <f t="shared" si="262"/>
        <v>4.97</v>
      </c>
      <c r="AB312" s="155">
        <f t="shared" si="254"/>
        <v>159.75</v>
      </c>
      <c r="AC312" s="155">
        <f t="shared" si="258"/>
        <v>13.98</v>
      </c>
      <c r="AD312" s="155"/>
      <c r="AE312" s="155">
        <f t="shared" si="259"/>
        <v>11.98</v>
      </c>
      <c r="AF312" s="155"/>
      <c r="AG312" s="155">
        <f t="shared" si="246"/>
        <v>25.96</v>
      </c>
      <c r="AH312" s="155">
        <f t="shared" si="255"/>
        <v>1.5975000000000001</v>
      </c>
      <c r="AI312" s="155"/>
      <c r="AJ312" s="155"/>
      <c r="AK312" s="155"/>
      <c r="AL312" s="155"/>
    </row>
    <row r="313" spans="1:38" ht="21.9" customHeight="1">
      <c r="A313" s="154">
        <f t="shared" si="256"/>
        <v>252</v>
      </c>
      <c r="B313" s="178" t="s">
        <v>651</v>
      </c>
      <c r="C313" s="175" t="s">
        <v>452</v>
      </c>
      <c r="D313" s="161" t="s">
        <v>79</v>
      </c>
      <c r="E313" s="163" t="s">
        <v>668</v>
      </c>
      <c r="F313" s="155">
        <f>417+50+50</f>
        <v>517</v>
      </c>
      <c r="G313" s="155">
        <f t="shared" si="261"/>
        <v>6204</v>
      </c>
      <c r="H313" s="155">
        <v>70</v>
      </c>
      <c r="I313" s="155"/>
      <c r="J313" s="155">
        <f t="shared" si="248"/>
        <v>517</v>
      </c>
      <c r="K313" s="155">
        <v>300</v>
      </c>
      <c r="L313" s="155"/>
      <c r="M313" s="155">
        <v>125</v>
      </c>
      <c r="N313" s="155">
        <v>30</v>
      </c>
      <c r="O313" s="155">
        <v>100</v>
      </c>
      <c r="P313" s="155">
        <f t="shared" si="249"/>
        <v>588.09</v>
      </c>
      <c r="Q313" s="155"/>
      <c r="R313" s="155">
        <f>P313/13</f>
        <v>45.237692307692313</v>
      </c>
      <c r="S313" s="155"/>
      <c r="T313" s="155"/>
      <c r="U313" s="155">
        <f t="shared" si="250"/>
        <v>504.08</v>
      </c>
      <c r="V313" s="155">
        <f t="shared" si="251"/>
        <v>38.775384615384617</v>
      </c>
      <c r="W313" s="155"/>
      <c r="X313" s="155"/>
      <c r="Y313" s="155">
        <f t="shared" si="252"/>
        <v>1092.17</v>
      </c>
      <c r="Z313" s="155">
        <f t="shared" si="253"/>
        <v>67.209999999999994</v>
      </c>
      <c r="AA313" s="155">
        <f t="shared" si="262"/>
        <v>5.17</v>
      </c>
      <c r="AB313" s="155">
        <f t="shared" si="254"/>
        <v>166.17857142857144</v>
      </c>
      <c r="AC313" s="155">
        <f t="shared" si="258"/>
        <v>14.54</v>
      </c>
      <c r="AD313" s="155"/>
      <c r="AE313" s="155">
        <f t="shared" si="259"/>
        <v>12.46</v>
      </c>
      <c r="AF313" s="155"/>
      <c r="AG313" s="155">
        <f t="shared" si="246"/>
        <v>27</v>
      </c>
      <c r="AH313" s="155">
        <f t="shared" si="255"/>
        <v>1.6617857142857144</v>
      </c>
      <c r="AI313" s="155"/>
      <c r="AJ313" s="155"/>
      <c r="AK313" s="155"/>
      <c r="AL313" s="155"/>
    </row>
    <row r="314" spans="1:38" ht="21.9" customHeight="1">
      <c r="A314" s="154">
        <f t="shared" si="256"/>
        <v>253</v>
      </c>
      <c r="B314" s="178" t="s">
        <v>651</v>
      </c>
      <c r="C314" s="175" t="s">
        <v>452</v>
      </c>
      <c r="D314" s="161" t="s">
        <v>79</v>
      </c>
      <c r="E314" s="163" t="s">
        <v>668</v>
      </c>
      <c r="F314" s="155">
        <f>417</f>
        <v>417</v>
      </c>
      <c r="G314" s="155">
        <f>F314*12</f>
        <v>5004</v>
      </c>
      <c r="H314" s="155">
        <v>70</v>
      </c>
      <c r="I314" s="155"/>
      <c r="J314" s="155">
        <f t="shared" si="248"/>
        <v>417</v>
      </c>
      <c r="K314" s="155">
        <v>300</v>
      </c>
      <c r="L314" s="155"/>
      <c r="M314" s="155">
        <v>125</v>
      </c>
      <c r="N314" s="155">
        <v>30</v>
      </c>
      <c r="O314" s="155">
        <v>100</v>
      </c>
      <c r="P314" s="155">
        <f t="shared" si="249"/>
        <v>474.34</v>
      </c>
      <c r="Q314" s="155"/>
      <c r="R314" s="155">
        <f t="shared" si="260"/>
        <v>36.487692307692306</v>
      </c>
      <c r="S314" s="155"/>
      <c r="T314" s="155"/>
      <c r="U314" s="155">
        <f t="shared" si="250"/>
        <v>406.58</v>
      </c>
      <c r="V314" s="155">
        <f t="shared" si="251"/>
        <v>31.275384615384613</v>
      </c>
      <c r="W314" s="155"/>
      <c r="X314" s="155"/>
      <c r="Y314" s="155">
        <f t="shared" si="252"/>
        <v>880.92</v>
      </c>
      <c r="Z314" s="155">
        <f t="shared" si="253"/>
        <v>54.21</v>
      </c>
      <c r="AA314" s="155">
        <f t="shared" si="262"/>
        <v>4.17</v>
      </c>
      <c r="AB314" s="155">
        <f t="shared" si="254"/>
        <v>134.03571428571428</v>
      </c>
      <c r="AC314" s="155">
        <f t="shared" si="258"/>
        <v>11.73</v>
      </c>
      <c r="AD314" s="155"/>
      <c r="AE314" s="155">
        <f t="shared" si="259"/>
        <v>10.050000000000001</v>
      </c>
      <c r="AF314" s="155"/>
      <c r="AG314" s="155">
        <f t="shared" si="246"/>
        <v>21.78</v>
      </c>
      <c r="AH314" s="155">
        <f t="shared" si="255"/>
        <v>1.3403571428571428</v>
      </c>
      <c r="AI314" s="155"/>
      <c r="AJ314" s="155"/>
      <c r="AK314" s="155"/>
      <c r="AL314" s="155"/>
    </row>
    <row r="315" spans="1:38" ht="21.9" customHeight="1">
      <c r="A315" s="154">
        <f t="shared" si="256"/>
        <v>254</v>
      </c>
      <c r="B315" s="178" t="s">
        <v>485</v>
      </c>
      <c r="C315" s="175" t="s">
        <v>452</v>
      </c>
      <c r="D315" s="161" t="s">
        <v>79</v>
      </c>
      <c r="E315" s="163" t="s">
        <v>668</v>
      </c>
      <c r="F315" s="155">
        <f>547+30+50+50</f>
        <v>677</v>
      </c>
      <c r="G315" s="155">
        <f>F315*12</f>
        <v>8124</v>
      </c>
      <c r="H315" s="155">
        <v>70</v>
      </c>
      <c r="I315" s="155"/>
      <c r="J315" s="155">
        <f>F315</f>
        <v>677</v>
      </c>
      <c r="K315" s="155">
        <v>300</v>
      </c>
      <c r="L315" s="155"/>
      <c r="M315" s="155">
        <v>125</v>
      </c>
      <c r="N315" s="155">
        <v>30</v>
      </c>
      <c r="O315" s="155">
        <v>100</v>
      </c>
      <c r="P315" s="155">
        <f t="shared" si="249"/>
        <v>770.09</v>
      </c>
      <c r="Q315" s="226"/>
      <c r="R315" s="155">
        <f>P315/13</f>
        <v>59.237692307692313</v>
      </c>
      <c r="S315" s="155"/>
      <c r="T315" s="155"/>
      <c r="U315" s="155">
        <f t="shared" si="250"/>
        <v>660.08</v>
      </c>
      <c r="V315" s="155">
        <f t="shared" si="251"/>
        <v>50.775384615384617</v>
      </c>
      <c r="W315" s="155"/>
      <c r="X315" s="155"/>
      <c r="Y315" s="155">
        <f t="shared" si="252"/>
        <v>1430.17</v>
      </c>
      <c r="Z315" s="155">
        <f t="shared" si="253"/>
        <v>88.01</v>
      </c>
      <c r="AA315" s="155">
        <f t="shared" si="262"/>
        <v>6.7700000000000005</v>
      </c>
      <c r="AB315" s="155">
        <f t="shared" si="254"/>
        <v>217.60714285714283</v>
      </c>
      <c r="AC315" s="155">
        <f t="shared" si="258"/>
        <v>19.04</v>
      </c>
      <c r="AD315" s="155"/>
      <c r="AE315" s="155">
        <f t="shared" si="259"/>
        <v>16.32</v>
      </c>
      <c r="AF315" s="155"/>
      <c r="AG315" s="155">
        <f t="shared" si="246"/>
        <v>35.36</v>
      </c>
      <c r="AH315" s="155">
        <f>AB315*0.01</f>
        <v>2.1760714285714284</v>
      </c>
      <c r="AI315" s="155"/>
      <c r="AJ315" s="155"/>
      <c r="AK315" s="155"/>
      <c r="AL315" s="155"/>
    </row>
    <row r="316" spans="1:38" ht="21.9" customHeight="1">
      <c r="A316" s="154"/>
      <c r="B316" s="207" t="s">
        <v>486</v>
      </c>
      <c r="C316" s="175"/>
      <c r="D316" s="161"/>
      <c r="E316" s="163"/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226"/>
      <c r="R316" s="152"/>
      <c r="S316" s="155"/>
      <c r="T316" s="155"/>
      <c r="U316" s="155"/>
      <c r="V316" s="152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</row>
    <row r="317" spans="1:38" ht="21.9" customHeight="1">
      <c r="A317" s="154">
        <f>A315+1</f>
        <v>255</v>
      </c>
      <c r="B317" s="176" t="s">
        <v>488</v>
      </c>
      <c r="C317" s="175" t="s">
        <v>452</v>
      </c>
      <c r="D317" s="161" t="s">
        <v>79</v>
      </c>
      <c r="E317" s="163" t="s">
        <v>668</v>
      </c>
      <c r="F317" s="155">
        <v>700</v>
      </c>
      <c r="G317" s="155">
        <f t="shared" ref="G317:G335" si="263">F317*12</f>
        <v>8400</v>
      </c>
      <c r="H317" s="155">
        <v>70</v>
      </c>
      <c r="I317" s="155"/>
      <c r="J317" s="155">
        <f t="shared" si="248"/>
        <v>700</v>
      </c>
      <c r="K317" s="155">
        <v>300</v>
      </c>
      <c r="L317" s="155"/>
      <c r="M317" s="155">
        <v>125</v>
      </c>
      <c r="N317" s="155">
        <v>30</v>
      </c>
      <c r="O317" s="155">
        <v>100</v>
      </c>
      <c r="P317" s="155">
        <f t="shared" ref="P317:P379" si="264">ROUND(F317*0.0875*13,2)</f>
        <v>796.25</v>
      </c>
      <c r="Q317" s="155"/>
      <c r="R317" s="155">
        <f>P317/13</f>
        <v>61.25</v>
      </c>
      <c r="S317" s="155"/>
      <c r="T317" s="155"/>
      <c r="U317" s="155">
        <f t="shared" si="250"/>
        <v>682.5</v>
      </c>
      <c r="V317" s="155">
        <f t="shared" ref="V317:V335" si="265">U317/13</f>
        <v>52.5</v>
      </c>
      <c r="W317" s="155"/>
      <c r="X317" s="155"/>
      <c r="Y317" s="155">
        <f t="shared" ref="Y317:Y377" si="266">P317+S317+U317+W317</f>
        <v>1478.75</v>
      </c>
      <c r="Z317" s="155">
        <f t="shared" ref="Z317:Z377" si="267">ROUND(F317*0.01*13,2)</f>
        <v>91</v>
      </c>
      <c r="AA317" s="155">
        <f>Z317/13</f>
        <v>7</v>
      </c>
      <c r="AB317" s="155">
        <f t="shared" ref="AB317:AB348" si="268">F317/30/7*1.5*45</f>
        <v>225</v>
      </c>
      <c r="AC317" s="155">
        <f>ROUND(AB317*0.0875,2)</f>
        <v>19.690000000000001</v>
      </c>
      <c r="AD317" s="155"/>
      <c r="AE317" s="155">
        <f>ROUND(AB317*0.075,2)</f>
        <v>16.88</v>
      </c>
      <c r="AF317" s="155"/>
      <c r="AG317" s="155">
        <f t="shared" si="246"/>
        <v>36.57</v>
      </c>
      <c r="AH317" s="155">
        <f t="shared" ref="AH317:AH370" si="269">AB317*0.01</f>
        <v>2.25</v>
      </c>
      <c r="AI317" s="155"/>
      <c r="AJ317" s="155"/>
      <c r="AK317" s="155"/>
      <c r="AL317" s="155"/>
    </row>
    <row r="318" spans="1:38" ht="21.9" customHeight="1">
      <c r="A318" s="154">
        <f t="shared" ref="A318:A377" si="270">A317+1</f>
        <v>256</v>
      </c>
      <c r="B318" s="176" t="s">
        <v>490</v>
      </c>
      <c r="C318" s="175" t="s">
        <v>452</v>
      </c>
      <c r="D318" s="161" t="s">
        <v>79</v>
      </c>
      <c r="E318" s="163" t="s">
        <v>668</v>
      </c>
      <c r="F318" s="155">
        <f>614.86+30+50+50</f>
        <v>744.86</v>
      </c>
      <c r="G318" s="155">
        <f t="shared" si="263"/>
        <v>8938.32</v>
      </c>
      <c r="H318" s="155">
        <v>70</v>
      </c>
      <c r="I318" s="155"/>
      <c r="J318" s="155">
        <f t="shared" si="248"/>
        <v>744.86</v>
      </c>
      <c r="K318" s="155">
        <v>300</v>
      </c>
      <c r="L318" s="155"/>
      <c r="M318" s="155"/>
      <c r="N318" s="155">
        <v>30</v>
      </c>
      <c r="O318" s="155">
        <v>100</v>
      </c>
      <c r="P318" s="155">
        <f t="shared" si="264"/>
        <v>847.28</v>
      </c>
      <c r="Q318" s="226"/>
      <c r="R318" s="155">
        <f>P318/13</f>
        <v>65.175384615384615</v>
      </c>
      <c r="S318" s="155"/>
      <c r="T318" s="155"/>
      <c r="U318" s="155">
        <f t="shared" si="250"/>
        <v>726.24</v>
      </c>
      <c r="V318" s="155">
        <f t="shared" si="265"/>
        <v>55.864615384615384</v>
      </c>
      <c r="W318" s="155"/>
      <c r="X318" s="155"/>
      <c r="Y318" s="155">
        <f t="shared" si="266"/>
        <v>1573.52</v>
      </c>
      <c r="Z318" s="155">
        <f t="shared" si="267"/>
        <v>96.83</v>
      </c>
      <c r="AA318" s="155">
        <f>Z318/13</f>
        <v>7.4484615384615385</v>
      </c>
      <c r="AB318" s="155">
        <f t="shared" si="268"/>
        <v>239.41928571428573</v>
      </c>
      <c r="AC318" s="155">
        <f t="shared" ref="AC318:AC363" si="271">ROUND(AB318*0.0875,2)</f>
        <v>20.95</v>
      </c>
      <c r="AD318" s="155"/>
      <c r="AE318" s="155">
        <f t="shared" ref="AE318:AE377" si="272">ROUND(AB318*0.075,2)</f>
        <v>17.96</v>
      </c>
      <c r="AF318" s="155"/>
      <c r="AG318" s="155">
        <f t="shared" si="246"/>
        <v>38.909999999999997</v>
      </c>
      <c r="AH318" s="155">
        <f>AB318*0.01</f>
        <v>2.3941928571428575</v>
      </c>
      <c r="AI318" s="155"/>
      <c r="AJ318" s="155"/>
      <c r="AK318" s="155"/>
      <c r="AL318" s="155"/>
    </row>
    <row r="319" spans="1:38" ht="21.9" customHeight="1">
      <c r="A319" s="154">
        <f t="shared" si="270"/>
        <v>257</v>
      </c>
      <c r="B319" s="176" t="s">
        <v>490</v>
      </c>
      <c r="C319" s="175" t="s">
        <v>452</v>
      </c>
      <c r="D319" s="161" t="s">
        <v>79</v>
      </c>
      <c r="E319" s="163" t="s">
        <v>668</v>
      </c>
      <c r="F319" s="155">
        <f>614.86+30+50+50</f>
        <v>744.86</v>
      </c>
      <c r="G319" s="155">
        <f t="shared" si="263"/>
        <v>8938.32</v>
      </c>
      <c r="H319" s="155">
        <v>70</v>
      </c>
      <c r="I319" s="155"/>
      <c r="J319" s="155">
        <f t="shared" si="248"/>
        <v>744.86</v>
      </c>
      <c r="K319" s="155">
        <v>300</v>
      </c>
      <c r="L319" s="155"/>
      <c r="M319" s="155"/>
      <c r="N319" s="155">
        <v>30</v>
      </c>
      <c r="O319" s="155">
        <v>100</v>
      </c>
      <c r="P319" s="155">
        <f t="shared" si="264"/>
        <v>847.28</v>
      </c>
      <c r="Q319" s="155">
        <f>P319/13</f>
        <v>65.175384615384615</v>
      </c>
      <c r="R319" s="155"/>
      <c r="S319" s="155"/>
      <c r="T319" s="155"/>
      <c r="U319" s="155">
        <f t="shared" si="250"/>
        <v>726.24</v>
      </c>
      <c r="V319" s="155">
        <f t="shared" si="265"/>
        <v>55.864615384615384</v>
      </c>
      <c r="W319" s="155"/>
      <c r="X319" s="155"/>
      <c r="Y319" s="155">
        <f t="shared" si="266"/>
        <v>1573.52</v>
      </c>
      <c r="Z319" s="155">
        <f t="shared" si="267"/>
        <v>96.83</v>
      </c>
      <c r="AA319" s="155">
        <f t="shared" ref="AA319:AA366" si="273">Z319/13</f>
        <v>7.4484615384615385</v>
      </c>
      <c r="AB319" s="155">
        <f t="shared" si="268"/>
        <v>239.41928571428573</v>
      </c>
      <c r="AC319" s="155">
        <f t="shared" si="271"/>
        <v>20.95</v>
      </c>
      <c r="AD319" s="155"/>
      <c r="AE319" s="155">
        <f t="shared" si="272"/>
        <v>17.96</v>
      </c>
      <c r="AF319" s="155"/>
      <c r="AG319" s="155">
        <f t="shared" si="246"/>
        <v>38.909999999999997</v>
      </c>
      <c r="AH319" s="155">
        <f t="shared" si="269"/>
        <v>2.3941928571428575</v>
      </c>
      <c r="AI319" s="155"/>
      <c r="AJ319" s="155"/>
      <c r="AK319" s="155"/>
      <c r="AL319" s="155"/>
    </row>
    <row r="320" spans="1:38" ht="21.9" customHeight="1">
      <c r="A320" s="154">
        <f t="shared" si="270"/>
        <v>258</v>
      </c>
      <c r="B320" s="176" t="s">
        <v>490</v>
      </c>
      <c r="C320" s="175" t="s">
        <v>452</v>
      </c>
      <c r="D320" s="161" t="s">
        <v>79</v>
      </c>
      <c r="E320" s="163" t="s">
        <v>668</v>
      </c>
      <c r="F320" s="155">
        <f>614.86+30+50+50</f>
        <v>744.86</v>
      </c>
      <c r="G320" s="155">
        <f t="shared" si="263"/>
        <v>8938.32</v>
      </c>
      <c r="H320" s="155">
        <v>70</v>
      </c>
      <c r="I320" s="155"/>
      <c r="J320" s="155">
        <f t="shared" si="248"/>
        <v>744.86</v>
      </c>
      <c r="K320" s="155">
        <v>300</v>
      </c>
      <c r="L320" s="155"/>
      <c r="M320" s="155">
        <v>125</v>
      </c>
      <c r="N320" s="155">
        <v>30</v>
      </c>
      <c r="O320" s="155">
        <v>100</v>
      </c>
      <c r="P320" s="155">
        <f t="shared" si="264"/>
        <v>847.28</v>
      </c>
      <c r="Q320" s="155">
        <f>P320/13</f>
        <v>65.175384615384615</v>
      </c>
      <c r="R320" s="155"/>
      <c r="S320" s="155"/>
      <c r="T320" s="155"/>
      <c r="U320" s="155">
        <f t="shared" si="250"/>
        <v>726.24</v>
      </c>
      <c r="V320" s="155">
        <f t="shared" si="265"/>
        <v>55.864615384615384</v>
      </c>
      <c r="W320" s="155"/>
      <c r="X320" s="155"/>
      <c r="Y320" s="155">
        <f t="shared" si="266"/>
        <v>1573.52</v>
      </c>
      <c r="Z320" s="155">
        <f t="shared" si="267"/>
        <v>96.83</v>
      </c>
      <c r="AA320" s="155">
        <f t="shared" si="273"/>
        <v>7.4484615384615385</v>
      </c>
      <c r="AB320" s="155">
        <f t="shared" si="268"/>
        <v>239.41928571428573</v>
      </c>
      <c r="AC320" s="155">
        <f t="shared" si="271"/>
        <v>20.95</v>
      </c>
      <c r="AD320" s="155"/>
      <c r="AE320" s="155">
        <f t="shared" si="272"/>
        <v>17.96</v>
      </c>
      <c r="AF320" s="155"/>
      <c r="AG320" s="155">
        <f t="shared" si="246"/>
        <v>38.909999999999997</v>
      </c>
      <c r="AH320" s="155">
        <f t="shared" si="269"/>
        <v>2.3941928571428575</v>
      </c>
      <c r="AI320" s="155"/>
      <c r="AJ320" s="155"/>
      <c r="AK320" s="155"/>
      <c r="AL320" s="155"/>
    </row>
    <row r="321" spans="1:38" ht="21.9" customHeight="1">
      <c r="A321" s="154">
        <f t="shared" si="270"/>
        <v>259</v>
      </c>
      <c r="B321" s="176" t="s">
        <v>494</v>
      </c>
      <c r="C321" s="175" t="s">
        <v>452</v>
      </c>
      <c r="D321" s="161" t="s">
        <v>79</v>
      </c>
      <c r="E321" s="163" t="s">
        <v>668</v>
      </c>
      <c r="F321" s="155">
        <f>547+30+50+50</f>
        <v>677</v>
      </c>
      <c r="G321" s="155">
        <f t="shared" si="263"/>
        <v>8124</v>
      </c>
      <c r="H321" s="155">
        <v>70</v>
      </c>
      <c r="I321" s="155"/>
      <c r="J321" s="155">
        <f t="shared" si="248"/>
        <v>677</v>
      </c>
      <c r="K321" s="155">
        <v>300</v>
      </c>
      <c r="L321" s="155"/>
      <c r="M321" s="155">
        <v>125</v>
      </c>
      <c r="N321" s="155">
        <v>30</v>
      </c>
      <c r="O321" s="155">
        <v>100</v>
      </c>
      <c r="P321" s="155">
        <f t="shared" si="264"/>
        <v>770.09</v>
      </c>
      <c r="Q321" s="155">
        <f>P321/13</f>
        <v>59.237692307692313</v>
      </c>
      <c r="R321" s="155"/>
      <c r="S321" s="155"/>
      <c r="T321" s="155"/>
      <c r="U321" s="155">
        <f t="shared" si="250"/>
        <v>660.08</v>
      </c>
      <c r="V321" s="155">
        <f t="shared" si="265"/>
        <v>50.775384615384617</v>
      </c>
      <c r="W321" s="155"/>
      <c r="X321" s="155"/>
      <c r="Y321" s="155">
        <f t="shared" si="266"/>
        <v>1430.17</v>
      </c>
      <c r="Z321" s="155">
        <f t="shared" si="267"/>
        <v>88.01</v>
      </c>
      <c r="AA321" s="155">
        <f t="shared" si="273"/>
        <v>6.7700000000000005</v>
      </c>
      <c r="AB321" s="155">
        <f t="shared" si="268"/>
        <v>217.60714285714283</v>
      </c>
      <c r="AC321" s="155">
        <f t="shared" si="271"/>
        <v>19.04</v>
      </c>
      <c r="AD321" s="155"/>
      <c r="AE321" s="155">
        <f t="shared" si="272"/>
        <v>16.32</v>
      </c>
      <c r="AF321" s="155"/>
      <c r="AG321" s="155">
        <f t="shared" si="246"/>
        <v>35.36</v>
      </c>
      <c r="AH321" s="155">
        <f t="shared" si="269"/>
        <v>2.1760714285714284</v>
      </c>
      <c r="AI321" s="155"/>
      <c r="AJ321" s="155"/>
      <c r="AK321" s="155"/>
      <c r="AL321" s="155"/>
    </row>
    <row r="322" spans="1:38" ht="21.9" customHeight="1">
      <c r="A322" s="154">
        <f t="shared" si="270"/>
        <v>260</v>
      </c>
      <c r="B322" s="176" t="s">
        <v>494</v>
      </c>
      <c r="C322" s="175" t="s">
        <v>452</v>
      </c>
      <c r="D322" s="161" t="s">
        <v>79</v>
      </c>
      <c r="E322" s="163" t="s">
        <v>668</v>
      </c>
      <c r="F322" s="155">
        <f>547+30+50+50</f>
        <v>677</v>
      </c>
      <c r="G322" s="155">
        <f t="shared" si="263"/>
        <v>8124</v>
      </c>
      <c r="H322" s="155">
        <v>70</v>
      </c>
      <c r="I322" s="155"/>
      <c r="J322" s="155">
        <f t="shared" si="248"/>
        <v>677</v>
      </c>
      <c r="K322" s="155">
        <v>300</v>
      </c>
      <c r="L322" s="155"/>
      <c r="M322" s="155">
        <v>125</v>
      </c>
      <c r="N322" s="155">
        <v>30</v>
      </c>
      <c r="O322" s="155">
        <v>100</v>
      </c>
      <c r="P322" s="155">
        <f t="shared" si="264"/>
        <v>770.09</v>
      </c>
      <c r="Q322" s="155">
        <f>P322/13</f>
        <v>59.237692307692313</v>
      </c>
      <c r="R322" s="155"/>
      <c r="S322" s="155"/>
      <c r="T322" s="155"/>
      <c r="U322" s="155">
        <f t="shared" si="250"/>
        <v>660.08</v>
      </c>
      <c r="V322" s="155">
        <f t="shared" si="265"/>
        <v>50.775384615384617</v>
      </c>
      <c r="W322" s="155"/>
      <c r="X322" s="155"/>
      <c r="Y322" s="155">
        <f t="shared" si="266"/>
        <v>1430.17</v>
      </c>
      <c r="Z322" s="155">
        <f t="shared" si="267"/>
        <v>88.01</v>
      </c>
      <c r="AA322" s="155">
        <f>Z322/13</f>
        <v>6.7700000000000005</v>
      </c>
      <c r="AB322" s="155">
        <f t="shared" si="268"/>
        <v>217.60714285714283</v>
      </c>
      <c r="AC322" s="155">
        <f t="shared" si="271"/>
        <v>19.04</v>
      </c>
      <c r="AD322" s="155"/>
      <c r="AE322" s="155">
        <f t="shared" si="272"/>
        <v>16.32</v>
      </c>
      <c r="AF322" s="155"/>
      <c r="AG322" s="155">
        <f t="shared" si="246"/>
        <v>35.36</v>
      </c>
      <c r="AH322" s="155">
        <f>AB322*0.01</f>
        <v>2.1760714285714284</v>
      </c>
      <c r="AI322" s="155"/>
      <c r="AJ322" s="155"/>
      <c r="AK322" s="155"/>
      <c r="AL322" s="155"/>
    </row>
    <row r="323" spans="1:38" ht="21.9" customHeight="1">
      <c r="A323" s="154">
        <f t="shared" si="270"/>
        <v>261</v>
      </c>
      <c r="B323" s="176" t="s">
        <v>499</v>
      </c>
      <c r="C323" s="175" t="s">
        <v>452</v>
      </c>
      <c r="D323" s="161" t="s">
        <v>79</v>
      </c>
      <c r="E323" s="163" t="s">
        <v>668</v>
      </c>
      <c r="F323" s="155">
        <f>467+30+50+50</f>
        <v>597</v>
      </c>
      <c r="G323" s="155">
        <f>F323*12</f>
        <v>7164</v>
      </c>
      <c r="H323" s="155">
        <v>70</v>
      </c>
      <c r="I323" s="155"/>
      <c r="J323" s="155">
        <f>F323</f>
        <v>597</v>
      </c>
      <c r="K323" s="155">
        <v>300</v>
      </c>
      <c r="L323" s="155"/>
      <c r="M323" s="155"/>
      <c r="N323" s="155">
        <v>30</v>
      </c>
      <c r="O323" s="155">
        <v>100</v>
      </c>
      <c r="P323" s="155">
        <f>ROUND(F323*0.0875*13,2)</f>
        <v>679.09</v>
      </c>
      <c r="Q323" s="226"/>
      <c r="R323" s="155">
        <f>P323/13</f>
        <v>52.237692307692313</v>
      </c>
      <c r="S323" s="155"/>
      <c r="T323" s="155"/>
      <c r="U323" s="155">
        <f>ROUND(F323*0.075*13,2)</f>
        <v>582.08000000000004</v>
      </c>
      <c r="V323" s="155">
        <f>U323/13</f>
        <v>44.775384615384617</v>
      </c>
      <c r="W323" s="155"/>
      <c r="X323" s="155"/>
      <c r="Y323" s="155">
        <f>P323+S323+U323+W323</f>
        <v>1261.17</v>
      </c>
      <c r="Z323" s="155">
        <f>ROUND(F323*0.01*13,2)</f>
        <v>77.61</v>
      </c>
      <c r="AA323" s="155">
        <f>Z323/13</f>
        <v>5.97</v>
      </c>
      <c r="AB323" s="155">
        <f>F323/30/7*1.5*45</f>
        <v>191.89285714285714</v>
      </c>
      <c r="AC323" s="155">
        <f>ROUND(AB323*0.0875,2)</f>
        <v>16.79</v>
      </c>
      <c r="AD323" s="155"/>
      <c r="AE323" s="155">
        <f>ROUND(AB323*0.075,2)</f>
        <v>14.39</v>
      </c>
      <c r="AF323" s="155"/>
      <c r="AG323" s="155">
        <f>AC323+AD323+AE323+AF323</f>
        <v>31.18</v>
      </c>
      <c r="AH323" s="155">
        <f>AB323*0.01</f>
        <v>1.9189285714285713</v>
      </c>
      <c r="AI323" s="155"/>
      <c r="AJ323" s="155"/>
      <c r="AK323" s="155"/>
      <c r="AL323" s="155"/>
    </row>
    <row r="324" spans="1:38" ht="21.9" customHeight="1">
      <c r="A324" s="154">
        <f t="shared" si="270"/>
        <v>262</v>
      </c>
      <c r="B324" s="176" t="s">
        <v>499</v>
      </c>
      <c r="C324" s="175" t="s">
        <v>452</v>
      </c>
      <c r="D324" s="161" t="s">
        <v>79</v>
      </c>
      <c r="E324" s="163" t="s">
        <v>668</v>
      </c>
      <c r="F324" s="155">
        <f>467+30+50+50</f>
        <v>597</v>
      </c>
      <c r="G324" s="155">
        <f t="shared" si="263"/>
        <v>7164</v>
      </c>
      <c r="H324" s="155">
        <v>70</v>
      </c>
      <c r="I324" s="155"/>
      <c r="J324" s="155">
        <f t="shared" si="248"/>
        <v>597</v>
      </c>
      <c r="K324" s="155">
        <v>300</v>
      </c>
      <c r="L324" s="155"/>
      <c r="M324" s="155">
        <v>125</v>
      </c>
      <c r="N324" s="155">
        <v>30</v>
      </c>
      <c r="O324" s="155">
        <v>100</v>
      </c>
      <c r="P324" s="155">
        <f t="shared" si="264"/>
        <v>679.09</v>
      </c>
      <c r="Q324" s="155">
        <f>P324/13</f>
        <v>52.237692307692313</v>
      </c>
      <c r="R324" s="155"/>
      <c r="S324" s="155"/>
      <c r="T324" s="155"/>
      <c r="U324" s="155">
        <f t="shared" si="250"/>
        <v>582.08000000000004</v>
      </c>
      <c r="V324" s="155">
        <f t="shared" si="265"/>
        <v>44.775384615384617</v>
      </c>
      <c r="W324" s="155"/>
      <c r="X324" s="155"/>
      <c r="Y324" s="155">
        <f t="shared" si="266"/>
        <v>1261.17</v>
      </c>
      <c r="Z324" s="155">
        <f t="shared" si="267"/>
        <v>77.61</v>
      </c>
      <c r="AA324" s="155">
        <f t="shared" si="273"/>
        <v>5.97</v>
      </c>
      <c r="AB324" s="155">
        <f t="shared" si="268"/>
        <v>191.89285714285714</v>
      </c>
      <c r="AC324" s="155">
        <f t="shared" si="271"/>
        <v>16.79</v>
      </c>
      <c r="AD324" s="155"/>
      <c r="AE324" s="155">
        <f t="shared" si="272"/>
        <v>14.39</v>
      </c>
      <c r="AF324" s="155"/>
      <c r="AG324" s="155">
        <f t="shared" si="246"/>
        <v>31.18</v>
      </c>
      <c r="AH324" s="155">
        <f t="shared" si="269"/>
        <v>1.9189285714285713</v>
      </c>
      <c r="AI324" s="155"/>
      <c r="AJ324" s="155"/>
      <c r="AK324" s="155"/>
      <c r="AL324" s="155"/>
    </row>
    <row r="325" spans="1:38" ht="21.9" customHeight="1">
      <c r="A325" s="154">
        <f t="shared" si="270"/>
        <v>263</v>
      </c>
      <c r="B325" s="176" t="s">
        <v>501</v>
      </c>
      <c r="C325" s="175" t="s">
        <v>452</v>
      </c>
      <c r="D325" s="161" t="s">
        <v>79</v>
      </c>
      <c r="E325" s="163" t="s">
        <v>668</v>
      </c>
      <c r="F325" s="155">
        <f>467+30+50+50</f>
        <v>597</v>
      </c>
      <c r="G325" s="155">
        <f t="shared" si="263"/>
        <v>7164</v>
      </c>
      <c r="H325" s="155">
        <v>70</v>
      </c>
      <c r="I325" s="155"/>
      <c r="J325" s="155">
        <f t="shared" si="248"/>
        <v>597</v>
      </c>
      <c r="K325" s="155">
        <v>300</v>
      </c>
      <c r="L325" s="155"/>
      <c r="M325" s="155">
        <v>125</v>
      </c>
      <c r="N325" s="155">
        <v>30</v>
      </c>
      <c r="O325" s="155">
        <v>100</v>
      </c>
      <c r="P325" s="155">
        <f t="shared" si="264"/>
        <v>679.09</v>
      </c>
      <c r="Q325" s="226"/>
      <c r="R325" s="155">
        <f>P325/13</f>
        <v>52.237692307692313</v>
      </c>
      <c r="S325" s="155"/>
      <c r="T325" s="155"/>
      <c r="U325" s="155">
        <f t="shared" si="250"/>
        <v>582.08000000000004</v>
      </c>
      <c r="V325" s="155">
        <f t="shared" si="265"/>
        <v>44.775384615384617</v>
      </c>
      <c r="W325" s="155"/>
      <c r="X325" s="155"/>
      <c r="Y325" s="155">
        <f t="shared" si="266"/>
        <v>1261.17</v>
      </c>
      <c r="Z325" s="155">
        <f t="shared" si="267"/>
        <v>77.61</v>
      </c>
      <c r="AA325" s="155">
        <f t="shared" si="273"/>
        <v>5.97</v>
      </c>
      <c r="AB325" s="155">
        <f t="shared" si="268"/>
        <v>191.89285714285714</v>
      </c>
      <c r="AC325" s="155">
        <f t="shared" si="271"/>
        <v>16.79</v>
      </c>
      <c r="AD325" s="155"/>
      <c r="AE325" s="155">
        <f t="shared" si="272"/>
        <v>14.39</v>
      </c>
      <c r="AF325" s="155"/>
      <c r="AG325" s="155">
        <f t="shared" si="246"/>
        <v>31.18</v>
      </c>
      <c r="AH325" s="155">
        <f t="shared" si="269"/>
        <v>1.9189285714285713</v>
      </c>
      <c r="AI325" s="155"/>
      <c r="AJ325" s="155"/>
      <c r="AK325" s="155"/>
      <c r="AL325" s="155"/>
    </row>
    <row r="326" spans="1:38" ht="21.9" customHeight="1">
      <c r="A326" s="154">
        <f t="shared" si="270"/>
        <v>264</v>
      </c>
      <c r="B326" s="176" t="s">
        <v>501</v>
      </c>
      <c r="C326" s="175" t="s">
        <v>452</v>
      </c>
      <c r="D326" s="161" t="s">
        <v>79</v>
      </c>
      <c r="E326" s="163" t="s">
        <v>668</v>
      </c>
      <c r="F326" s="155">
        <f>467+30+50+50</f>
        <v>597</v>
      </c>
      <c r="G326" s="155">
        <f t="shared" si="263"/>
        <v>7164</v>
      </c>
      <c r="H326" s="155">
        <v>70</v>
      </c>
      <c r="I326" s="155"/>
      <c r="J326" s="155">
        <f t="shared" si="248"/>
        <v>597</v>
      </c>
      <c r="K326" s="155">
        <v>300</v>
      </c>
      <c r="L326" s="155"/>
      <c r="M326" s="155">
        <v>125</v>
      </c>
      <c r="N326" s="155">
        <v>30</v>
      </c>
      <c r="O326" s="155">
        <v>100</v>
      </c>
      <c r="P326" s="155">
        <f t="shared" si="264"/>
        <v>679.09</v>
      </c>
      <c r="Q326" s="226"/>
      <c r="R326" s="155">
        <f>P326/13</f>
        <v>52.237692307692313</v>
      </c>
      <c r="S326" s="155"/>
      <c r="T326" s="155"/>
      <c r="U326" s="155">
        <f t="shared" si="250"/>
        <v>582.08000000000004</v>
      </c>
      <c r="V326" s="155">
        <f t="shared" si="265"/>
        <v>44.775384615384617</v>
      </c>
      <c r="W326" s="155"/>
      <c r="X326" s="155"/>
      <c r="Y326" s="155">
        <f t="shared" si="266"/>
        <v>1261.17</v>
      </c>
      <c r="Z326" s="155">
        <f t="shared" si="267"/>
        <v>77.61</v>
      </c>
      <c r="AA326" s="155">
        <f>Z326/13</f>
        <v>5.97</v>
      </c>
      <c r="AB326" s="155">
        <f t="shared" si="268"/>
        <v>191.89285714285714</v>
      </c>
      <c r="AC326" s="155">
        <f t="shared" si="271"/>
        <v>16.79</v>
      </c>
      <c r="AD326" s="155"/>
      <c r="AE326" s="155">
        <f t="shared" si="272"/>
        <v>14.39</v>
      </c>
      <c r="AF326" s="155"/>
      <c r="AG326" s="155">
        <f t="shared" si="246"/>
        <v>31.18</v>
      </c>
      <c r="AH326" s="155">
        <f t="shared" si="269"/>
        <v>1.9189285714285713</v>
      </c>
      <c r="AI326" s="155"/>
      <c r="AJ326" s="155"/>
      <c r="AK326" s="155"/>
      <c r="AL326" s="155"/>
    </row>
    <row r="327" spans="1:38" ht="21.9" customHeight="1">
      <c r="A327" s="154">
        <f t="shared" si="270"/>
        <v>265</v>
      </c>
      <c r="B327" s="176" t="s">
        <v>501</v>
      </c>
      <c r="C327" s="175" t="s">
        <v>452</v>
      </c>
      <c r="D327" s="161" t="s">
        <v>79</v>
      </c>
      <c r="E327" s="163" t="s">
        <v>668</v>
      </c>
      <c r="F327" s="155">
        <f>467+30+50+50</f>
        <v>597</v>
      </c>
      <c r="G327" s="155">
        <f t="shared" si="263"/>
        <v>7164</v>
      </c>
      <c r="H327" s="155">
        <v>70</v>
      </c>
      <c r="I327" s="155"/>
      <c r="J327" s="155">
        <f t="shared" si="248"/>
        <v>597</v>
      </c>
      <c r="K327" s="155">
        <v>300</v>
      </c>
      <c r="L327" s="155"/>
      <c r="M327" s="155">
        <v>125</v>
      </c>
      <c r="N327" s="155">
        <v>30</v>
      </c>
      <c r="O327" s="155">
        <v>100</v>
      </c>
      <c r="P327" s="155">
        <f t="shared" si="264"/>
        <v>679.09</v>
      </c>
      <c r="Q327" s="226"/>
      <c r="R327" s="155">
        <f>P327/13</f>
        <v>52.237692307692313</v>
      </c>
      <c r="S327" s="155"/>
      <c r="T327" s="155"/>
      <c r="U327" s="155">
        <f t="shared" si="250"/>
        <v>582.08000000000004</v>
      </c>
      <c r="V327" s="155">
        <f t="shared" si="265"/>
        <v>44.775384615384617</v>
      </c>
      <c r="W327" s="155"/>
      <c r="X327" s="155"/>
      <c r="Y327" s="155">
        <f t="shared" si="266"/>
        <v>1261.17</v>
      </c>
      <c r="Z327" s="155">
        <f t="shared" si="267"/>
        <v>77.61</v>
      </c>
      <c r="AA327" s="155">
        <f>Z327/13</f>
        <v>5.97</v>
      </c>
      <c r="AB327" s="155">
        <f t="shared" si="268"/>
        <v>191.89285714285714</v>
      </c>
      <c r="AC327" s="155">
        <f t="shared" si="271"/>
        <v>16.79</v>
      </c>
      <c r="AD327" s="155"/>
      <c r="AE327" s="155">
        <f t="shared" si="272"/>
        <v>14.39</v>
      </c>
      <c r="AF327" s="155"/>
      <c r="AG327" s="155">
        <f t="shared" si="246"/>
        <v>31.18</v>
      </c>
      <c r="AH327" s="155">
        <f>AB327*0.01</f>
        <v>1.9189285714285713</v>
      </c>
      <c r="AI327" s="155"/>
      <c r="AJ327" s="155"/>
      <c r="AK327" s="155"/>
      <c r="AL327" s="155"/>
    </row>
    <row r="328" spans="1:38" ht="21.9" customHeight="1">
      <c r="A328" s="154">
        <f t="shared" si="270"/>
        <v>266</v>
      </c>
      <c r="B328" s="176" t="s">
        <v>507</v>
      </c>
      <c r="C328" s="175" t="s">
        <v>452</v>
      </c>
      <c r="D328" s="161" t="s">
        <v>79</v>
      </c>
      <c r="E328" s="163" t="s">
        <v>668</v>
      </c>
      <c r="F328" s="155">
        <f>417+30+50+50</f>
        <v>547</v>
      </c>
      <c r="G328" s="155">
        <f t="shared" si="263"/>
        <v>6564</v>
      </c>
      <c r="H328" s="155">
        <v>70</v>
      </c>
      <c r="I328" s="155"/>
      <c r="J328" s="155">
        <f t="shared" si="248"/>
        <v>547</v>
      </c>
      <c r="K328" s="155">
        <v>300</v>
      </c>
      <c r="L328" s="155"/>
      <c r="M328" s="155">
        <v>125</v>
      </c>
      <c r="N328" s="155">
        <v>30</v>
      </c>
      <c r="O328" s="155">
        <v>100</v>
      </c>
      <c r="P328" s="155">
        <f t="shared" si="264"/>
        <v>622.21</v>
      </c>
      <c r="Q328" s="155">
        <f>P328/13</f>
        <v>47.862307692307695</v>
      </c>
      <c r="R328" s="155"/>
      <c r="S328" s="155"/>
      <c r="T328" s="155"/>
      <c r="U328" s="155">
        <f t="shared" si="250"/>
        <v>533.33000000000004</v>
      </c>
      <c r="V328" s="155">
        <f t="shared" si="265"/>
        <v>41.025384615384617</v>
      </c>
      <c r="W328" s="155"/>
      <c r="X328" s="155"/>
      <c r="Y328" s="155">
        <f t="shared" si="266"/>
        <v>1155.54</v>
      </c>
      <c r="Z328" s="155">
        <f t="shared" si="267"/>
        <v>71.11</v>
      </c>
      <c r="AA328" s="155">
        <f t="shared" si="273"/>
        <v>5.47</v>
      </c>
      <c r="AB328" s="155">
        <f t="shared" si="268"/>
        <v>175.82142857142858</v>
      </c>
      <c r="AC328" s="155">
        <f t="shared" si="271"/>
        <v>15.38</v>
      </c>
      <c r="AD328" s="155"/>
      <c r="AE328" s="155">
        <f t="shared" si="272"/>
        <v>13.19</v>
      </c>
      <c r="AF328" s="155"/>
      <c r="AG328" s="155">
        <f t="shared" si="246"/>
        <v>28.57</v>
      </c>
      <c r="AH328" s="155">
        <f t="shared" si="269"/>
        <v>1.758214285714286</v>
      </c>
      <c r="AI328" s="155"/>
      <c r="AJ328" s="155"/>
      <c r="AK328" s="155"/>
      <c r="AL328" s="155"/>
    </row>
    <row r="329" spans="1:38" ht="21.9" customHeight="1">
      <c r="A329" s="154">
        <f t="shared" si="270"/>
        <v>267</v>
      </c>
      <c r="B329" s="176" t="s">
        <v>507</v>
      </c>
      <c r="C329" s="175" t="s">
        <v>452</v>
      </c>
      <c r="D329" s="161" t="s">
        <v>79</v>
      </c>
      <c r="E329" s="163" t="s">
        <v>668</v>
      </c>
      <c r="F329" s="155">
        <f>417+50+50</f>
        <v>517</v>
      </c>
      <c r="G329" s="155">
        <f t="shared" si="263"/>
        <v>6204</v>
      </c>
      <c r="H329" s="155">
        <v>70</v>
      </c>
      <c r="I329" s="155"/>
      <c r="J329" s="155">
        <f t="shared" ref="J329:J361" si="274">F329</f>
        <v>517</v>
      </c>
      <c r="K329" s="155">
        <v>300</v>
      </c>
      <c r="L329" s="155"/>
      <c r="M329" s="155">
        <v>125</v>
      </c>
      <c r="N329" s="155">
        <v>30</v>
      </c>
      <c r="O329" s="155">
        <v>100</v>
      </c>
      <c r="P329" s="155">
        <f t="shared" si="264"/>
        <v>588.09</v>
      </c>
      <c r="Q329" s="226"/>
      <c r="R329" s="155">
        <f>P329/13</f>
        <v>45.237692307692313</v>
      </c>
      <c r="S329" s="155"/>
      <c r="T329" s="155"/>
      <c r="U329" s="155">
        <f t="shared" si="250"/>
        <v>504.08</v>
      </c>
      <c r="V329" s="155">
        <f t="shared" si="265"/>
        <v>38.775384615384617</v>
      </c>
      <c r="W329" s="155"/>
      <c r="X329" s="155"/>
      <c r="Y329" s="155">
        <f t="shared" si="266"/>
        <v>1092.17</v>
      </c>
      <c r="Z329" s="155">
        <f t="shared" si="267"/>
        <v>67.209999999999994</v>
      </c>
      <c r="AA329" s="155">
        <f>Z329/13</f>
        <v>5.17</v>
      </c>
      <c r="AB329" s="155">
        <f t="shared" si="268"/>
        <v>166.17857142857144</v>
      </c>
      <c r="AC329" s="155">
        <f t="shared" si="271"/>
        <v>14.54</v>
      </c>
      <c r="AD329" s="155"/>
      <c r="AE329" s="155">
        <f t="shared" si="272"/>
        <v>12.46</v>
      </c>
      <c r="AF329" s="155"/>
      <c r="AG329" s="155">
        <f t="shared" si="246"/>
        <v>27</v>
      </c>
      <c r="AH329" s="155">
        <f t="shared" si="269"/>
        <v>1.6617857142857144</v>
      </c>
      <c r="AI329" s="155"/>
      <c r="AJ329" s="155"/>
      <c r="AK329" s="155"/>
      <c r="AL329" s="155"/>
    </row>
    <row r="330" spans="1:38" ht="21.9" customHeight="1">
      <c r="A330" s="154">
        <f t="shared" si="270"/>
        <v>268</v>
      </c>
      <c r="B330" s="176" t="s">
        <v>507</v>
      </c>
      <c r="C330" s="175" t="s">
        <v>452</v>
      </c>
      <c r="D330" s="161" t="s">
        <v>79</v>
      </c>
      <c r="E330" s="163" t="s">
        <v>668</v>
      </c>
      <c r="F330" s="155">
        <f>417+50+50</f>
        <v>517</v>
      </c>
      <c r="G330" s="155">
        <f t="shared" si="263"/>
        <v>6204</v>
      </c>
      <c r="H330" s="155">
        <v>70</v>
      </c>
      <c r="I330" s="155"/>
      <c r="J330" s="155">
        <f t="shared" si="274"/>
        <v>517</v>
      </c>
      <c r="K330" s="155">
        <v>300</v>
      </c>
      <c r="L330" s="155"/>
      <c r="M330" s="155">
        <v>125</v>
      </c>
      <c r="N330" s="155">
        <v>30</v>
      </c>
      <c r="O330" s="155">
        <v>100</v>
      </c>
      <c r="P330" s="155">
        <f t="shared" si="264"/>
        <v>588.09</v>
      </c>
      <c r="Q330" s="155"/>
      <c r="R330" s="155">
        <f>P330/13</f>
        <v>45.237692307692313</v>
      </c>
      <c r="S330" s="155"/>
      <c r="T330" s="155"/>
      <c r="U330" s="155">
        <f t="shared" si="250"/>
        <v>504.08</v>
      </c>
      <c r="V330" s="155">
        <f t="shared" si="265"/>
        <v>38.775384615384617</v>
      </c>
      <c r="W330" s="155"/>
      <c r="X330" s="155"/>
      <c r="Y330" s="155">
        <f t="shared" si="266"/>
        <v>1092.17</v>
      </c>
      <c r="Z330" s="155">
        <f t="shared" si="267"/>
        <v>67.209999999999994</v>
      </c>
      <c r="AA330" s="155">
        <f>Z330/13</f>
        <v>5.17</v>
      </c>
      <c r="AB330" s="155">
        <f t="shared" si="268"/>
        <v>166.17857142857144</v>
      </c>
      <c r="AC330" s="155">
        <f t="shared" si="271"/>
        <v>14.54</v>
      </c>
      <c r="AD330" s="155"/>
      <c r="AE330" s="155">
        <f t="shared" si="272"/>
        <v>12.46</v>
      </c>
      <c r="AF330" s="155"/>
      <c r="AG330" s="155">
        <f t="shared" si="246"/>
        <v>27</v>
      </c>
      <c r="AH330" s="155">
        <f t="shared" si="269"/>
        <v>1.6617857142857144</v>
      </c>
      <c r="AI330" s="155"/>
      <c r="AJ330" s="155"/>
      <c r="AK330" s="155"/>
      <c r="AL330" s="155"/>
    </row>
    <row r="331" spans="1:38" ht="21.9" customHeight="1">
      <c r="A331" s="154">
        <f t="shared" si="270"/>
        <v>269</v>
      </c>
      <c r="B331" s="176" t="s">
        <v>507</v>
      </c>
      <c r="C331" s="175" t="s">
        <v>452</v>
      </c>
      <c r="D331" s="161" t="s">
        <v>79</v>
      </c>
      <c r="E331" s="163" t="s">
        <v>668</v>
      </c>
      <c r="F331" s="155">
        <f>417+50+50</f>
        <v>517</v>
      </c>
      <c r="G331" s="155">
        <f t="shared" si="263"/>
        <v>6204</v>
      </c>
      <c r="H331" s="155">
        <v>70</v>
      </c>
      <c r="I331" s="155"/>
      <c r="J331" s="155">
        <f t="shared" si="274"/>
        <v>517</v>
      </c>
      <c r="K331" s="155">
        <v>300</v>
      </c>
      <c r="L331" s="155"/>
      <c r="M331" s="155">
        <v>125</v>
      </c>
      <c r="N331" s="155">
        <v>30</v>
      </c>
      <c r="O331" s="155">
        <v>100</v>
      </c>
      <c r="P331" s="155">
        <f t="shared" si="264"/>
        <v>588.09</v>
      </c>
      <c r="Q331" s="155">
        <f>P331/13</f>
        <v>45.237692307692313</v>
      </c>
      <c r="R331" s="155"/>
      <c r="S331" s="155"/>
      <c r="T331" s="155"/>
      <c r="U331" s="155">
        <f t="shared" si="250"/>
        <v>504.08</v>
      </c>
      <c r="V331" s="155">
        <f t="shared" si="265"/>
        <v>38.775384615384617</v>
      </c>
      <c r="W331" s="155"/>
      <c r="X331" s="155"/>
      <c r="Y331" s="155">
        <f t="shared" si="266"/>
        <v>1092.17</v>
      </c>
      <c r="Z331" s="155">
        <f t="shared" si="267"/>
        <v>67.209999999999994</v>
      </c>
      <c r="AA331" s="155">
        <f t="shared" si="273"/>
        <v>5.17</v>
      </c>
      <c r="AB331" s="155">
        <f t="shared" si="268"/>
        <v>166.17857142857144</v>
      </c>
      <c r="AC331" s="155">
        <f t="shared" si="271"/>
        <v>14.54</v>
      </c>
      <c r="AD331" s="155"/>
      <c r="AE331" s="155">
        <f t="shared" si="272"/>
        <v>12.46</v>
      </c>
      <c r="AF331" s="155"/>
      <c r="AG331" s="155">
        <f t="shared" si="246"/>
        <v>27</v>
      </c>
      <c r="AH331" s="155">
        <f t="shared" si="269"/>
        <v>1.6617857142857144</v>
      </c>
      <c r="AI331" s="155"/>
      <c r="AJ331" s="155"/>
      <c r="AK331" s="155"/>
      <c r="AL331" s="155"/>
    </row>
    <row r="332" spans="1:38" ht="21.9" customHeight="1">
      <c r="A332" s="154">
        <f t="shared" si="270"/>
        <v>270</v>
      </c>
      <c r="B332" s="176" t="s">
        <v>507</v>
      </c>
      <c r="C332" s="175" t="s">
        <v>452</v>
      </c>
      <c r="D332" s="161" t="s">
        <v>79</v>
      </c>
      <c r="E332" s="163" t="s">
        <v>668</v>
      </c>
      <c r="F332" s="155">
        <f>417+50+50</f>
        <v>517</v>
      </c>
      <c r="G332" s="155">
        <f t="shared" si="263"/>
        <v>6204</v>
      </c>
      <c r="H332" s="155">
        <v>70</v>
      </c>
      <c r="I332" s="155"/>
      <c r="J332" s="155">
        <f t="shared" si="274"/>
        <v>517</v>
      </c>
      <c r="K332" s="155">
        <v>300</v>
      </c>
      <c r="L332" s="155"/>
      <c r="M332" s="155">
        <v>125</v>
      </c>
      <c r="N332" s="155">
        <v>30</v>
      </c>
      <c r="O332" s="155">
        <v>100</v>
      </c>
      <c r="P332" s="155">
        <f t="shared" si="264"/>
        <v>588.09</v>
      </c>
      <c r="Q332" s="155"/>
      <c r="R332" s="155">
        <f>P332/13</f>
        <v>45.237692307692313</v>
      </c>
      <c r="S332" s="155"/>
      <c r="T332" s="155"/>
      <c r="U332" s="155">
        <f t="shared" si="250"/>
        <v>504.08</v>
      </c>
      <c r="V332" s="155">
        <f t="shared" si="265"/>
        <v>38.775384615384617</v>
      </c>
      <c r="W332" s="155"/>
      <c r="X332" s="155"/>
      <c r="Y332" s="155">
        <f t="shared" si="266"/>
        <v>1092.17</v>
      </c>
      <c r="Z332" s="155">
        <f t="shared" si="267"/>
        <v>67.209999999999994</v>
      </c>
      <c r="AA332" s="155">
        <f t="shared" si="273"/>
        <v>5.17</v>
      </c>
      <c r="AB332" s="155">
        <f t="shared" si="268"/>
        <v>166.17857142857144</v>
      </c>
      <c r="AC332" s="155">
        <f t="shared" si="271"/>
        <v>14.54</v>
      </c>
      <c r="AD332" s="155"/>
      <c r="AE332" s="155">
        <f t="shared" si="272"/>
        <v>12.46</v>
      </c>
      <c r="AF332" s="155"/>
      <c r="AG332" s="155">
        <f t="shared" si="246"/>
        <v>27</v>
      </c>
      <c r="AH332" s="155">
        <f t="shared" si="269"/>
        <v>1.6617857142857144</v>
      </c>
      <c r="AI332" s="155"/>
      <c r="AJ332" s="155"/>
      <c r="AK332" s="155"/>
      <c r="AL332" s="155"/>
    </row>
    <row r="333" spans="1:38" ht="21.9" customHeight="1">
      <c r="A333" s="154">
        <f t="shared" si="270"/>
        <v>271</v>
      </c>
      <c r="B333" s="176" t="s">
        <v>507</v>
      </c>
      <c r="C333" s="175" t="s">
        <v>452</v>
      </c>
      <c r="D333" s="161" t="s">
        <v>79</v>
      </c>
      <c r="E333" s="163" t="s">
        <v>668</v>
      </c>
      <c r="F333" s="155">
        <f>417+50+50</f>
        <v>517</v>
      </c>
      <c r="G333" s="155">
        <f t="shared" si="263"/>
        <v>6204</v>
      </c>
      <c r="H333" s="155">
        <v>70</v>
      </c>
      <c r="I333" s="155"/>
      <c r="J333" s="155">
        <f t="shared" si="274"/>
        <v>517</v>
      </c>
      <c r="K333" s="155">
        <v>300</v>
      </c>
      <c r="L333" s="155"/>
      <c r="M333" s="155">
        <v>125</v>
      </c>
      <c r="N333" s="155">
        <v>30</v>
      </c>
      <c r="O333" s="155">
        <v>100</v>
      </c>
      <c r="P333" s="155">
        <f t="shared" si="264"/>
        <v>588.09</v>
      </c>
      <c r="Q333" s="155"/>
      <c r="R333" s="155">
        <f>P333/13</f>
        <v>45.237692307692313</v>
      </c>
      <c r="S333" s="155"/>
      <c r="T333" s="155"/>
      <c r="U333" s="155">
        <f t="shared" si="250"/>
        <v>504.08</v>
      </c>
      <c r="V333" s="155">
        <f t="shared" si="265"/>
        <v>38.775384615384617</v>
      </c>
      <c r="W333" s="155"/>
      <c r="X333" s="155"/>
      <c r="Y333" s="155">
        <f t="shared" si="266"/>
        <v>1092.17</v>
      </c>
      <c r="Z333" s="155">
        <f t="shared" si="267"/>
        <v>67.209999999999994</v>
      </c>
      <c r="AA333" s="155">
        <f t="shared" si="273"/>
        <v>5.17</v>
      </c>
      <c r="AB333" s="155">
        <f t="shared" si="268"/>
        <v>166.17857142857144</v>
      </c>
      <c r="AC333" s="155">
        <f t="shared" si="271"/>
        <v>14.54</v>
      </c>
      <c r="AD333" s="155"/>
      <c r="AE333" s="155">
        <f t="shared" si="272"/>
        <v>12.46</v>
      </c>
      <c r="AF333" s="155"/>
      <c r="AG333" s="155">
        <f t="shared" si="246"/>
        <v>27</v>
      </c>
      <c r="AH333" s="155">
        <f t="shared" si="269"/>
        <v>1.6617857142857144</v>
      </c>
      <c r="AI333" s="155"/>
      <c r="AJ333" s="155"/>
      <c r="AK333" s="155"/>
      <c r="AL333" s="155"/>
    </row>
    <row r="334" spans="1:38" ht="21.9" customHeight="1">
      <c r="A334" s="154">
        <f t="shared" si="270"/>
        <v>272</v>
      </c>
      <c r="B334" s="177" t="s">
        <v>507</v>
      </c>
      <c r="C334" s="175" t="s">
        <v>452</v>
      </c>
      <c r="D334" s="161" t="s">
        <v>79</v>
      </c>
      <c r="E334" s="163" t="s">
        <v>668</v>
      </c>
      <c r="F334" s="155">
        <f>417+50</f>
        <v>467</v>
      </c>
      <c r="G334" s="155">
        <f t="shared" si="263"/>
        <v>5604</v>
      </c>
      <c r="H334" s="155">
        <v>70</v>
      </c>
      <c r="I334" s="155"/>
      <c r="J334" s="155">
        <f t="shared" si="274"/>
        <v>467</v>
      </c>
      <c r="K334" s="155">
        <v>300</v>
      </c>
      <c r="L334" s="155"/>
      <c r="M334" s="155"/>
      <c r="N334" s="155">
        <v>30</v>
      </c>
      <c r="O334" s="155">
        <v>100</v>
      </c>
      <c r="P334" s="155">
        <f t="shared" si="264"/>
        <v>531.21</v>
      </c>
      <c r="Q334" s="155"/>
      <c r="R334" s="155">
        <f>P334/13</f>
        <v>40.862307692307695</v>
      </c>
      <c r="S334" s="155"/>
      <c r="T334" s="155"/>
      <c r="U334" s="155">
        <f t="shared" si="250"/>
        <v>455.33</v>
      </c>
      <c r="V334" s="155">
        <f t="shared" si="265"/>
        <v>35.025384615384617</v>
      </c>
      <c r="W334" s="155"/>
      <c r="X334" s="155"/>
      <c r="Y334" s="155">
        <f t="shared" si="266"/>
        <v>986.54</v>
      </c>
      <c r="Z334" s="155">
        <f t="shared" si="267"/>
        <v>60.71</v>
      </c>
      <c r="AA334" s="155">
        <f t="shared" si="273"/>
        <v>4.67</v>
      </c>
      <c r="AB334" s="155">
        <f t="shared" si="268"/>
        <v>150.10714285714286</v>
      </c>
      <c r="AC334" s="155">
        <f t="shared" si="271"/>
        <v>13.13</v>
      </c>
      <c r="AD334" s="155"/>
      <c r="AE334" s="155">
        <f t="shared" si="272"/>
        <v>11.26</v>
      </c>
      <c r="AF334" s="155"/>
      <c r="AG334" s="155">
        <f t="shared" si="246"/>
        <v>24.39</v>
      </c>
      <c r="AH334" s="155">
        <f t="shared" si="269"/>
        <v>1.5010714285714286</v>
      </c>
      <c r="AI334" s="155"/>
      <c r="AJ334" s="155"/>
      <c r="AK334" s="155"/>
      <c r="AL334" s="155"/>
    </row>
    <row r="335" spans="1:38" ht="21.9" customHeight="1">
      <c r="A335" s="154">
        <f t="shared" si="270"/>
        <v>273</v>
      </c>
      <c r="B335" s="176" t="s">
        <v>718</v>
      </c>
      <c r="C335" s="175" t="s">
        <v>452</v>
      </c>
      <c r="D335" s="161" t="s">
        <v>79</v>
      </c>
      <c r="E335" s="163" t="s">
        <v>668</v>
      </c>
      <c r="F335" s="155">
        <v>417</v>
      </c>
      <c r="G335" s="155">
        <f t="shared" si="263"/>
        <v>5004</v>
      </c>
      <c r="H335" s="155">
        <v>70</v>
      </c>
      <c r="I335" s="155"/>
      <c r="J335" s="155">
        <f>F335</f>
        <v>417</v>
      </c>
      <c r="K335" s="155">
        <v>300</v>
      </c>
      <c r="L335" s="155"/>
      <c r="M335" s="155">
        <v>125</v>
      </c>
      <c r="N335" s="155">
        <v>30</v>
      </c>
      <c r="O335" s="155">
        <v>100</v>
      </c>
      <c r="P335" s="155">
        <f t="shared" si="264"/>
        <v>474.34</v>
      </c>
      <c r="Q335" s="226"/>
      <c r="R335" s="155">
        <f>P335/13</f>
        <v>36.487692307692306</v>
      </c>
      <c r="S335" s="155"/>
      <c r="T335" s="155"/>
      <c r="U335" s="155">
        <f t="shared" si="250"/>
        <v>406.58</v>
      </c>
      <c r="V335" s="155">
        <f t="shared" si="265"/>
        <v>31.275384615384613</v>
      </c>
      <c r="W335" s="155"/>
      <c r="X335" s="155"/>
      <c r="Y335" s="155">
        <f t="shared" si="266"/>
        <v>880.92</v>
      </c>
      <c r="Z335" s="155">
        <f t="shared" si="267"/>
        <v>54.21</v>
      </c>
      <c r="AA335" s="155">
        <f>Z335/13</f>
        <v>4.17</v>
      </c>
      <c r="AB335" s="155">
        <f t="shared" si="268"/>
        <v>134.03571428571428</v>
      </c>
      <c r="AC335" s="155">
        <f t="shared" si="271"/>
        <v>11.73</v>
      </c>
      <c r="AD335" s="155"/>
      <c r="AE335" s="155">
        <f t="shared" si="272"/>
        <v>10.050000000000001</v>
      </c>
      <c r="AF335" s="155"/>
      <c r="AG335" s="155">
        <f t="shared" si="246"/>
        <v>21.78</v>
      </c>
      <c r="AH335" s="155">
        <f>AB335*0.01</f>
        <v>1.3403571428571428</v>
      </c>
      <c r="AI335" s="155"/>
      <c r="AJ335" s="155"/>
      <c r="AK335" s="155"/>
      <c r="AL335" s="155"/>
    </row>
    <row r="336" spans="1:38" ht="21.9" customHeight="1">
      <c r="A336" s="154">
        <f t="shared" si="270"/>
        <v>274</v>
      </c>
      <c r="B336" s="177" t="s">
        <v>673</v>
      </c>
      <c r="C336" s="220" t="s">
        <v>452</v>
      </c>
      <c r="D336" s="182" t="s">
        <v>79</v>
      </c>
      <c r="E336" s="307" t="s">
        <v>648</v>
      </c>
      <c r="F336" s="155">
        <f>417</f>
        <v>417</v>
      </c>
      <c r="G336" s="155">
        <f t="shared" ref="G336:G344" si="275">F336*12</f>
        <v>5004</v>
      </c>
      <c r="H336" s="155">
        <v>70</v>
      </c>
      <c r="I336" s="155"/>
      <c r="J336" s="155">
        <f t="shared" si="274"/>
        <v>417</v>
      </c>
      <c r="K336" s="155">
        <v>300</v>
      </c>
      <c r="L336" s="155"/>
      <c r="M336" s="155"/>
      <c r="N336" s="155">
        <v>30</v>
      </c>
      <c r="O336" s="155">
        <v>100</v>
      </c>
      <c r="P336" s="155">
        <f t="shared" si="264"/>
        <v>474.34</v>
      </c>
      <c r="Q336" s="155"/>
      <c r="R336" s="155">
        <f t="shared" ref="R336:R344" si="276">P336/13</f>
        <v>36.487692307692306</v>
      </c>
      <c r="S336" s="155"/>
      <c r="T336" s="155"/>
      <c r="U336" s="155">
        <f t="shared" si="250"/>
        <v>406.58</v>
      </c>
      <c r="V336" s="155">
        <f t="shared" ref="V336:V344" si="277">U336/13</f>
        <v>31.275384615384613</v>
      </c>
      <c r="W336" s="155"/>
      <c r="X336" s="155"/>
      <c r="Y336" s="155">
        <f t="shared" si="266"/>
        <v>880.92</v>
      </c>
      <c r="Z336" s="155">
        <f t="shared" si="267"/>
        <v>54.21</v>
      </c>
      <c r="AA336" s="155">
        <f t="shared" ref="AA336:AA344" si="278">Z336/13</f>
        <v>4.17</v>
      </c>
      <c r="AB336" s="155">
        <f t="shared" si="268"/>
        <v>134.03571428571428</v>
      </c>
      <c r="AC336" s="155">
        <f t="shared" si="271"/>
        <v>11.73</v>
      </c>
      <c r="AD336" s="155"/>
      <c r="AE336" s="155">
        <f t="shared" si="272"/>
        <v>10.050000000000001</v>
      </c>
      <c r="AF336" s="155"/>
      <c r="AG336" s="155">
        <f t="shared" si="246"/>
        <v>21.78</v>
      </c>
      <c r="AH336" s="155">
        <f t="shared" ref="AH336:AH344" si="279">AB336*0.01</f>
        <v>1.3403571428571428</v>
      </c>
      <c r="AI336" s="155"/>
      <c r="AJ336" s="155"/>
      <c r="AK336" s="155"/>
      <c r="AL336" s="155"/>
    </row>
    <row r="337" spans="1:38" ht="21.9" customHeight="1">
      <c r="A337" s="154">
        <f t="shared" si="270"/>
        <v>275</v>
      </c>
      <c r="B337" s="177" t="s">
        <v>673</v>
      </c>
      <c r="C337" s="220" t="s">
        <v>452</v>
      </c>
      <c r="D337" s="182" t="s">
        <v>79</v>
      </c>
      <c r="E337" s="307" t="s">
        <v>648</v>
      </c>
      <c r="F337" s="155">
        <f>417</f>
        <v>417</v>
      </c>
      <c r="G337" s="155">
        <f t="shared" si="275"/>
        <v>5004</v>
      </c>
      <c r="H337" s="155">
        <v>70</v>
      </c>
      <c r="I337" s="155"/>
      <c r="J337" s="155">
        <f t="shared" si="274"/>
        <v>417</v>
      </c>
      <c r="K337" s="155">
        <v>300</v>
      </c>
      <c r="L337" s="155"/>
      <c r="M337" s="155">
        <v>125</v>
      </c>
      <c r="N337" s="155">
        <v>30</v>
      </c>
      <c r="O337" s="155">
        <v>100</v>
      </c>
      <c r="P337" s="155">
        <f t="shared" si="264"/>
        <v>474.34</v>
      </c>
      <c r="Q337" s="155"/>
      <c r="R337" s="155">
        <f t="shared" si="276"/>
        <v>36.487692307692306</v>
      </c>
      <c r="S337" s="155"/>
      <c r="T337" s="155"/>
      <c r="U337" s="155">
        <f t="shared" si="250"/>
        <v>406.58</v>
      </c>
      <c r="V337" s="155">
        <f t="shared" si="277"/>
        <v>31.275384615384613</v>
      </c>
      <c r="W337" s="155"/>
      <c r="X337" s="155"/>
      <c r="Y337" s="155">
        <f t="shared" si="266"/>
        <v>880.92</v>
      </c>
      <c r="Z337" s="155">
        <f t="shared" si="267"/>
        <v>54.21</v>
      </c>
      <c r="AA337" s="155">
        <f t="shared" si="278"/>
        <v>4.17</v>
      </c>
      <c r="AB337" s="155">
        <f t="shared" si="268"/>
        <v>134.03571428571428</v>
      </c>
      <c r="AC337" s="155">
        <f t="shared" si="271"/>
        <v>11.73</v>
      </c>
      <c r="AD337" s="155"/>
      <c r="AE337" s="155">
        <f t="shared" si="272"/>
        <v>10.050000000000001</v>
      </c>
      <c r="AF337" s="155"/>
      <c r="AG337" s="155">
        <f t="shared" si="246"/>
        <v>21.78</v>
      </c>
      <c r="AH337" s="155">
        <f t="shared" si="279"/>
        <v>1.3403571428571428</v>
      </c>
      <c r="AI337" s="155"/>
      <c r="AJ337" s="155"/>
      <c r="AK337" s="155"/>
      <c r="AL337" s="155"/>
    </row>
    <row r="338" spans="1:38" ht="21.9" customHeight="1">
      <c r="A338" s="154">
        <f t="shared" si="270"/>
        <v>276</v>
      </c>
      <c r="B338" s="177" t="s">
        <v>673</v>
      </c>
      <c r="C338" s="220" t="s">
        <v>452</v>
      </c>
      <c r="D338" s="182" t="s">
        <v>79</v>
      </c>
      <c r="E338" s="307" t="s">
        <v>648</v>
      </c>
      <c r="F338" s="155">
        <f>417</f>
        <v>417</v>
      </c>
      <c r="G338" s="155">
        <f t="shared" si="275"/>
        <v>5004</v>
      </c>
      <c r="H338" s="155">
        <v>70</v>
      </c>
      <c r="I338" s="155"/>
      <c r="J338" s="155">
        <f t="shared" si="274"/>
        <v>417</v>
      </c>
      <c r="K338" s="155">
        <v>300</v>
      </c>
      <c r="L338" s="155"/>
      <c r="M338" s="155">
        <v>125</v>
      </c>
      <c r="N338" s="155">
        <v>30</v>
      </c>
      <c r="O338" s="155">
        <v>100</v>
      </c>
      <c r="P338" s="155">
        <f t="shared" si="264"/>
        <v>474.34</v>
      </c>
      <c r="Q338" s="155"/>
      <c r="R338" s="155">
        <f t="shared" si="276"/>
        <v>36.487692307692306</v>
      </c>
      <c r="S338" s="155"/>
      <c r="T338" s="155"/>
      <c r="U338" s="155">
        <f t="shared" si="250"/>
        <v>406.58</v>
      </c>
      <c r="V338" s="155">
        <f t="shared" si="277"/>
        <v>31.275384615384613</v>
      </c>
      <c r="W338" s="155"/>
      <c r="X338" s="155"/>
      <c r="Y338" s="155">
        <f t="shared" si="266"/>
        <v>880.92</v>
      </c>
      <c r="Z338" s="155">
        <f t="shared" si="267"/>
        <v>54.21</v>
      </c>
      <c r="AA338" s="155">
        <f t="shared" si="278"/>
        <v>4.17</v>
      </c>
      <c r="AB338" s="155">
        <f t="shared" si="268"/>
        <v>134.03571428571428</v>
      </c>
      <c r="AC338" s="155">
        <f t="shared" si="271"/>
        <v>11.73</v>
      </c>
      <c r="AD338" s="155"/>
      <c r="AE338" s="155">
        <f t="shared" si="272"/>
        <v>10.050000000000001</v>
      </c>
      <c r="AF338" s="155"/>
      <c r="AG338" s="155">
        <f t="shared" si="246"/>
        <v>21.78</v>
      </c>
      <c r="AH338" s="155">
        <f t="shared" si="279"/>
        <v>1.3403571428571428</v>
      </c>
      <c r="AI338" s="155"/>
      <c r="AJ338" s="155"/>
      <c r="AK338" s="155"/>
      <c r="AL338" s="155"/>
    </row>
    <row r="339" spans="1:38" ht="21.9" customHeight="1">
      <c r="A339" s="154">
        <f t="shared" si="270"/>
        <v>277</v>
      </c>
      <c r="B339" s="177" t="s">
        <v>673</v>
      </c>
      <c r="C339" s="220" t="s">
        <v>452</v>
      </c>
      <c r="D339" s="182" t="s">
        <v>79</v>
      </c>
      <c r="E339" s="307" t="s">
        <v>648</v>
      </c>
      <c r="F339" s="155">
        <f>417</f>
        <v>417</v>
      </c>
      <c r="G339" s="155">
        <f t="shared" si="275"/>
        <v>5004</v>
      </c>
      <c r="H339" s="155">
        <v>70</v>
      </c>
      <c r="I339" s="155"/>
      <c r="J339" s="155">
        <f t="shared" si="274"/>
        <v>417</v>
      </c>
      <c r="K339" s="155">
        <v>300</v>
      </c>
      <c r="L339" s="155"/>
      <c r="M339" s="155">
        <v>125</v>
      </c>
      <c r="N339" s="155">
        <v>30</v>
      </c>
      <c r="O339" s="155">
        <v>100</v>
      </c>
      <c r="P339" s="155">
        <f t="shared" si="264"/>
        <v>474.34</v>
      </c>
      <c r="Q339" s="155"/>
      <c r="R339" s="155">
        <f t="shared" si="276"/>
        <v>36.487692307692306</v>
      </c>
      <c r="S339" s="155"/>
      <c r="T339" s="155"/>
      <c r="U339" s="155">
        <f t="shared" si="250"/>
        <v>406.58</v>
      </c>
      <c r="V339" s="155">
        <f t="shared" si="277"/>
        <v>31.275384615384613</v>
      </c>
      <c r="W339" s="155"/>
      <c r="X339" s="155"/>
      <c r="Y339" s="155">
        <f t="shared" si="266"/>
        <v>880.92</v>
      </c>
      <c r="Z339" s="155">
        <f t="shared" si="267"/>
        <v>54.21</v>
      </c>
      <c r="AA339" s="155">
        <f t="shared" si="278"/>
        <v>4.17</v>
      </c>
      <c r="AB339" s="155">
        <f t="shared" si="268"/>
        <v>134.03571428571428</v>
      </c>
      <c r="AC339" s="155">
        <f t="shared" si="271"/>
        <v>11.73</v>
      </c>
      <c r="AD339" s="155"/>
      <c r="AE339" s="155">
        <f t="shared" si="272"/>
        <v>10.050000000000001</v>
      </c>
      <c r="AF339" s="155"/>
      <c r="AG339" s="155">
        <f t="shared" si="246"/>
        <v>21.78</v>
      </c>
      <c r="AH339" s="155">
        <f t="shared" si="279"/>
        <v>1.3403571428571428</v>
      </c>
      <c r="AI339" s="155"/>
      <c r="AJ339" s="155"/>
      <c r="AK339" s="155"/>
      <c r="AL339" s="155"/>
    </row>
    <row r="340" spans="1:38" ht="21.9" customHeight="1">
      <c r="A340" s="154">
        <f t="shared" si="270"/>
        <v>278</v>
      </c>
      <c r="B340" s="177" t="s">
        <v>673</v>
      </c>
      <c r="C340" s="220" t="s">
        <v>452</v>
      </c>
      <c r="D340" s="182" t="s">
        <v>79</v>
      </c>
      <c r="E340" s="307" t="s">
        <v>648</v>
      </c>
      <c r="F340" s="155">
        <f>417</f>
        <v>417</v>
      </c>
      <c r="G340" s="155">
        <f t="shared" si="275"/>
        <v>5004</v>
      </c>
      <c r="H340" s="155">
        <v>70</v>
      </c>
      <c r="I340" s="155"/>
      <c r="J340" s="155">
        <f t="shared" si="274"/>
        <v>417</v>
      </c>
      <c r="K340" s="155">
        <v>300</v>
      </c>
      <c r="L340" s="155"/>
      <c r="M340" s="155">
        <v>125</v>
      </c>
      <c r="N340" s="155">
        <v>30</v>
      </c>
      <c r="O340" s="155">
        <v>100</v>
      </c>
      <c r="P340" s="155">
        <f t="shared" si="264"/>
        <v>474.34</v>
      </c>
      <c r="Q340" s="155"/>
      <c r="R340" s="155">
        <f t="shared" si="276"/>
        <v>36.487692307692306</v>
      </c>
      <c r="S340" s="155"/>
      <c r="T340" s="155"/>
      <c r="U340" s="155">
        <f t="shared" si="250"/>
        <v>406.58</v>
      </c>
      <c r="V340" s="155">
        <f t="shared" si="277"/>
        <v>31.275384615384613</v>
      </c>
      <c r="W340" s="155"/>
      <c r="X340" s="155"/>
      <c r="Y340" s="155">
        <f t="shared" si="266"/>
        <v>880.92</v>
      </c>
      <c r="Z340" s="155">
        <f t="shared" si="267"/>
        <v>54.21</v>
      </c>
      <c r="AA340" s="155">
        <f t="shared" si="278"/>
        <v>4.17</v>
      </c>
      <c r="AB340" s="155">
        <f t="shared" si="268"/>
        <v>134.03571428571428</v>
      </c>
      <c r="AC340" s="155">
        <f t="shared" si="271"/>
        <v>11.73</v>
      </c>
      <c r="AD340" s="155"/>
      <c r="AE340" s="155">
        <f t="shared" si="272"/>
        <v>10.050000000000001</v>
      </c>
      <c r="AF340" s="155"/>
      <c r="AG340" s="155">
        <f t="shared" si="246"/>
        <v>21.78</v>
      </c>
      <c r="AH340" s="155">
        <f t="shared" si="279"/>
        <v>1.3403571428571428</v>
      </c>
      <c r="AI340" s="155"/>
      <c r="AJ340" s="155"/>
      <c r="AK340" s="155"/>
      <c r="AL340" s="155"/>
    </row>
    <row r="341" spans="1:38" ht="21.9" customHeight="1">
      <c r="A341" s="154">
        <f t="shared" si="270"/>
        <v>279</v>
      </c>
      <c r="B341" s="177" t="s">
        <v>673</v>
      </c>
      <c r="C341" s="220" t="s">
        <v>452</v>
      </c>
      <c r="D341" s="182" t="s">
        <v>79</v>
      </c>
      <c r="E341" s="307" t="s">
        <v>648</v>
      </c>
      <c r="F341" s="155">
        <f>417</f>
        <v>417</v>
      </c>
      <c r="G341" s="155">
        <f t="shared" si="275"/>
        <v>5004</v>
      </c>
      <c r="H341" s="155">
        <v>70</v>
      </c>
      <c r="I341" s="155"/>
      <c r="J341" s="155">
        <f t="shared" si="274"/>
        <v>417</v>
      </c>
      <c r="K341" s="155">
        <v>300</v>
      </c>
      <c r="L341" s="155"/>
      <c r="M341" s="155">
        <v>125</v>
      </c>
      <c r="N341" s="155">
        <v>30</v>
      </c>
      <c r="O341" s="155">
        <v>100</v>
      </c>
      <c r="P341" s="155">
        <f t="shared" si="264"/>
        <v>474.34</v>
      </c>
      <c r="Q341" s="155"/>
      <c r="R341" s="155">
        <f t="shared" si="276"/>
        <v>36.487692307692306</v>
      </c>
      <c r="S341" s="155"/>
      <c r="T341" s="155"/>
      <c r="U341" s="155">
        <f t="shared" si="250"/>
        <v>406.58</v>
      </c>
      <c r="V341" s="155">
        <f t="shared" si="277"/>
        <v>31.275384615384613</v>
      </c>
      <c r="W341" s="155"/>
      <c r="X341" s="155"/>
      <c r="Y341" s="155">
        <f t="shared" si="266"/>
        <v>880.92</v>
      </c>
      <c r="Z341" s="155">
        <f t="shared" si="267"/>
        <v>54.21</v>
      </c>
      <c r="AA341" s="155">
        <f t="shared" si="278"/>
        <v>4.17</v>
      </c>
      <c r="AB341" s="155">
        <f t="shared" si="268"/>
        <v>134.03571428571428</v>
      </c>
      <c r="AC341" s="155">
        <f t="shared" si="271"/>
        <v>11.73</v>
      </c>
      <c r="AD341" s="155"/>
      <c r="AE341" s="155">
        <f t="shared" si="272"/>
        <v>10.050000000000001</v>
      </c>
      <c r="AF341" s="155"/>
      <c r="AG341" s="155">
        <f t="shared" si="246"/>
        <v>21.78</v>
      </c>
      <c r="AH341" s="155">
        <f t="shared" si="279"/>
        <v>1.3403571428571428</v>
      </c>
      <c r="AI341" s="155"/>
      <c r="AJ341" s="155"/>
      <c r="AK341" s="155"/>
      <c r="AL341" s="155"/>
    </row>
    <row r="342" spans="1:38" ht="21.9" customHeight="1">
      <c r="A342" s="154">
        <f t="shared" si="270"/>
        <v>280</v>
      </c>
      <c r="B342" s="177" t="s">
        <v>673</v>
      </c>
      <c r="C342" s="220" t="s">
        <v>452</v>
      </c>
      <c r="D342" s="182" t="s">
        <v>79</v>
      </c>
      <c r="E342" s="307" t="s">
        <v>648</v>
      </c>
      <c r="F342" s="155">
        <f>417</f>
        <v>417</v>
      </c>
      <c r="G342" s="155">
        <f t="shared" si="275"/>
        <v>5004</v>
      </c>
      <c r="H342" s="155">
        <v>70</v>
      </c>
      <c r="I342" s="155"/>
      <c r="J342" s="155">
        <f t="shared" si="274"/>
        <v>417</v>
      </c>
      <c r="K342" s="155">
        <v>300</v>
      </c>
      <c r="L342" s="155"/>
      <c r="M342" s="155">
        <v>125</v>
      </c>
      <c r="N342" s="155">
        <v>30</v>
      </c>
      <c r="O342" s="155">
        <v>100</v>
      </c>
      <c r="P342" s="155">
        <f t="shared" si="264"/>
        <v>474.34</v>
      </c>
      <c r="Q342" s="155"/>
      <c r="R342" s="155">
        <f t="shared" si="276"/>
        <v>36.487692307692306</v>
      </c>
      <c r="S342" s="155"/>
      <c r="T342" s="155"/>
      <c r="U342" s="155">
        <f t="shared" si="250"/>
        <v>406.58</v>
      </c>
      <c r="V342" s="155">
        <f t="shared" si="277"/>
        <v>31.275384615384613</v>
      </c>
      <c r="W342" s="155"/>
      <c r="X342" s="155"/>
      <c r="Y342" s="155">
        <f t="shared" si="266"/>
        <v>880.92</v>
      </c>
      <c r="Z342" s="155">
        <f t="shared" si="267"/>
        <v>54.21</v>
      </c>
      <c r="AA342" s="155">
        <f t="shared" si="278"/>
        <v>4.17</v>
      </c>
      <c r="AB342" s="155">
        <f t="shared" si="268"/>
        <v>134.03571428571428</v>
      </c>
      <c r="AC342" s="155">
        <f t="shared" si="271"/>
        <v>11.73</v>
      </c>
      <c r="AD342" s="155"/>
      <c r="AE342" s="155">
        <f t="shared" si="272"/>
        <v>10.050000000000001</v>
      </c>
      <c r="AF342" s="155"/>
      <c r="AG342" s="155">
        <f t="shared" si="246"/>
        <v>21.78</v>
      </c>
      <c r="AH342" s="155">
        <f t="shared" si="279"/>
        <v>1.3403571428571428</v>
      </c>
      <c r="AI342" s="155"/>
      <c r="AJ342" s="155"/>
      <c r="AK342" s="155"/>
      <c r="AL342" s="155"/>
    </row>
    <row r="343" spans="1:38" ht="21.9" customHeight="1">
      <c r="A343" s="154">
        <f t="shared" si="270"/>
        <v>281</v>
      </c>
      <c r="B343" s="177" t="s">
        <v>673</v>
      </c>
      <c r="C343" s="220" t="s">
        <v>452</v>
      </c>
      <c r="D343" s="182" t="s">
        <v>79</v>
      </c>
      <c r="E343" s="307" t="s">
        <v>648</v>
      </c>
      <c r="F343" s="155">
        <f>417</f>
        <v>417</v>
      </c>
      <c r="G343" s="155">
        <f t="shared" si="275"/>
        <v>5004</v>
      </c>
      <c r="H343" s="155">
        <v>70</v>
      </c>
      <c r="I343" s="155"/>
      <c r="J343" s="155">
        <f t="shared" si="274"/>
        <v>417</v>
      </c>
      <c r="K343" s="155">
        <v>300</v>
      </c>
      <c r="L343" s="155"/>
      <c r="M343" s="155">
        <v>125</v>
      </c>
      <c r="N343" s="155">
        <v>30</v>
      </c>
      <c r="O343" s="155">
        <v>100</v>
      </c>
      <c r="P343" s="155">
        <f t="shared" si="264"/>
        <v>474.34</v>
      </c>
      <c r="Q343" s="155"/>
      <c r="R343" s="155">
        <f t="shared" si="276"/>
        <v>36.487692307692306</v>
      </c>
      <c r="S343" s="155"/>
      <c r="T343" s="155"/>
      <c r="U343" s="155">
        <f t="shared" si="250"/>
        <v>406.58</v>
      </c>
      <c r="V343" s="155">
        <f t="shared" si="277"/>
        <v>31.275384615384613</v>
      </c>
      <c r="W343" s="155"/>
      <c r="X343" s="155"/>
      <c r="Y343" s="155">
        <f t="shared" si="266"/>
        <v>880.92</v>
      </c>
      <c r="Z343" s="155">
        <f t="shared" si="267"/>
        <v>54.21</v>
      </c>
      <c r="AA343" s="155">
        <f t="shared" si="278"/>
        <v>4.17</v>
      </c>
      <c r="AB343" s="155">
        <f t="shared" si="268"/>
        <v>134.03571428571428</v>
      </c>
      <c r="AC343" s="155">
        <f t="shared" si="271"/>
        <v>11.73</v>
      </c>
      <c r="AD343" s="155"/>
      <c r="AE343" s="155">
        <f t="shared" si="272"/>
        <v>10.050000000000001</v>
      </c>
      <c r="AF343" s="155"/>
      <c r="AG343" s="155">
        <f t="shared" si="246"/>
        <v>21.78</v>
      </c>
      <c r="AH343" s="155">
        <f t="shared" si="279"/>
        <v>1.3403571428571428</v>
      </c>
      <c r="AI343" s="155"/>
      <c r="AJ343" s="155"/>
      <c r="AK343" s="155"/>
      <c r="AL343" s="155"/>
    </row>
    <row r="344" spans="1:38" ht="21.9" customHeight="1">
      <c r="A344" s="154">
        <f t="shared" si="270"/>
        <v>282</v>
      </c>
      <c r="B344" s="177" t="s">
        <v>673</v>
      </c>
      <c r="C344" s="220" t="s">
        <v>452</v>
      </c>
      <c r="D344" s="182" t="s">
        <v>79</v>
      </c>
      <c r="E344" s="307" t="s">
        <v>648</v>
      </c>
      <c r="F344" s="155">
        <f>417</f>
        <v>417</v>
      </c>
      <c r="G344" s="155">
        <f t="shared" si="275"/>
        <v>5004</v>
      </c>
      <c r="H344" s="155">
        <v>70</v>
      </c>
      <c r="I344" s="155"/>
      <c r="J344" s="155">
        <f t="shared" si="274"/>
        <v>417</v>
      </c>
      <c r="K344" s="155">
        <v>300</v>
      </c>
      <c r="L344" s="155"/>
      <c r="M344" s="155">
        <v>125</v>
      </c>
      <c r="N344" s="155">
        <v>30</v>
      </c>
      <c r="O344" s="155">
        <v>100</v>
      </c>
      <c r="P344" s="155">
        <f t="shared" si="264"/>
        <v>474.34</v>
      </c>
      <c r="Q344" s="155"/>
      <c r="R344" s="155">
        <f t="shared" si="276"/>
        <v>36.487692307692306</v>
      </c>
      <c r="S344" s="155"/>
      <c r="T344" s="155"/>
      <c r="U344" s="155">
        <f t="shared" si="250"/>
        <v>406.58</v>
      </c>
      <c r="V344" s="155">
        <f t="shared" si="277"/>
        <v>31.275384615384613</v>
      </c>
      <c r="W344" s="155"/>
      <c r="X344" s="155"/>
      <c r="Y344" s="155">
        <f t="shared" si="266"/>
        <v>880.92</v>
      </c>
      <c r="Z344" s="155">
        <f t="shared" si="267"/>
        <v>54.21</v>
      </c>
      <c r="AA344" s="155">
        <f t="shared" si="278"/>
        <v>4.17</v>
      </c>
      <c r="AB344" s="155">
        <f t="shared" si="268"/>
        <v>134.03571428571428</v>
      </c>
      <c r="AC344" s="155">
        <f t="shared" si="271"/>
        <v>11.73</v>
      </c>
      <c r="AD344" s="155"/>
      <c r="AE344" s="155">
        <f t="shared" si="272"/>
        <v>10.050000000000001</v>
      </c>
      <c r="AF344" s="155"/>
      <c r="AG344" s="155">
        <f t="shared" si="246"/>
        <v>21.78</v>
      </c>
      <c r="AH344" s="155">
        <f t="shared" si="279"/>
        <v>1.3403571428571428</v>
      </c>
      <c r="AI344" s="155"/>
      <c r="AJ344" s="155"/>
      <c r="AK344" s="155"/>
      <c r="AL344" s="155"/>
    </row>
    <row r="345" spans="1:38" ht="21.9" customHeight="1">
      <c r="A345" s="154">
        <f t="shared" si="270"/>
        <v>283</v>
      </c>
      <c r="B345" s="177" t="s">
        <v>673</v>
      </c>
      <c r="C345" s="220" t="s">
        <v>452</v>
      </c>
      <c r="D345" s="182" t="s">
        <v>79</v>
      </c>
      <c r="E345" s="307" t="s">
        <v>648</v>
      </c>
      <c r="F345" s="155">
        <f>417</f>
        <v>417</v>
      </c>
      <c r="G345" s="155">
        <f t="shared" ref="G345:G357" si="280">F345*12</f>
        <v>5004</v>
      </c>
      <c r="H345" s="155">
        <v>70</v>
      </c>
      <c r="I345" s="155"/>
      <c r="J345" s="155">
        <f t="shared" si="274"/>
        <v>417</v>
      </c>
      <c r="K345" s="155">
        <v>300</v>
      </c>
      <c r="L345" s="155"/>
      <c r="M345" s="155">
        <v>125</v>
      </c>
      <c r="N345" s="155">
        <v>30</v>
      </c>
      <c r="O345" s="155">
        <v>100</v>
      </c>
      <c r="P345" s="155">
        <f t="shared" si="264"/>
        <v>474.34</v>
      </c>
      <c r="Q345" s="155"/>
      <c r="R345" s="155">
        <f>P345/13</f>
        <v>36.487692307692306</v>
      </c>
      <c r="S345" s="155"/>
      <c r="T345" s="155"/>
      <c r="U345" s="155">
        <f t="shared" si="250"/>
        <v>406.58</v>
      </c>
      <c r="V345" s="155">
        <f t="shared" ref="V345:V377" si="281">U345/13</f>
        <v>31.275384615384613</v>
      </c>
      <c r="W345" s="155"/>
      <c r="X345" s="155"/>
      <c r="Y345" s="155">
        <f t="shared" si="266"/>
        <v>880.92</v>
      </c>
      <c r="Z345" s="155">
        <f t="shared" si="267"/>
        <v>54.21</v>
      </c>
      <c r="AA345" s="155">
        <f t="shared" si="273"/>
        <v>4.17</v>
      </c>
      <c r="AB345" s="155">
        <f t="shared" si="268"/>
        <v>134.03571428571428</v>
      </c>
      <c r="AC345" s="155">
        <f t="shared" si="271"/>
        <v>11.73</v>
      </c>
      <c r="AD345" s="155"/>
      <c r="AE345" s="155">
        <f t="shared" si="272"/>
        <v>10.050000000000001</v>
      </c>
      <c r="AF345" s="155"/>
      <c r="AG345" s="155">
        <f t="shared" si="246"/>
        <v>21.78</v>
      </c>
      <c r="AH345" s="155">
        <f t="shared" si="269"/>
        <v>1.3403571428571428</v>
      </c>
      <c r="AI345" s="155"/>
      <c r="AJ345" s="155"/>
      <c r="AK345" s="155"/>
      <c r="AL345" s="155"/>
    </row>
    <row r="346" spans="1:38" ht="21.9" customHeight="1">
      <c r="A346" s="154">
        <f t="shared" si="270"/>
        <v>284</v>
      </c>
      <c r="B346" s="177" t="s">
        <v>673</v>
      </c>
      <c r="C346" s="220" t="s">
        <v>452</v>
      </c>
      <c r="D346" s="182" t="s">
        <v>79</v>
      </c>
      <c r="E346" s="307" t="s">
        <v>648</v>
      </c>
      <c r="F346" s="155">
        <f>417</f>
        <v>417</v>
      </c>
      <c r="G346" s="155">
        <f t="shared" si="280"/>
        <v>5004</v>
      </c>
      <c r="H346" s="155">
        <v>70</v>
      </c>
      <c r="I346" s="155"/>
      <c r="J346" s="155">
        <f>F346</f>
        <v>417</v>
      </c>
      <c r="K346" s="155">
        <v>300</v>
      </c>
      <c r="L346" s="155"/>
      <c r="M346" s="155"/>
      <c r="N346" s="155">
        <v>30</v>
      </c>
      <c r="O346" s="155">
        <v>100</v>
      </c>
      <c r="P346" s="155">
        <f t="shared" si="264"/>
        <v>474.34</v>
      </c>
      <c r="Q346" s="155"/>
      <c r="R346" s="155">
        <f>P346/13</f>
        <v>36.487692307692306</v>
      </c>
      <c r="S346" s="155"/>
      <c r="T346" s="155"/>
      <c r="U346" s="155">
        <f t="shared" si="250"/>
        <v>406.58</v>
      </c>
      <c r="V346" s="155">
        <f t="shared" si="281"/>
        <v>31.275384615384613</v>
      </c>
      <c r="W346" s="155"/>
      <c r="X346" s="155"/>
      <c r="Y346" s="155">
        <f t="shared" si="266"/>
        <v>880.92</v>
      </c>
      <c r="Z346" s="155">
        <f t="shared" si="267"/>
        <v>54.21</v>
      </c>
      <c r="AA346" s="155">
        <f>Z346/13</f>
        <v>4.17</v>
      </c>
      <c r="AB346" s="155">
        <f t="shared" si="268"/>
        <v>134.03571428571428</v>
      </c>
      <c r="AC346" s="155">
        <f t="shared" si="271"/>
        <v>11.73</v>
      </c>
      <c r="AD346" s="155"/>
      <c r="AE346" s="155">
        <f t="shared" si="272"/>
        <v>10.050000000000001</v>
      </c>
      <c r="AF346" s="155"/>
      <c r="AG346" s="155">
        <f t="shared" si="246"/>
        <v>21.78</v>
      </c>
      <c r="AH346" s="155">
        <f>AB346*0.01</f>
        <v>1.3403571428571428</v>
      </c>
      <c r="AI346" s="155"/>
      <c r="AJ346" s="155"/>
      <c r="AK346" s="155"/>
      <c r="AL346" s="155"/>
    </row>
    <row r="347" spans="1:38" ht="21.9" customHeight="1">
      <c r="A347" s="154">
        <f t="shared" si="270"/>
        <v>285</v>
      </c>
      <c r="B347" s="177" t="s">
        <v>673</v>
      </c>
      <c r="C347" s="220" t="s">
        <v>452</v>
      </c>
      <c r="D347" s="182" t="s">
        <v>79</v>
      </c>
      <c r="E347" s="307" t="s">
        <v>648</v>
      </c>
      <c r="F347" s="155">
        <f>417</f>
        <v>417</v>
      </c>
      <c r="G347" s="155">
        <f t="shared" ref="G347" si="282">F347*12</f>
        <v>5004</v>
      </c>
      <c r="H347" s="155">
        <v>70</v>
      </c>
      <c r="I347" s="155"/>
      <c r="J347" s="155">
        <f>F347</f>
        <v>417</v>
      </c>
      <c r="K347" s="155">
        <v>300</v>
      </c>
      <c r="L347" s="155"/>
      <c r="M347" s="155"/>
      <c r="N347" s="155">
        <v>30</v>
      </c>
      <c r="O347" s="155">
        <v>100</v>
      </c>
      <c r="P347" s="155">
        <f t="shared" ref="P347" si="283">ROUND(F347*0.0875*13,2)</f>
        <v>474.34</v>
      </c>
      <c r="Q347" s="155"/>
      <c r="R347" s="155">
        <f>P347/13</f>
        <v>36.487692307692306</v>
      </c>
      <c r="S347" s="155"/>
      <c r="T347" s="155"/>
      <c r="U347" s="155">
        <f t="shared" ref="U347" si="284">ROUND(F347*0.075*13,2)</f>
        <v>406.58</v>
      </c>
      <c r="V347" s="155">
        <f t="shared" ref="V347" si="285">U347/13</f>
        <v>31.275384615384613</v>
      </c>
      <c r="W347" s="155"/>
      <c r="X347" s="155"/>
      <c r="Y347" s="155">
        <f t="shared" ref="Y347" si="286">P347+S347+U347+W347</f>
        <v>880.92</v>
      </c>
      <c r="Z347" s="155">
        <f t="shared" ref="Z347" si="287">ROUND(F347*0.01*13,2)</f>
        <v>54.21</v>
      </c>
      <c r="AA347" s="155">
        <f>Z347/13</f>
        <v>4.17</v>
      </c>
      <c r="AB347" s="155">
        <f t="shared" ref="AB347" si="288">F347/30/7*1.5*45</f>
        <v>134.03571428571428</v>
      </c>
      <c r="AC347" s="155">
        <f t="shared" ref="AC347" si="289">ROUND(AB347*0.0875,2)</f>
        <v>11.73</v>
      </c>
      <c r="AD347" s="155"/>
      <c r="AE347" s="155">
        <f t="shared" ref="AE347" si="290">ROUND(AB347*0.075,2)</f>
        <v>10.050000000000001</v>
      </c>
      <c r="AF347" s="155"/>
      <c r="AG347" s="155">
        <f t="shared" ref="AG347" si="291">AC347+AD347+AE347+AF347</f>
        <v>21.78</v>
      </c>
      <c r="AH347" s="155">
        <f>AB347*0.01</f>
        <v>1.3403571428571428</v>
      </c>
      <c r="AI347" s="155"/>
      <c r="AJ347" s="155"/>
      <c r="AK347" s="155"/>
      <c r="AL347" s="155"/>
    </row>
    <row r="348" spans="1:38" ht="21.9" customHeight="1">
      <c r="A348" s="154">
        <f t="shared" si="270"/>
        <v>286</v>
      </c>
      <c r="B348" s="178" t="s">
        <v>633</v>
      </c>
      <c r="C348" s="175" t="s">
        <v>452</v>
      </c>
      <c r="D348" s="161" t="s">
        <v>79</v>
      </c>
      <c r="E348" s="163" t="s">
        <v>668</v>
      </c>
      <c r="F348" s="155">
        <v>800</v>
      </c>
      <c r="G348" s="155">
        <f t="shared" si="280"/>
        <v>9600</v>
      </c>
      <c r="H348" s="155">
        <v>70</v>
      </c>
      <c r="I348" s="155"/>
      <c r="J348" s="155">
        <f t="shared" si="274"/>
        <v>800</v>
      </c>
      <c r="K348" s="155">
        <v>300</v>
      </c>
      <c r="L348" s="155"/>
      <c r="M348" s="155">
        <v>125</v>
      </c>
      <c r="N348" s="155">
        <v>30</v>
      </c>
      <c r="O348" s="155">
        <v>100</v>
      </c>
      <c r="P348" s="155">
        <f t="shared" si="264"/>
        <v>910</v>
      </c>
      <c r="Q348" s="155"/>
      <c r="R348" s="155">
        <f>P348/13</f>
        <v>70</v>
      </c>
      <c r="S348" s="155"/>
      <c r="T348" s="155"/>
      <c r="U348" s="155">
        <f t="shared" si="250"/>
        <v>780</v>
      </c>
      <c r="V348" s="155">
        <f t="shared" si="281"/>
        <v>60</v>
      </c>
      <c r="W348" s="155"/>
      <c r="X348" s="155"/>
      <c r="Y348" s="155">
        <f t="shared" si="266"/>
        <v>1690</v>
      </c>
      <c r="Z348" s="155">
        <f t="shared" si="267"/>
        <v>104</v>
      </c>
      <c r="AA348" s="155">
        <f t="shared" si="273"/>
        <v>8</v>
      </c>
      <c r="AB348" s="155">
        <f t="shared" si="268"/>
        <v>257.14285714285717</v>
      </c>
      <c r="AC348" s="155">
        <f t="shared" si="271"/>
        <v>22.5</v>
      </c>
      <c r="AD348" s="155"/>
      <c r="AE348" s="155">
        <f t="shared" si="272"/>
        <v>19.29</v>
      </c>
      <c r="AF348" s="155"/>
      <c r="AG348" s="155">
        <f t="shared" si="246"/>
        <v>41.79</v>
      </c>
      <c r="AH348" s="155">
        <f t="shared" si="269"/>
        <v>2.5714285714285716</v>
      </c>
      <c r="AI348" s="155"/>
      <c r="AJ348" s="155"/>
      <c r="AK348" s="155"/>
      <c r="AL348" s="155"/>
    </row>
    <row r="349" spans="1:38" ht="21.9" customHeight="1">
      <c r="A349" s="154">
        <f t="shared" si="270"/>
        <v>287</v>
      </c>
      <c r="B349" s="179" t="s">
        <v>520</v>
      </c>
      <c r="C349" s="175" t="s">
        <v>452</v>
      </c>
      <c r="D349" s="161" t="s">
        <v>79</v>
      </c>
      <c r="E349" s="163" t="s">
        <v>668</v>
      </c>
      <c r="F349" s="155">
        <f>614.86+30+50+50</f>
        <v>744.86</v>
      </c>
      <c r="G349" s="155">
        <f t="shared" si="280"/>
        <v>8938.32</v>
      </c>
      <c r="H349" s="155">
        <v>70</v>
      </c>
      <c r="I349" s="155"/>
      <c r="J349" s="155">
        <f t="shared" si="274"/>
        <v>744.86</v>
      </c>
      <c r="K349" s="155">
        <v>300</v>
      </c>
      <c r="L349" s="155"/>
      <c r="M349" s="155">
        <v>125</v>
      </c>
      <c r="N349" s="155">
        <v>30</v>
      </c>
      <c r="O349" s="155">
        <v>100</v>
      </c>
      <c r="P349" s="155">
        <f t="shared" si="264"/>
        <v>847.28</v>
      </c>
      <c r="Q349" s="226"/>
      <c r="R349" s="155">
        <f>P349/13</f>
        <v>65.175384615384615</v>
      </c>
      <c r="S349" s="155"/>
      <c r="T349" s="155"/>
      <c r="U349" s="155">
        <f t="shared" si="250"/>
        <v>726.24</v>
      </c>
      <c r="V349" s="155">
        <f t="shared" si="281"/>
        <v>55.864615384615384</v>
      </c>
      <c r="W349" s="155"/>
      <c r="X349" s="155"/>
      <c r="Y349" s="155">
        <f t="shared" si="266"/>
        <v>1573.52</v>
      </c>
      <c r="Z349" s="155">
        <f t="shared" si="267"/>
        <v>96.83</v>
      </c>
      <c r="AA349" s="155">
        <f t="shared" si="273"/>
        <v>7.4484615384615385</v>
      </c>
      <c r="AB349" s="155">
        <f t="shared" ref="AB349:AB377" si="292">F349/30/7*1.5*45</f>
        <v>239.41928571428573</v>
      </c>
      <c r="AC349" s="155">
        <f t="shared" si="271"/>
        <v>20.95</v>
      </c>
      <c r="AD349" s="155"/>
      <c r="AE349" s="155">
        <f t="shared" si="272"/>
        <v>17.96</v>
      </c>
      <c r="AF349" s="155"/>
      <c r="AG349" s="155">
        <f t="shared" si="246"/>
        <v>38.909999999999997</v>
      </c>
      <c r="AH349" s="155">
        <f t="shared" si="269"/>
        <v>2.3941928571428575</v>
      </c>
      <c r="AI349" s="155"/>
      <c r="AJ349" s="155"/>
      <c r="AK349" s="155"/>
      <c r="AL349" s="155"/>
    </row>
    <row r="350" spans="1:38" ht="21.9" customHeight="1">
      <c r="A350" s="154">
        <f t="shared" si="270"/>
        <v>288</v>
      </c>
      <c r="B350" s="179" t="s">
        <v>520</v>
      </c>
      <c r="C350" s="175" t="s">
        <v>452</v>
      </c>
      <c r="D350" s="161" t="s">
        <v>79</v>
      </c>
      <c r="E350" s="163" t="s">
        <v>668</v>
      </c>
      <c r="F350" s="155">
        <f>614.86+30+50+50</f>
        <v>744.86</v>
      </c>
      <c r="G350" s="155">
        <f t="shared" si="280"/>
        <v>8938.32</v>
      </c>
      <c r="H350" s="155">
        <v>70</v>
      </c>
      <c r="I350" s="155"/>
      <c r="J350" s="155">
        <f t="shared" si="274"/>
        <v>744.86</v>
      </c>
      <c r="K350" s="155">
        <v>300</v>
      </c>
      <c r="L350" s="155"/>
      <c r="M350" s="155">
        <v>125</v>
      </c>
      <c r="N350" s="155">
        <v>30</v>
      </c>
      <c r="O350" s="155">
        <v>100</v>
      </c>
      <c r="P350" s="155">
        <f t="shared" si="264"/>
        <v>847.28</v>
      </c>
      <c r="Q350" s="155">
        <f>P350/13</f>
        <v>65.175384615384615</v>
      </c>
      <c r="R350" s="155"/>
      <c r="S350" s="155"/>
      <c r="T350" s="155"/>
      <c r="U350" s="155">
        <f t="shared" si="250"/>
        <v>726.24</v>
      </c>
      <c r="V350" s="155">
        <f t="shared" si="281"/>
        <v>55.864615384615384</v>
      </c>
      <c r="W350" s="155"/>
      <c r="X350" s="155"/>
      <c r="Y350" s="155">
        <f t="shared" si="266"/>
        <v>1573.52</v>
      </c>
      <c r="Z350" s="155">
        <f t="shared" si="267"/>
        <v>96.83</v>
      </c>
      <c r="AA350" s="155">
        <f t="shared" si="273"/>
        <v>7.4484615384615385</v>
      </c>
      <c r="AB350" s="155">
        <f t="shared" si="292"/>
        <v>239.41928571428573</v>
      </c>
      <c r="AC350" s="155">
        <f t="shared" si="271"/>
        <v>20.95</v>
      </c>
      <c r="AD350" s="155"/>
      <c r="AE350" s="155">
        <f t="shared" si="272"/>
        <v>17.96</v>
      </c>
      <c r="AF350" s="155"/>
      <c r="AG350" s="155">
        <f t="shared" si="246"/>
        <v>38.909999999999997</v>
      </c>
      <c r="AH350" s="155">
        <f t="shared" si="269"/>
        <v>2.3941928571428575</v>
      </c>
      <c r="AI350" s="155"/>
      <c r="AJ350" s="155"/>
      <c r="AK350" s="155"/>
      <c r="AL350" s="155"/>
    </row>
    <row r="351" spans="1:38" ht="21.9" customHeight="1">
      <c r="A351" s="154">
        <f t="shared" si="270"/>
        <v>289</v>
      </c>
      <c r="B351" s="179" t="s">
        <v>520</v>
      </c>
      <c r="C351" s="175" t="s">
        <v>452</v>
      </c>
      <c r="D351" s="161" t="s">
        <v>79</v>
      </c>
      <c r="E351" s="163" t="s">
        <v>668</v>
      </c>
      <c r="F351" s="155">
        <f>601.72+30+50+50</f>
        <v>731.72</v>
      </c>
      <c r="G351" s="155">
        <f t="shared" si="280"/>
        <v>8780.64</v>
      </c>
      <c r="H351" s="155">
        <v>70</v>
      </c>
      <c r="I351" s="155"/>
      <c r="J351" s="155">
        <f t="shared" si="274"/>
        <v>731.72</v>
      </c>
      <c r="K351" s="155">
        <v>300</v>
      </c>
      <c r="L351" s="155"/>
      <c r="M351" s="155"/>
      <c r="N351" s="155">
        <v>30</v>
      </c>
      <c r="O351" s="155">
        <v>100</v>
      </c>
      <c r="P351" s="155">
        <f t="shared" si="264"/>
        <v>832.33</v>
      </c>
      <c r="Q351" s="226"/>
      <c r="R351" s="155">
        <f>P351/13</f>
        <v>64.025384615384624</v>
      </c>
      <c r="S351" s="155"/>
      <c r="T351" s="155"/>
      <c r="U351" s="155">
        <f t="shared" si="250"/>
        <v>713.43</v>
      </c>
      <c r="V351" s="155">
        <f t="shared" si="281"/>
        <v>54.879230769230766</v>
      </c>
      <c r="W351" s="155"/>
      <c r="X351" s="155"/>
      <c r="Y351" s="155">
        <f t="shared" si="266"/>
        <v>1545.76</v>
      </c>
      <c r="Z351" s="155">
        <f t="shared" si="267"/>
        <v>95.12</v>
      </c>
      <c r="AA351" s="155">
        <f t="shared" si="273"/>
        <v>7.3169230769230769</v>
      </c>
      <c r="AB351" s="155">
        <f t="shared" si="292"/>
        <v>235.1957142857143</v>
      </c>
      <c r="AC351" s="155">
        <f t="shared" si="271"/>
        <v>20.58</v>
      </c>
      <c r="AD351" s="155"/>
      <c r="AE351" s="155">
        <f t="shared" si="272"/>
        <v>17.64</v>
      </c>
      <c r="AF351" s="155"/>
      <c r="AG351" s="155">
        <f t="shared" si="246"/>
        <v>38.22</v>
      </c>
      <c r="AH351" s="155">
        <f t="shared" si="269"/>
        <v>2.3519571428571431</v>
      </c>
      <c r="AI351" s="155"/>
      <c r="AJ351" s="155"/>
      <c r="AK351" s="155"/>
      <c r="AL351" s="155"/>
    </row>
    <row r="352" spans="1:38" ht="21.9" customHeight="1">
      <c r="A352" s="154">
        <f t="shared" si="270"/>
        <v>290</v>
      </c>
      <c r="B352" s="179" t="s">
        <v>527</v>
      </c>
      <c r="C352" s="175" t="s">
        <v>452</v>
      </c>
      <c r="D352" s="161" t="s">
        <v>79</v>
      </c>
      <c r="E352" s="163" t="s">
        <v>668</v>
      </c>
      <c r="F352" s="155">
        <f t="shared" ref="F352:F359" si="293">547+30+50+50</f>
        <v>677</v>
      </c>
      <c r="G352" s="155">
        <f t="shared" si="280"/>
        <v>8124</v>
      </c>
      <c r="H352" s="155">
        <v>70</v>
      </c>
      <c r="I352" s="155"/>
      <c r="J352" s="155">
        <f t="shared" si="274"/>
        <v>677</v>
      </c>
      <c r="K352" s="155">
        <v>300</v>
      </c>
      <c r="L352" s="155"/>
      <c r="M352" s="155">
        <v>125</v>
      </c>
      <c r="N352" s="155">
        <v>30</v>
      </c>
      <c r="O352" s="155">
        <v>100</v>
      </c>
      <c r="P352" s="155">
        <f t="shared" si="264"/>
        <v>770.09</v>
      </c>
      <c r="Q352" s="226"/>
      <c r="R352" s="155">
        <f>P352/13</f>
        <v>59.237692307692313</v>
      </c>
      <c r="S352" s="155"/>
      <c r="T352" s="155"/>
      <c r="U352" s="155">
        <f t="shared" si="250"/>
        <v>660.08</v>
      </c>
      <c r="V352" s="155">
        <f t="shared" si="281"/>
        <v>50.775384615384617</v>
      </c>
      <c r="W352" s="155"/>
      <c r="X352" s="155"/>
      <c r="Y352" s="155">
        <f t="shared" si="266"/>
        <v>1430.17</v>
      </c>
      <c r="Z352" s="155">
        <f t="shared" si="267"/>
        <v>88.01</v>
      </c>
      <c r="AA352" s="155">
        <f t="shared" si="273"/>
        <v>6.7700000000000005</v>
      </c>
      <c r="AB352" s="155">
        <f t="shared" si="292"/>
        <v>217.60714285714283</v>
      </c>
      <c r="AC352" s="155">
        <f t="shared" si="271"/>
        <v>19.04</v>
      </c>
      <c r="AD352" s="155"/>
      <c r="AE352" s="155">
        <f t="shared" si="272"/>
        <v>16.32</v>
      </c>
      <c r="AF352" s="155"/>
      <c r="AG352" s="155">
        <f t="shared" si="246"/>
        <v>35.36</v>
      </c>
      <c r="AH352" s="155">
        <f t="shared" si="269"/>
        <v>2.1760714285714284</v>
      </c>
      <c r="AI352" s="155"/>
      <c r="AJ352" s="155"/>
      <c r="AK352" s="155"/>
      <c r="AL352" s="155"/>
    </row>
    <row r="353" spans="1:38" ht="21.9" customHeight="1">
      <c r="A353" s="154">
        <f t="shared" si="270"/>
        <v>291</v>
      </c>
      <c r="B353" s="179" t="s">
        <v>527</v>
      </c>
      <c r="C353" s="175" t="s">
        <v>452</v>
      </c>
      <c r="D353" s="161" t="s">
        <v>79</v>
      </c>
      <c r="E353" s="163" t="s">
        <v>668</v>
      </c>
      <c r="F353" s="155">
        <f t="shared" si="293"/>
        <v>677</v>
      </c>
      <c r="G353" s="155">
        <f t="shared" si="280"/>
        <v>8124</v>
      </c>
      <c r="H353" s="155">
        <v>70</v>
      </c>
      <c r="I353" s="155"/>
      <c r="J353" s="155">
        <f t="shared" si="274"/>
        <v>677</v>
      </c>
      <c r="K353" s="155">
        <v>300</v>
      </c>
      <c r="L353" s="155"/>
      <c r="M353" s="155">
        <v>125</v>
      </c>
      <c r="N353" s="155">
        <v>30</v>
      </c>
      <c r="O353" s="155">
        <v>100</v>
      </c>
      <c r="P353" s="155">
        <f t="shared" si="264"/>
        <v>770.09</v>
      </c>
      <c r="Q353" s="226"/>
      <c r="R353" s="155">
        <f>P353/13</f>
        <v>59.237692307692313</v>
      </c>
      <c r="S353" s="155"/>
      <c r="T353" s="155"/>
      <c r="U353" s="155">
        <f t="shared" si="250"/>
        <v>660.08</v>
      </c>
      <c r="V353" s="155">
        <f t="shared" si="281"/>
        <v>50.775384615384617</v>
      </c>
      <c r="W353" s="155"/>
      <c r="X353" s="155"/>
      <c r="Y353" s="155">
        <f t="shared" si="266"/>
        <v>1430.17</v>
      </c>
      <c r="Z353" s="155">
        <f t="shared" si="267"/>
        <v>88.01</v>
      </c>
      <c r="AA353" s="155">
        <f t="shared" si="273"/>
        <v>6.7700000000000005</v>
      </c>
      <c r="AB353" s="155">
        <f t="shared" si="292"/>
        <v>217.60714285714283</v>
      </c>
      <c r="AC353" s="155">
        <f t="shared" si="271"/>
        <v>19.04</v>
      </c>
      <c r="AD353" s="155"/>
      <c r="AE353" s="155">
        <f t="shared" si="272"/>
        <v>16.32</v>
      </c>
      <c r="AF353" s="155"/>
      <c r="AG353" s="155">
        <f t="shared" si="246"/>
        <v>35.36</v>
      </c>
      <c r="AH353" s="155">
        <f t="shared" si="269"/>
        <v>2.1760714285714284</v>
      </c>
      <c r="AI353" s="155"/>
      <c r="AJ353" s="155"/>
      <c r="AK353" s="155"/>
      <c r="AL353" s="155"/>
    </row>
    <row r="354" spans="1:38" ht="21.9" customHeight="1">
      <c r="A354" s="154">
        <f t="shared" si="270"/>
        <v>292</v>
      </c>
      <c r="B354" s="179" t="s">
        <v>527</v>
      </c>
      <c r="C354" s="175" t="s">
        <v>452</v>
      </c>
      <c r="D354" s="161" t="s">
        <v>79</v>
      </c>
      <c r="E354" s="163" t="s">
        <v>668</v>
      </c>
      <c r="F354" s="155">
        <f t="shared" si="293"/>
        <v>677</v>
      </c>
      <c r="G354" s="155">
        <f t="shared" si="280"/>
        <v>8124</v>
      </c>
      <c r="H354" s="155">
        <v>70</v>
      </c>
      <c r="I354" s="155"/>
      <c r="J354" s="155">
        <f t="shared" si="274"/>
        <v>677</v>
      </c>
      <c r="K354" s="155">
        <v>300</v>
      </c>
      <c r="L354" s="155"/>
      <c r="M354" s="155">
        <v>125</v>
      </c>
      <c r="N354" s="155">
        <v>30</v>
      </c>
      <c r="O354" s="155">
        <v>100</v>
      </c>
      <c r="P354" s="155">
        <f t="shared" si="264"/>
        <v>770.09</v>
      </c>
      <c r="Q354" s="226"/>
      <c r="R354" s="155">
        <f>P354/13</f>
        <v>59.237692307692313</v>
      </c>
      <c r="S354" s="155"/>
      <c r="T354" s="155"/>
      <c r="U354" s="155">
        <f t="shared" si="250"/>
        <v>660.08</v>
      </c>
      <c r="V354" s="155">
        <f t="shared" si="281"/>
        <v>50.775384615384617</v>
      </c>
      <c r="W354" s="155"/>
      <c r="X354" s="155"/>
      <c r="Y354" s="155">
        <f t="shared" si="266"/>
        <v>1430.17</v>
      </c>
      <c r="Z354" s="155">
        <f t="shared" si="267"/>
        <v>88.01</v>
      </c>
      <c r="AA354" s="155">
        <f t="shared" si="273"/>
        <v>6.7700000000000005</v>
      </c>
      <c r="AB354" s="155">
        <f t="shared" si="292"/>
        <v>217.60714285714283</v>
      </c>
      <c r="AC354" s="155">
        <f t="shared" si="271"/>
        <v>19.04</v>
      </c>
      <c r="AD354" s="155"/>
      <c r="AE354" s="155">
        <f t="shared" si="272"/>
        <v>16.32</v>
      </c>
      <c r="AF354" s="155"/>
      <c r="AG354" s="155">
        <f t="shared" si="246"/>
        <v>35.36</v>
      </c>
      <c r="AH354" s="155">
        <f t="shared" si="269"/>
        <v>2.1760714285714284</v>
      </c>
      <c r="AI354" s="155"/>
      <c r="AJ354" s="155"/>
      <c r="AK354" s="155"/>
      <c r="AL354" s="155"/>
    </row>
    <row r="355" spans="1:38" ht="21.9" customHeight="1">
      <c r="A355" s="154">
        <f t="shared" si="270"/>
        <v>293</v>
      </c>
      <c r="B355" s="179" t="s">
        <v>527</v>
      </c>
      <c r="C355" s="175" t="s">
        <v>452</v>
      </c>
      <c r="D355" s="161" t="s">
        <v>79</v>
      </c>
      <c r="E355" s="163" t="s">
        <v>668</v>
      </c>
      <c r="F355" s="155">
        <f t="shared" si="293"/>
        <v>677</v>
      </c>
      <c r="G355" s="155">
        <f t="shared" si="280"/>
        <v>8124</v>
      </c>
      <c r="H355" s="155">
        <v>70</v>
      </c>
      <c r="I355" s="155"/>
      <c r="J355" s="155">
        <f t="shared" si="274"/>
        <v>677</v>
      </c>
      <c r="K355" s="155">
        <v>300</v>
      </c>
      <c r="L355" s="155"/>
      <c r="M355" s="155">
        <v>125</v>
      </c>
      <c r="N355" s="155">
        <v>30</v>
      </c>
      <c r="O355" s="155">
        <v>100</v>
      </c>
      <c r="P355" s="155">
        <f t="shared" si="264"/>
        <v>770.09</v>
      </c>
      <c r="Q355" s="226"/>
      <c r="R355" s="155">
        <f>P355/13</f>
        <v>59.237692307692313</v>
      </c>
      <c r="S355" s="155"/>
      <c r="T355" s="155"/>
      <c r="U355" s="155">
        <f t="shared" si="250"/>
        <v>660.08</v>
      </c>
      <c r="V355" s="155">
        <f t="shared" si="281"/>
        <v>50.775384615384617</v>
      </c>
      <c r="W355" s="155"/>
      <c r="X355" s="155"/>
      <c r="Y355" s="155">
        <f t="shared" si="266"/>
        <v>1430.17</v>
      </c>
      <c r="Z355" s="155">
        <f t="shared" si="267"/>
        <v>88.01</v>
      </c>
      <c r="AA355" s="155">
        <f t="shared" si="273"/>
        <v>6.7700000000000005</v>
      </c>
      <c r="AB355" s="155">
        <f t="shared" si="292"/>
        <v>217.60714285714283</v>
      </c>
      <c r="AC355" s="155">
        <f t="shared" si="271"/>
        <v>19.04</v>
      </c>
      <c r="AD355" s="155"/>
      <c r="AE355" s="155">
        <f t="shared" si="272"/>
        <v>16.32</v>
      </c>
      <c r="AF355" s="155"/>
      <c r="AG355" s="155">
        <f t="shared" si="246"/>
        <v>35.36</v>
      </c>
      <c r="AH355" s="155">
        <f t="shared" si="269"/>
        <v>2.1760714285714284</v>
      </c>
      <c r="AI355" s="155"/>
      <c r="AJ355" s="155"/>
      <c r="AK355" s="155"/>
      <c r="AL355" s="155"/>
    </row>
    <row r="356" spans="1:38" ht="21.9" customHeight="1">
      <c r="A356" s="154">
        <f t="shared" si="270"/>
        <v>294</v>
      </c>
      <c r="B356" s="179" t="s">
        <v>527</v>
      </c>
      <c r="C356" s="175" t="s">
        <v>452</v>
      </c>
      <c r="D356" s="161" t="s">
        <v>79</v>
      </c>
      <c r="E356" s="163" t="s">
        <v>668</v>
      </c>
      <c r="F356" s="155">
        <f t="shared" si="293"/>
        <v>677</v>
      </c>
      <c r="G356" s="155">
        <f t="shared" si="280"/>
        <v>8124</v>
      </c>
      <c r="H356" s="155">
        <v>70</v>
      </c>
      <c r="I356" s="155"/>
      <c r="J356" s="155">
        <f t="shared" si="274"/>
        <v>677</v>
      </c>
      <c r="K356" s="155">
        <v>300</v>
      </c>
      <c r="L356" s="155"/>
      <c r="M356" s="155">
        <v>125</v>
      </c>
      <c r="N356" s="155">
        <v>30</v>
      </c>
      <c r="O356" s="155">
        <v>100</v>
      </c>
      <c r="P356" s="155">
        <f t="shared" si="264"/>
        <v>770.09</v>
      </c>
      <c r="Q356" s="155">
        <f>P356/13</f>
        <v>59.237692307692313</v>
      </c>
      <c r="R356" s="155"/>
      <c r="S356" s="155"/>
      <c r="T356" s="155"/>
      <c r="U356" s="155">
        <f t="shared" si="250"/>
        <v>660.08</v>
      </c>
      <c r="V356" s="155">
        <f t="shared" si="281"/>
        <v>50.775384615384617</v>
      </c>
      <c r="W356" s="155"/>
      <c r="X356" s="155"/>
      <c r="Y356" s="155">
        <f t="shared" si="266"/>
        <v>1430.17</v>
      </c>
      <c r="Z356" s="155">
        <f t="shared" si="267"/>
        <v>88.01</v>
      </c>
      <c r="AA356" s="155">
        <f t="shared" si="273"/>
        <v>6.7700000000000005</v>
      </c>
      <c r="AB356" s="155">
        <f t="shared" si="292"/>
        <v>217.60714285714283</v>
      </c>
      <c r="AC356" s="155">
        <f t="shared" si="271"/>
        <v>19.04</v>
      </c>
      <c r="AD356" s="155"/>
      <c r="AE356" s="155">
        <f t="shared" si="272"/>
        <v>16.32</v>
      </c>
      <c r="AF356" s="155"/>
      <c r="AG356" s="155">
        <f t="shared" si="246"/>
        <v>35.36</v>
      </c>
      <c r="AH356" s="155">
        <f t="shared" si="269"/>
        <v>2.1760714285714284</v>
      </c>
      <c r="AI356" s="155"/>
      <c r="AJ356" s="155"/>
      <c r="AK356" s="155"/>
      <c r="AL356" s="155"/>
    </row>
    <row r="357" spans="1:38" ht="21.9" customHeight="1">
      <c r="A357" s="154">
        <f t="shared" si="270"/>
        <v>295</v>
      </c>
      <c r="B357" s="179" t="s">
        <v>527</v>
      </c>
      <c r="C357" s="175" t="s">
        <v>452</v>
      </c>
      <c r="D357" s="161" t="s">
        <v>79</v>
      </c>
      <c r="E357" s="163" t="s">
        <v>668</v>
      </c>
      <c r="F357" s="155">
        <f t="shared" si="293"/>
        <v>677</v>
      </c>
      <c r="G357" s="155">
        <f t="shared" si="280"/>
        <v>8124</v>
      </c>
      <c r="H357" s="155">
        <v>70</v>
      </c>
      <c r="I357" s="155"/>
      <c r="J357" s="155">
        <f t="shared" si="274"/>
        <v>677</v>
      </c>
      <c r="K357" s="155">
        <v>300</v>
      </c>
      <c r="L357" s="155"/>
      <c r="M357" s="155">
        <v>125</v>
      </c>
      <c r="N357" s="155">
        <v>30</v>
      </c>
      <c r="O357" s="155">
        <v>100</v>
      </c>
      <c r="P357" s="155">
        <f t="shared" si="264"/>
        <v>770.09</v>
      </c>
      <c r="Q357" s="226"/>
      <c r="R357" s="155">
        <f>P357/13</f>
        <v>59.237692307692313</v>
      </c>
      <c r="S357" s="155"/>
      <c r="T357" s="155"/>
      <c r="U357" s="155">
        <f t="shared" si="250"/>
        <v>660.08</v>
      </c>
      <c r="V357" s="155">
        <f t="shared" si="281"/>
        <v>50.775384615384617</v>
      </c>
      <c r="W357" s="155"/>
      <c r="X357" s="155"/>
      <c r="Y357" s="155">
        <f t="shared" si="266"/>
        <v>1430.17</v>
      </c>
      <c r="Z357" s="155">
        <f t="shared" si="267"/>
        <v>88.01</v>
      </c>
      <c r="AA357" s="155">
        <f t="shared" si="273"/>
        <v>6.7700000000000005</v>
      </c>
      <c r="AB357" s="155">
        <f t="shared" si="292"/>
        <v>217.60714285714283</v>
      </c>
      <c r="AC357" s="155">
        <f t="shared" si="271"/>
        <v>19.04</v>
      </c>
      <c r="AD357" s="155"/>
      <c r="AE357" s="155">
        <f t="shared" si="272"/>
        <v>16.32</v>
      </c>
      <c r="AF357" s="155"/>
      <c r="AG357" s="155">
        <f t="shared" si="246"/>
        <v>35.36</v>
      </c>
      <c r="AH357" s="155">
        <f t="shared" si="269"/>
        <v>2.1760714285714284</v>
      </c>
      <c r="AI357" s="155"/>
      <c r="AJ357" s="155"/>
      <c r="AK357" s="155"/>
      <c r="AL357" s="155"/>
    </row>
    <row r="358" spans="1:38" ht="21.9" customHeight="1">
      <c r="A358" s="154">
        <f t="shared" si="270"/>
        <v>296</v>
      </c>
      <c r="B358" s="179" t="s">
        <v>527</v>
      </c>
      <c r="C358" s="175" t="s">
        <v>452</v>
      </c>
      <c r="D358" s="161" t="s">
        <v>79</v>
      </c>
      <c r="E358" s="163" t="s">
        <v>668</v>
      </c>
      <c r="F358" s="155">
        <f t="shared" si="293"/>
        <v>677</v>
      </c>
      <c r="G358" s="155">
        <f t="shared" ref="G358:G365" si="294">F358*12</f>
        <v>8124</v>
      </c>
      <c r="H358" s="155">
        <v>70</v>
      </c>
      <c r="I358" s="155"/>
      <c r="J358" s="155">
        <f t="shared" si="274"/>
        <v>677</v>
      </c>
      <c r="K358" s="155">
        <v>300</v>
      </c>
      <c r="L358" s="155"/>
      <c r="M358" s="155">
        <v>125</v>
      </c>
      <c r="N358" s="155">
        <v>30</v>
      </c>
      <c r="O358" s="155">
        <v>100</v>
      </c>
      <c r="P358" s="155">
        <f t="shared" si="264"/>
        <v>770.09</v>
      </c>
      <c r="Q358" s="155">
        <f>P358/13</f>
        <v>59.237692307692313</v>
      </c>
      <c r="R358" s="155"/>
      <c r="S358" s="155"/>
      <c r="T358" s="155"/>
      <c r="U358" s="155">
        <f t="shared" si="250"/>
        <v>660.08</v>
      </c>
      <c r="V358" s="155">
        <f t="shared" si="281"/>
        <v>50.775384615384617</v>
      </c>
      <c r="W358" s="155"/>
      <c r="X358" s="155"/>
      <c r="Y358" s="155">
        <f t="shared" si="266"/>
        <v>1430.17</v>
      </c>
      <c r="Z358" s="155">
        <f t="shared" si="267"/>
        <v>88.01</v>
      </c>
      <c r="AA358" s="155">
        <f t="shared" ref="AA358:AA365" si="295">Z358/13</f>
        <v>6.7700000000000005</v>
      </c>
      <c r="AB358" s="155">
        <f t="shared" si="292"/>
        <v>217.60714285714283</v>
      </c>
      <c r="AC358" s="155">
        <f t="shared" si="271"/>
        <v>19.04</v>
      </c>
      <c r="AD358" s="155"/>
      <c r="AE358" s="155">
        <f t="shared" si="272"/>
        <v>16.32</v>
      </c>
      <c r="AF358" s="155"/>
      <c r="AG358" s="155">
        <f t="shared" si="246"/>
        <v>35.36</v>
      </c>
      <c r="AH358" s="155">
        <f t="shared" si="269"/>
        <v>2.1760714285714284</v>
      </c>
      <c r="AI358" s="155"/>
      <c r="AJ358" s="155"/>
      <c r="AK358" s="155"/>
      <c r="AL358" s="155"/>
    </row>
    <row r="359" spans="1:38" ht="21.9" customHeight="1">
      <c r="A359" s="154">
        <f t="shared" si="270"/>
        <v>297</v>
      </c>
      <c r="B359" s="179" t="s">
        <v>527</v>
      </c>
      <c r="C359" s="175" t="s">
        <v>452</v>
      </c>
      <c r="D359" s="161" t="s">
        <v>79</v>
      </c>
      <c r="E359" s="163" t="s">
        <v>668</v>
      </c>
      <c r="F359" s="155">
        <f t="shared" si="293"/>
        <v>677</v>
      </c>
      <c r="G359" s="155">
        <f t="shared" si="294"/>
        <v>8124</v>
      </c>
      <c r="H359" s="155">
        <v>70</v>
      </c>
      <c r="I359" s="155"/>
      <c r="J359" s="155">
        <f t="shared" si="274"/>
        <v>677</v>
      </c>
      <c r="K359" s="155">
        <v>300</v>
      </c>
      <c r="L359" s="155"/>
      <c r="M359" s="155">
        <v>125</v>
      </c>
      <c r="N359" s="155">
        <v>30</v>
      </c>
      <c r="O359" s="155">
        <v>100</v>
      </c>
      <c r="P359" s="155">
        <f t="shared" si="264"/>
        <v>770.09</v>
      </c>
      <c r="Q359" s="155">
        <f>P359/13</f>
        <v>59.237692307692313</v>
      </c>
      <c r="R359" s="155"/>
      <c r="S359" s="155"/>
      <c r="T359" s="155"/>
      <c r="U359" s="155">
        <f t="shared" si="250"/>
        <v>660.08</v>
      </c>
      <c r="V359" s="155">
        <f t="shared" si="281"/>
        <v>50.775384615384617</v>
      </c>
      <c r="W359" s="155"/>
      <c r="X359" s="155"/>
      <c r="Y359" s="155">
        <f t="shared" si="266"/>
        <v>1430.17</v>
      </c>
      <c r="Z359" s="155">
        <f t="shared" si="267"/>
        <v>88.01</v>
      </c>
      <c r="AA359" s="155">
        <f t="shared" si="295"/>
        <v>6.7700000000000005</v>
      </c>
      <c r="AB359" s="155">
        <f t="shared" si="292"/>
        <v>217.60714285714283</v>
      </c>
      <c r="AC359" s="155">
        <f t="shared" si="271"/>
        <v>19.04</v>
      </c>
      <c r="AD359" s="155"/>
      <c r="AE359" s="155">
        <f t="shared" si="272"/>
        <v>16.32</v>
      </c>
      <c r="AF359" s="155"/>
      <c r="AG359" s="155">
        <f t="shared" si="246"/>
        <v>35.36</v>
      </c>
      <c r="AH359" s="155">
        <f>AB359*0.01</f>
        <v>2.1760714285714284</v>
      </c>
      <c r="AI359" s="155"/>
      <c r="AJ359" s="155"/>
      <c r="AK359" s="155"/>
      <c r="AL359" s="155"/>
    </row>
    <row r="360" spans="1:38" ht="21.9" customHeight="1">
      <c r="A360" s="154">
        <f t="shared" si="270"/>
        <v>298</v>
      </c>
      <c r="B360" s="179" t="s">
        <v>536</v>
      </c>
      <c r="C360" s="175" t="s">
        <v>452</v>
      </c>
      <c r="D360" s="161" t="s">
        <v>79</v>
      </c>
      <c r="E360" s="163" t="s">
        <v>668</v>
      </c>
      <c r="F360" s="155">
        <f>467+30+50+50</f>
        <v>597</v>
      </c>
      <c r="G360" s="155">
        <f t="shared" si="294"/>
        <v>7164</v>
      </c>
      <c r="H360" s="155">
        <v>70</v>
      </c>
      <c r="I360" s="155"/>
      <c r="J360" s="155">
        <f t="shared" si="274"/>
        <v>597</v>
      </c>
      <c r="K360" s="155">
        <v>300</v>
      </c>
      <c r="L360" s="155"/>
      <c r="M360" s="155">
        <v>125</v>
      </c>
      <c r="N360" s="155">
        <v>30</v>
      </c>
      <c r="O360" s="155">
        <v>100</v>
      </c>
      <c r="P360" s="155">
        <f t="shared" si="264"/>
        <v>679.09</v>
      </c>
      <c r="Q360" s="155">
        <f>P360/13</f>
        <v>52.237692307692313</v>
      </c>
      <c r="R360" s="155"/>
      <c r="S360" s="155"/>
      <c r="T360" s="155"/>
      <c r="U360" s="155">
        <f t="shared" si="250"/>
        <v>582.08000000000004</v>
      </c>
      <c r="V360" s="155">
        <f t="shared" si="281"/>
        <v>44.775384615384617</v>
      </c>
      <c r="W360" s="155"/>
      <c r="X360" s="155"/>
      <c r="Y360" s="155">
        <f t="shared" si="266"/>
        <v>1261.17</v>
      </c>
      <c r="Z360" s="155">
        <f t="shared" si="267"/>
        <v>77.61</v>
      </c>
      <c r="AA360" s="155">
        <f t="shared" si="295"/>
        <v>5.97</v>
      </c>
      <c r="AB360" s="155">
        <f t="shared" si="292"/>
        <v>191.89285714285714</v>
      </c>
      <c r="AC360" s="155">
        <f t="shared" si="271"/>
        <v>16.79</v>
      </c>
      <c r="AD360" s="155"/>
      <c r="AE360" s="155">
        <f t="shared" si="272"/>
        <v>14.39</v>
      </c>
      <c r="AF360" s="155"/>
      <c r="AG360" s="155">
        <f t="shared" ref="AG360:AG404" si="296">AC360+AD360+AE360+AF360</f>
        <v>31.18</v>
      </c>
      <c r="AH360" s="155">
        <f t="shared" si="269"/>
        <v>1.9189285714285713</v>
      </c>
      <c r="AI360" s="155"/>
      <c r="AJ360" s="155"/>
      <c r="AK360" s="155"/>
      <c r="AL360" s="155"/>
    </row>
    <row r="361" spans="1:38" ht="21.9" customHeight="1">
      <c r="A361" s="154">
        <f t="shared" si="270"/>
        <v>299</v>
      </c>
      <c r="B361" s="179" t="s">
        <v>536</v>
      </c>
      <c r="C361" s="175" t="s">
        <v>452</v>
      </c>
      <c r="D361" s="161" t="s">
        <v>79</v>
      </c>
      <c r="E361" s="163" t="s">
        <v>668</v>
      </c>
      <c r="F361" s="155">
        <f>467+30+50+50</f>
        <v>597</v>
      </c>
      <c r="G361" s="155">
        <f t="shared" si="294"/>
        <v>7164</v>
      </c>
      <c r="H361" s="155">
        <v>70</v>
      </c>
      <c r="I361" s="155"/>
      <c r="J361" s="155">
        <f t="shared" si="274"/>
        <v>597</v>
      </c>
      <c r="K361" s="155">
        <v>300</v>
      </c>
      <c r="L361" s="155"/>
      <c r="M361" s="155"/>
      <c r="N361" s="155">
        <v>30</v>
      </c>
      <c r="O361" s="155">
        <v>100</v>
      </c>
      <c r="P361" s="155">
        <f t="shared" si="264"/>
        <v>679.09</v>
      </c>
      <c r="Q361" s="226"/>
      <c r="R361" s="155">
        <f t="shared" ref="R361:R370" si="297">P361/13</f>
        <v>52.237692307692313</v>
      </c>
      <c r="S361" s="155"/>
      <c r="T361" s="155"/>
      <c r="U361" s="155">
        <f t="shared" si="250"/>
        <v>582.08000000000004</v>
      </c>
      <c r="V361" s="155">
        <f t="shared" si="281"/>
        <v>44.775384615384617</v>
      </c>
      <c r="W361" s="155"/>
      <c r="X361" s="155"/>
      <c r="Y361" s="155">
        <f t="shared" si="266"/>
        <v>1261.17</v>
      </c>
      <c r="Z361" s="155">
        <f t="shared" si="267"/>
        <v>77.61</v>
      </c>
      <c r="AA361" s="155">
        <f t="shared" si="295"/>
        <v>5.97</v>
      </c>
      <c r="AB361" s="155">
        <f t="shared" si="292"/>
        <v>191.89285714285714</v>
      </c>
      <c r="AC361" s="155">
        <f t="shared" si="271"/>
        <v>16.79</v>
      </c>
      <c r="AD361" s="155"/>
      <c r="AE361" s="155">
        <f t="shared" si="272"/>
        <v>14.39</v>
      </c>
      <c r="AF361" s="155"/>
      <c r="AG361" s="155">
        <f t="shared" si="296"/>
        <v>31.18</v>
      </c>
      <c r="AH361" s="155">
        <f t="shared" si="269"/>
        <v>1.9189285714285713</v>
      </c>
      <c r="AI361" s="155"/>
      <c r="AJ361" s="155"/>
      <c r="AK361" s="155"/>
      <c r="AL361" s="155"/>
    </row>
    <row r="362" spans="1:38" ht="21.9" customHeight="1">
      <c r="A362" s="154">
        <f t="shared" si="270"/>
        <v>300</v>
      </c>
      <c r="B362" s="179" t="s">
        <v>536</v>
      </c>
      <c r="C362" s="175" t="s">
        <v>452</v>
      </c>
      <c r="D362" s="161" t="s">
        <v>79</v>
      </c>
      <c r="E362" s="163" t="s">
        <v>668</v>
      </c>
      <c r="F362" s="155">
        <f>467+30+50+50</f>
        <v>597</v>
      </c>
      <c r="G362" s="155">
        <f t="shared" si="294"/>
        <v>7164</v>
      </c>
      <c r="H362" s="155">
        <v>70</v>
      </c>
      <c r="I362" s="155"/>
      <c r="J362" s="155">
        <f t="shared" ref="J362:J377" si="298">F362</f>
        <v>597</v>
      </c>
      <c r="K362" s="155">
        <v>300</v>
      </c>
      <c r="L362" s="155"/>
      <c r="M362" s="155">
        <v>125</v>
      </c>
      <c r="N362" s="155">
        <v>30</v>
      </c>
      <c r="O362" s="155">
        <v>100</v>
      </c>
      <c r="P362" s="155">
        <f t="shared" si="264"/>
        <v>679.09</v>
      </c>
      <c r="Q362" s="226"/>
      <c r="R362" s="155">
        <f t="shared" si="297"/>
        <v>52.237692307692313</v>
      </c>
      <c r="S362" s="155"/>
      <c r="T362" s="155"/>
      <c r="U362" s="155">
        <f t="shared" ref="U362:U377" si="299">ROUND(F362*0.075*13,2)</f>
        <v>582.08000000000004</v>
      </c>
      <c r="V362" s="155">
        <f t="shared" si="281"/>
        <v>44.775384615384617</v>
      </c>
      <c r="W362" s="155"/>
      <c r="X362" s="155"/>
      <c r="Y362" s="155">
        <f t="shared" si="266"/>
        <v>1261.17</v>
      </c>
      <c r="Z362" s="155">
        <f t="shared" si="267"/>
        <v>77.61</v>
      </c>
      <c r="AA362" s="155">
        <f t="shared" si="295"/>
        <v>5.97</v>
      </c>
      <c r="AB362" s="155">
        <f t="shared" si="292"/>
        <v>191.89285714285714</v>
      </c>
      <c r="AC362" s="155">
        <f t="shared" si="271"/>
        <v>16.79</v>
      </c>
      <c r="AD362" s="155"/>
      <c r="AE362" s="155">
        <f t="shared" si="272"/>
        <v>14.39</v>
      </c>
      <c r="AF362" s="155"/>
      <c r="AG362" s="155">
        <f t="shared" si="296"/>
        <v>31.18</v>
      </c>
      <c r="AH362" s="155">
        <f t="shared" si="269"/>
        <v>1.9189285714285713</v>
      </c>
      <c r="AI362" s="155"/>
      <c r="AJ362" s="155"/>
      <c r="AK362" s="155"/>
      <c r="AL362" s="155"/>
    </row>
    <row r="363" spans="1:38" ht="21.9" customHeight="1">
      <c r="A363" s="154">
        <f t="shared" si="270"/>
        <v>301</v>
      </c>
      <c r="B363" s="179" t="s">
        <v>711</v>
      </c>
      <c r="C363" s="175" t="s">
        <v>452</v>
      </c>
      <c r="D363" s="161" t="s">
        <v>79</v>
      </c>
      <c r="E363" s="163" t="s">
        <v>668</v>
      </c>
      <c r="F363" s="155">
        <f>497+50</f>
        <v>547</v>
      </c>
      <c r="G363" s="155">
        <f t="shared" si="294"/>
        <v>6564</v>
      </c>
      <c r="H363" s="155">
        <v>70</v>
      </c>
      <c r="I363" s="155"/>
      <c r="J363" s="155">
        <f>F363</f>
        <v>547</v>
      </c>
      <c r="K363" s="155">
        <v>300</v>
      </c>
      <c r="L363" s="155"/>
      <c r="M363" s="155">
        <v>125</v>
      </c>
      <c r="N363" s="155">
        <v>30</v>
      </c>
      <c r="O363" s="155">
        <v>100</v>
      </c>
      <c r="P363" s="155">
        <f t="shared" si="264"/>
        <v>622.21</v>
      </c>
      <c r="Q363" s="155">
        <f>P363/13</f>
        <v>47.862307692307695</v>
      </c>
      <c r="R363" s="308"/>
      <c r="S363" s="155"/>
      <c r="T363" s="155"/>
      <c r="U363" s="155">
        <f t="shared" si="299"/>
        <v>533.33000000000004</v>
      </c>
      <c r="V363" s="155">
        <f t="shared" si="281"/>
        <v>41.025384615384617</v>
      </c>
      <c r="W363" s="155"/>
      <c r="X363" s="155"/>
      <c r="Y363" s="155">
        <f t="shared" si="266"/>
        <v>1155.54</v>
      </c>
      <c r="Z363" s="155">
        <f t="shared" si="267"/>
        <v>71.11</v>
      </c>
      <c r="AA363" s="155">
        <f t="shared" si="295"/>
        <v>5.47</v>
      </c>
      <c r="AB363" s="155">
        <f t="shared" si="292"/>
        <v>175.82142857142858</v>
      </c>
      <c r="AC363" s="155">
        <f t="shared" si="271"/>
        <v>15.38</v>
      </c>
      <c r="AD363" s="155"/>
      <c r="AE363" s="155">
        <f t="shared" si="272"/>
        <v>13.19</v>
      </c>
      <c r="AF363" s="155"/>
      <c r="AG363" s="155">
        <f t="shared" si="296"/>
        <v>28.57</v>
      </c>
      <c r="AH363" s="155">
        <f>AB363*0.01</f>
        <v>1.758214285714286</v>
      </c>
      <c r="AI363" s="155"/>
      <c r="AJ363" s="155"/>
      <c r="AK363" s="155"/>
      <c r="AL363" s="155"/>
    </row>
    <row r="364" spans="1:38" ht="21.9" customHeight="1">
      <c r="A364" s="154">
        <f t="shared" si="270"/>
        <v>302</v>
      </c>
      <c r="B364" s="178" t="s">
        <v>536</v>
      </c>
      <c r="C364" s="175" t="s">
        <v>452</v>
      </c>
      <c r="D364" s="161" t="s">
        <v>79</v>
      </c>
      <c r="E364" s="163" t="s">
        <v>668</v>
      </c>
      <c r="F364" s="155">
        <f>467+30+50+50</f>
        <v>597</v>
      </c>
      <c r="G364" s="155">
        <f t="shared" si="294"/>
        <v>7164</v>
      </c>
      <c r="H364" s="155">
        <v>70</v>
      </c>
      <c r="I364" s="155"/>
      <c r="J364" s="155">
        <f>F364</f>
        <v>597</v>
      </c>
      <c r="K364" s="155">
        <v>300</v>
      </c>
      <c r="L364" s="155"/>
      <c r="M364" s="155">
        <v>125</v>
      </c>
      <c r="N364" s="155">
        <v>30</v>
      </c>
      <c r="O364" s="155">
        <v>100</v>
      </c>
      <c r="P364" s="155">
        <f t="shared" ref="P364" si="300">ROUND(F364*0.0875*13,2)</f>
        <v>679.09</v>
      </c>
      <c r="Q364" s="226"/>
      <c r="R364" s="155">
        <f t="shared" ref="R364" si="301">P364/13</f>
        <v>52.237692307692313</v>
      </c>
      <c r="S364" s="155"/>
      <c r="T364" s="155"/>
      <c r="U364" s="155">
        <f t="shared" si="299"/>
        <v>582.08000000000004</v>
      </c>
      <c r="V364" s="155">
        <f t="shared" si="281"/>
        <v>44.775384615384617</v>
      </c>
      <c r="W364" s="155"/>
      <c r="X364" s="155">
        <f>W364/12</f>
        <v>0</v>
      </c>
      <c r="Y364" s="155">
        <f t="shared" si="266"/>
        <v>1261.17</v>
      </c>
      <c r="Z364" s="155">
        <f t="shared" si="267"/>
        <v>77.61</v>
      </c>
      <c r="AA364" s="155">
        <f t="shared" si="295"/>
        <v>5.97</v>
      </c>
      <c r="AB364" s="155">
        <f t="shared" si="292"/>
        <v>191.89285714285714</v>
      </c>
      <c r="AC364" s="155"/>
      <c r="AD364" s="155"/>
      <c r="AE364" s="155">
        <f t="shared" si="272"/>
        <v>14.39</v>
      </c>
      <c r="AF364" s="155">
        <f>AB364*0.06</f>
        <v>11.513571428571428</v>
      </c>
      <c r="AG364" s="155">
        <f t="shared" si="296"/>
        <v>25.903571428571428</v>
      </c>
      <c r="AH364" s="155">
        <f>AB364*0.01</f>
        <v>1.9189285714285713</v>
      </c>
      <c r="AI364" s="155"/>
      <c r="AJ364" s="155"/>
      <c r="AK364" s="155"/>
      <c r="AL364" s="155"/>
    </row>
    <row r="365" spans="1:38" ht="21.9" customHeight="1">
      <c r="A365" s="154">
        <f t="shared" si="270"/>
        <v>303</v>
      </c>
      <c r="B365" s="178" t="s">
        <v>536</v>
      </c>
      <c r="C365" s="175" t="s">
        <v>452</v>
      </c>
      <c r="D365" s="161" t="s">
        <v>79</v>
      </c>
      <c r="E365" s="163" t="s">
        <v>668</v>
      </c>
      <c r="F365" s="155">
        <f>467+30+50+50</f>
        <v>597</v>
      </c>
      <c r="G365" s="155">
        <f t="shared" si="294"/>
        <v>7164</v>
      </c>
      <c r="H365" s="155">
        <v>70</v>
      </c>
      <c r="I365" s="155"/>
      <c r="J365" s="155">
        <f>F365</f>
        <v>597</v>
      </c>
      <c r="K365" s="155">
        <v>300</v>
      </c>
      <c r="L365" s="155"/>
      <c r="M365" s="155">
        <v>125</v>
      </c>
      <c r="N365" s="155">
        <v>30</v>
      </c>
      <c r="O365" s="155">
        <v>100</v>
      </c>
      <c r="P365" s="155">
        <f t="shared" si="264"/>
        <v>679.09</v>
      </c>
      <c r="Q365" s="155"/>
      <c r="R365" s="155">
        <f>P365/13</f>
        <v>52.237692307692313</v>
      </c>
      <c r="S365" s="155"/>
      <c r="T365" s="155"/>
      <c r="U365" s="155">
        <f t="shared" si="299"/>
        <v>582.08000000000004</v>
      </c>
      <c r="V365" s="155">
        <f t="shared" si="281"/>
        <v>44.775384615384617</v>
      </c>
      <c r="W365" s="155"/>
      <c r="X365" s="155"/>
      <c r="Y365" s="155">
        <f t="shared" si="266"/>
        <v>1261.17</v>
      </c>
      <c r="Z365" s="155">
        <f t="shared" si="267"/>
        <v>77.61</v>
      </c>
      <c r="AA365" s="155">
        <f t="shared" si="295"/>
        <v>5.97</v>
      </c>
      <c r="AB365" s="155">
        <f t="shared" si="292"/>
        <v>191.89285714285714</v>
      </c>
      <c r="AC365" s="155">
        <f>ROUND(AB365*0.0875,2)</f>
        <v>16.79</v>
      </c>
      <c r="AD365" s="155"/>
      <c r="AE365" s="155">
        <f t="shared" si="272"/>
        <v>14.39</v>
      </c>
      <c r="AF365" s="155"/>
      <c r="AG365" s="155">
        <f t="shared" si="296"/>
        <v>31.18</v>
      </c>
      <c r="AH365" s="155">
        <f>AB365*0.01</f>
        <v>1.9189285714285713</v>
      </c>
      <c r="AI365" s="155"/>
      <c r="AJ365" s="155"/>
      <c r="AK365" s="155"/>
      <c r="AL365" s="155"/>
    </row>
    <row r="366" spans="1:38" ht="21.9" customHeight="1">
      <c r="A366" s="154">
        <f t="shared" si="270"/>
        <v>304</v>
      </c>
      <c r="B366" s="179" t="s">
        <v>542</v>
      </c>
      <c r="C366" s="175" t="s">
        <v>452</v>
      </c>
      <c r="D366" s="161" t="s">
        <v>79</v>
      </c>
      <c r="E366" s="163" t="s">
        <v>668</v>
      </c>
      <c r="F366" s="155">
        <f>417+50+50</f>
        <v>517</v>
      </c>
      <c r="G366" s="155">
        <f t="shared" ref="G366:G377" si="302">F366*12</f>
        <v>6204</v>
      </c>
      <c r="H366" s="155">
        <v>70</v>
      </c>
      <c r="I366" s="155"/>
      <c r="J366" s="155">
        <f t="shared" si="298"/>
        <v>517</v>
      </c>
      <c r="K366" s="155">
        <v>300</v>
      </c>
      <c r="L366" s="155"/>
      <c r="M366" s="155">
        <v>125</v>
      </c>
      <c r="N366" s="155">
        <v>30</v>
      </c>
      <c r="O366" s="155">
        <v>100</v>
      </c>
      <c r="P366" s="155">
        <f t="shared" si="264"/>
        <v>588.09</v>
      </c>
      <c r="Q366" s="155"/>
      <c r="R366" s="155">
        <f t="shared" si="297"/>
        <v>45.237692307692313</v>
      </c>
      <c r="S366" s="155"/>
      <c r="T366" s="155"/>
      <c r="U366" s="155">
        <f t="shared" si="299"/>
        <v>504.08</v>
      </c>
      <c r="V366" s="155">
        <f t="shared" si="281"/>
        <v>38.775384615384617</v>
      </c>
      <c r="W366" s="155"/>
      <c r="X366" s="155"/>
      <c r="Y366" s="155">
        <f t="shared" si="266"/>
        <v>1092.17</v>
      </c>
      <c r="Z366" s="155">
        <f t="shared" si="267"/>
        <v>67.209999999999994</v>
      </c>
      <c r="AA366" s="155">
        <f t="shared" si="273"/>
        <v>5.17</v>
      </c>
      <c r="AB366" s="155">
        <f t="shared" si="292"/>
        <v>166.17857142857144</v>
      </c>
      <c r="AC366" s="155">
        <f t="shared" ref="AC366:AC377" si="303">ROUND(AB366*0.0875,2)</f>
        <v>14.54</v>
      </c>
      <c r="AD366" s="155"/>
      <c r="AE366" s="155">
        <f t="shared" si="272"/>
        <v>12.46</v>
      </c>
      <c r="AF366" s="155"/>
      <c r="AG366" s="155">
        <f t="shared" si="296"/>
        <v>27</v>
      </c>
      <c r="AH366" s="155">
        <f t="shared" si="269"/>
        <v>1.6617857142857144</v>
      </c>
      <c r="AI366" s="155"/>
      <c r="AJ366" s="155"/>
      <c r="AK366" s="155"/>
      <c r="AL366" s="155"/>
    </row>
    <row r="367" spans="1:38" ht="21.9" customHeight="1">
      <c r="A367" s="154">
        <f t="shared" si="270"/>
        <v>305</v>
      </c>
      <c r="B367" s="179" t="s">
        <v>542</v>
      </c>
      <c r="C367" s="175" t="s">
        <v>452</v>
      </c>
      <c r="D367" s="161" t="s">
        <v>79</v>
      </c>
      <c r="E367" s="163" t="s">
        <v>668</v>
      </c>
      <c r="F367" s="155">
        <f>417+50+50</f>
        <v>517</v>
      </c>
      <c r="G367" s="155">
        <f t="shared" si="302"/>
        <v>6204</v>
      </c>
      <c r="H367" s="155">
        <v>70</v>
      </c>
      <c r="I367" s="155"/>
      <c r="J367" s="155">
        <f t="shared" si="298"/>
        <v>517</v>
      </c>
      <c r="K367" s="155">
        <v>300</v>
      </c>
      <c r="L367" s="155"/>
      <c r="M367" s="155">
        <v>125</v>
      </c>
      <c r="N367" s="155">
        <v>30</v>
      </c>
      <c r="O367" s="155">
        <v>100</v>
      </c>
      <c r="P367" s="155">
        <f t="shared" si="264"/>
        <v>588.09</v>
      </c>
      <c r="Q367" s="226"/>
      <c r="R367" s="155">
        <f t="shared" si="297"/>
        <v>45.237692307692313</v>
      </c>
      <c r="S367" s="155"/>
      <c r="T367" s="155"/>
      <c r="U367" s="155">
        <f t="shared" si="299"/>
        <v>504.08</v>
      </c>
      <c r="V367" s="155">
        <f t="shared" si="281"/>
        <v>38.775384615384617</v>
      </c>
      <c r="W367" s="155"/>
      <c r="X367" s="155"/>
      <c r="Y367" s="155">
        <f t="shared" si="266"/>
        <v>1092.17</v>
      </c>
      <c r="Z367" s="155">
        <f t="shared" si="267"/>
        <v>67.209999999999994</v>
      </c>
      <c r="AA367" s="155">
        <f t="shared" ref="AA367:AA377" si="304">Z367/13</f>
        <v>5.17</v>
      </c>
      <c r="AB367" s="155">
        <f t="shared" si="292"/>
        <v>166.17857142857144</v>
      </c>
      <c r="AC367" s="155">
        <f t="shared" si="303"/>
        <v>14.54</v>
      </c>
      <c r="AD367" s="155"/>
      <c r="AE367" s="155">
        <f t="shared" si="272"/>
        <v>12.46</v>
      </c>
      <c r="AF367" s="155"/>
      <c r="AG367" s="155">
        <f t="shared" si="296"/>
        <v>27</v>
      </c>
      <c r="AH367" s="155">
        <f t="shared" si="269"/>
        <v>1.6617857142857144</v>
      </c>
      <c r="AI367" s="155"/>
      <c r="AJ367" s="155"/>
      <c r="AK367" s="155"/>
      <c r="AL367" s="155"/>
    </row>
    <row r="368" spans="1:38" ht="21.9" customHeight="1">
      <c r="A368" s="154">
        <f t="shared" si="270"/>
        <v>306</v>
      </c>
      <c r="B368" s="179" t="s">
        <v>542</v>
      </c>
      <c r="C368" s="175" t="s">
        <v>452</v>
      </c>
      <c r="D368" s="161" t="s">
        <v>79</v>
      </c>
      <c r="E368" s="163" t="s">
        <v>668</v>
      </c>
      <c r="F368" s="155">
        <f>417+50+50</f>
        <v>517</v>
      </c>
      <c r="G368" s="155">
        <f t="shared" ref="G368" si="305">F368*12</f>
        <v>6204</v>
      </c>
      <c r="H368" s="155">
        <v>70</v>
      </c>
      <c r="I368" s="155"/>
      <c r="J368" s="155">
        <f t="shared" ref="J368" si="306">F368</f>
        <v>517</v>
      </c>
      <c r="K368" s="155">
        <v>300</v>
      </c>
      <c r="L368" s="155"/>
      <c r="M368" s="155">
        <v>125</v>
      </c>
      <c r="N368" s="155">
        <v>30</v>
      </c>
      <c r="O368" s="155">
        <v>100</v>
      </c>
      <c r="P368" s="155">
        <f t="shared" ref="P368" si="307">ROUND(F368*0.0875*13,2)</f>
        <v>588.09</v>
      </c>
      <c r="Q368" s="226"/>
      <c r="R368" s="155">
        <f t="shared" ref="R368" si="308">P368/13</f>
        <v>45.237692307692313</v>
      </c>
      <c r="S368" s="155"/>
      <c r="T368" s="155"/>
      <c r="U368" s="155">
        <f t="shared" ref="U368" si="309">ROUND(F368*0.075*13,2)</f>
        <v>504.08</v>
      </c>
      <c r="V368" s="155">
        <f t="shared" ref="V368" si="310">U368/13</f>
        <v>38.775384615384617</v>
      </c>
      <c r="W368" s="155"/>
      <c r="X368" s="155"/>
      <c r="Y368" s="155">
        <f t="shared" ref="Y368" si="311">P368+S368+U368+W368</f>
        <v>1092.17</v>
      </c>
      <c r="Z368" s="155">
        <f t="shared" ref="Z368" si="312">ROUND(F368*0.01*13,2)</f>
        <v>67.209999999999994</v>
      </c>
      <c r="AA368" s="155">
        <f t="shared" ref="AA368" si="313">Z368/13</f>
        <v>5.17</v>
      </c>
      <c r="AB368" s="155">
        <f t="shared" ref="AB368" si="314">F368/30/7*1.5*45</f>
        <v>166.17857142857144</v>
      </c>
      <c r="AC368" s="155">
        <f t="shared" ref="AC368" si="315">ROUND(AB368*0.0875,2)</f>
        <v>14.54</v>
      </c>
      <c r="AD368" s="155"/>
      <c r="AE368" s="155">
        <f t="shared" ref="AE368" si="316">ROUND(AB368*0.075,2)</f>
        <v>12.46</v>
      </c>
      <c r="AF368" s="155"/>
      <c r="AG368" s="155">
        <f t="shared" ref="AG368" si="317">AC368+AD368+AE368+AF368</f>
        <v>27</v>
      </c>
      <c r="AH368" s="155">
        <f t="shared" ref="AH368" si="318">AB368*0.01</f>
        <v>1.6617857142857144</v>
      </c>
      <c r="AI368" s="155"/>
      <c r="AJ368" s="155"/>
      <c r="AK368" s="155"/>
      <c r="AL368" s="155"/>
    </row>
    <row r="369" spans="1:38" ht="21.9" customHeight="1">
      <c r="A369" s="154">
        <f t="shared" si="270"/>
        <v>307</v>
      </c>
      <c r="B369" s="179" t="s">
        <v>547</v>
      </c>
      <c r="C369" s="175" t="s">
        <v>452</v>
      </c>
      <c r="D369" s="161" t="s">
        <v>79</v>
      </c>
      <c r="E369" s="163" t="s">
        <v>668</v>
      </c>
      <c r="F369" s="155">
        <v>417</v>
      </c>
      <c r="G369" s="155">
        <f>F369*12</f>
        <v>5004</v>
      </c>
      <c r="H369" s="155">
        <v>70</v>
      </c>
      <c r="I369" s="155"/>
      <c r="J369" s="155">
        <f>F369</f>
        <v>417</v>
      </c>
      <c r="K369" s="155">
        <v>300</v>
      </c>
      <c r="L369" s="155"/>
      <c r="M369" s="155"/>
      <c r="N369" s="155">
        <v>30</v>
      </c>
      <c r="O369" s="155">
        <v>100</v>
      </c>
      <c r="P369" s="155">
        <f>ROUND(F369*0.0875*13,2)</f>
        <v>474.34</v>
      </c>
      <c r="Q369" s="155">
        <f>P369/13</f>
        <v>36.487692307692306</v>
      </c>
      <c r="R369" s="155"/>
      <c r="S369" s="155"/>
      <c r="T369" s="155"/>
      <c r="U369" s="155">
        <f>ROUND(F369*0.075*13,2)</f>
        <v>406.58</v>
      </c>
      <c r="V369" s="155">
        <f>U369/13</f>
        <v>31.275384615384613</v>
      </c>
      <c r="W369" s="155"/>
      <c r="X369" s="155"/>
      <c r="Y369" s="155">
        <f>P369+S369+U369+W369</f>
        <v>880.92</v>
      </c>
      <c r="Z369" s="155">
        <f>ROUND(F369*0.01*13,2)</f>
        <v>54.21</v>
      </c>
      <c r="AA369" s="155">
        <f>Z369/13</f>
        <v>4.17</v>
      </c>
      <c r="AB369" s="155">
        <f>F369/30/7*1.5*45</f>
        <v>134.03571428571428</v>
      </c>
      <c r="AC369" s="155">
        <f>ROUND(AB369*0.0875,2)</f>
        <v>11.73</v>
      </c>
      <c r="AD369" s="155"/>
      <c r="AE369" s="155">
        <f>ROUND(AB369*0.075,2)</f>
        <v>10.050000000000001</v>
      </c>
      <c r="AF369" s="155"/>
      <c r="AG369" s="155">
        <f>AC369+AD369+AE369+AF369</f>
        <v>21.78</v>
      </c>
      <c r="AH369" s="155">
        <f>AB369*0.01</f>
        <v>1.3403571428571428</v>
      </c>
      <c r="AI369" s="155"/>
      <c r="AJ369" s="155"/>
      <c r="AK369" s="155"/>
      <c r="AL369" s="155"/>
    </row>
    <row r="370" spans="1:38" ht="21.9" customHeight="1">
      <c r="A370" s="154">
        <f t="shared" si="270"/>
        <v>308</v>
      </c>
      <c r="B370" s="179" t="s">
        <v>547</v>
      </c>
      <c r="C370" s="175" t="s">
        <v>452</v>
      </c>
      <c r="D370" s="161" t="s">
        <v>79</v>
      </c>
      <c r="E370" s="163" t="s">
        <v>668</v>
      </c>
      <c r="F370" s="155">
        <v>417</v>
      </c>
      <c r="G370" s="155">
        <f t="shared" si="302"/>
        <v>5004</v>
      </c>
      <c r="H370" s="155">
        <v>70</v>
      </c>
      <c r="I370" s="155"/>
      <c r="J370" s="155">
        <f t="shared" si="298"/>
        <v>417</v>
      </c>
      <c r="K370" s="155">
        <v>300</v>
      </c>
      <c r="L370" s="155"/>
      <c r="M370" s="155"/>
      <c r="N370" s="155">
        <v>30</v>
      </c>
      <c r="O370" s="155">
        <v>100</v>
      </c>
      <c r="P370" s="155">
        <f t="shared" si="264"/>
        <v>474.34</v>
      </c>
      <c r="Q370" s="155"/>
      <c r="R370" s="155">
        <f t="shared" si="297"/>
        <v>36.487692307692306</v>
      </c>
      <c r="S370" s="155"/>
      <c r="T370" s="155"/>
      <c r="U370" s="155">
        <f t="shared" si="299"/>
        <v>406.58</v>
      </c>
      <c r="V370" s="155">
        <f t="shared" si="281"/>
        <v>31.275384615384613</v>
      </c>
      <c r="W370" s="155"/>
      <c r="X370" s="155"/>
      <c r="Y370" s="155">
        <f t="shared" si="266"/>
        <v>880.92</v>
      </c>
      <c r="Z370" s="155">
        <f t="shared" si="267"/>
        <v>54.21</v>
      </c>
      <c r="AA370" s="155">
        <f t="shared" si="304"/>
        <v>4.17</v>
      </c>
      <c r="AB370" s="155">
        <f t="shared" si="292"/>
        <v>134.03571428571428</v>
      </c>
      <c r="AC370" s="155">
        <f t="shared" si="303"/>
        <v>11.73</v>
      </c>
      <c r="AD370" s="155"/>
      <c r="AE370" s="155">
        <f t="shared" si="272"/>
        <v>10.050000000000001</v>
      </c>
      <c r="AF370" s="155"/>
      <c r="AG370" s="155">
        <f t="shared" si="296"/>
        <v>21.78</v>
      </c>
      <c r="AH370" s="155">
        <f t="shared" si="269"/>
        <v>1.3403571428571428</v>
      </c>
      <c r="AI370" s="155"/>
      <c r="AJ370" s="155"/>
      <c r="AK370" s="155"/>
      <c r="AL370" s="155"/>
    </row>
    <row r="371" spans="1:38" ht="21.9" customHeight="1">
      <c r="A371" s="154">
        <f t="shared" si="270"/>
        <v>309</v>
      </c>
      <c r="B371" s="179" t="s">
        <v>547</v>
      </c>
      <c r="C371" s="175" t="s">
        <v>452</v>
      </c>
      <c r="D371" s="161" t="s">
        <v>79</v>
      </c>
      <c r="E371" s="163" t="s">
        <v>668</v>
      </c>
      <c r="F371" s="155">
        <f>417</f>
        <v>417</v>
      </c>
      <c r="G371" s="155">
        <f t="shared" si="302"/>
        <v>5004</v>
      </c>
      <c r="H371" s="155">
        <v>70</v>
      </c>
      <c r="I371" s="155"/>
      <c r="J371" s="155">
        <f t="shared" si="298"/>
        <v>417</v>
      </c>
      <c r="K371" s="155">
        <v>300</v>
      </c>
      <c r="L371" s="155"/>
      <c r="M371" s="155">
        <v>125</v>
      </c>
      <c r="N371" s="155">
        <v>30</v>
      </c>
      <c r="O371" s="155">
        <v>100</v>
      </c>
      <c r="P371" s="155">
        <f t="shared" si="264"/>
        <v>474.34</v>
      </c>
      <c r="Q371" s="155">
        <f t="shared" ref="Q371:Q377" si="319">P371/13</f>
        <v>36.487692307692306</v>
      </c>
      <c r="R371" s="155"/>
      <c r="S371" s="155"/>
      <c r="T371" s="155"/>
      <c r="U371" s="155">
        <f t="shared" si="299"/>
        <v>406.58</v>
      </c>
      <c r="V371" s="155">
        <f t="shared" si="281"/>
        <v>31.275384615384613</v>
      </c>
      <c r="W371" s="155"/>
      <c r="X371" s="155"/>
      <c r="Y371" s="155">
        <f t="shared" si="266"/>
        <v>880.92</v>
      </c>
      <c r="Z371" s="155">
        <f t="shared" si="267"/>
        <v>54.21</v>
      </c>
      <c r="AA371" s="155">
        <f t="shared" si="304"/>
        <v>4.17</v>
      </c>
      <c r="AB371" s="155">
        <f t="shared" si="292"/>
        <v>134.03571428571428</v>
      </c>
      <c r="AC371" s="155">
        <f t="shared" si="303"/>
        <v>11.73</v>
      </c>
      <c r="AD371" s="155"/>
      <c r="AE371" s="155">
        <f t="shared" si="272"/>
        <v>10.050000000000001</v>
      </c>
      <c r="AF371" s="155"/>
      <c r="AG371" s="155">
        <f t="shared" si="296"/>
        <v>21.78</v>
      </c>
      <c r="AH371" s="155">
        <f>AB371*0.01</f>
        <v>1.3403571428571428</v>
      </c>
      <c r="AI371" s="155"/>
      <c r="AJ371" s="155"/>
      <c r="AK371" s="155"/>
      <c r="AL371" s="155"/>
    </row>
    <row r="372" spans="1:38" ht="21.9" customHeight="1">
      <c r="A372" s="154">
        <f t="shared" si="270"/>
        <v>310</v>
      </c>
      <c r="B372" s="179" t="s">
        <v>547</v>
      </c>
      <c r="C372" s="175" t="s">
        <v>452</v>
      </c>
      <c r="D372" s="161" t="s">
        <v>79</v>
      </c>
      <c r="E372" s="163" t="s">
        <v>668</v>
      </c>
      <c r="F372" s="155">
        <f>417</f>
        <v>417</v>
      </c>
      <c r="G372" s="155">
        <f t="shared" si="302"/>
        <v>5004</v>
      </c>
      <c r="H372" s="155">
        <v>70</v>
      </c>
      <c r="I372" s="155"/>
      <c r="J372" s="155">
        <f>F372</f>
        <v>417</v>
      </c>
      <c r="K372" s="155">
        <v>300</v>
      </c>
      <c r="L372" s="155"/>
      <c r="M372" s="155">
        <v>125</v>
      </c>
      <c r="N372" s="155">
        <v>30</v>
      </c>
      <c r="O372" s="155">
        <v>100</v>
      </c>
      <c r="P372" s="155">
        <f t="shared" si="264"/>
        <v>474.34</v>
      </c>
      <c r="Q372" s="155">
        <f t="shared" si="319"/>
        <v>36.487692307692306</v>
      </c>
      <c r="R372" s="155"/>
      <c r="S372" s="155"/>
      <c r="T372" s="155"/>
      <c r="U372" s="155">
        <f t="shared" si="299"/>
        <v>406.58</v>
      </c>
      <c r="V372" s="155">
        <f t="shared" si="281"/>
        <v>31.275384615384613</v>
      </c>
      <c r="W372" s="155"/>
      <c r="X372" s="155"/>
      <c r="Y372" s="155">
        <f t="shared" si="266"/>
        <v>880.92</v>
      </c>
      <c r="Z372" s="155">
        <f t="shared" si="267"/>
        <v>54.21</v>
      </c>
      <c r="AA372" s="155">
        <f t="shared" si="304"/>
        <v>4.17</v>
      </c>
      <c r="AB372" s="155">
        <f t="shared" si="292"/>
        <v>134.03571428571428</v>
      </c>
      <c r="AC372" s="155">
        <f t="shared" si="303"/>
        <v>11.73</v>
      </c>
      <c r="AD372" s="155"/>
      <c r="AE372" s="155">
        <f t="shared" si="272"/>
        <v>10.050000000000001</v>
      </c>
      <c r="AF372" s="155"/>
      <c r="AG372" s="155">
        <f t="shared" si="296"/>
        <v>21.78</v>
      </c>
      <c r="AH372" s="155">
        <f>AB372*0.01</f>
        <v>1.3403571428571428</v>
      </c>
      <c r="AI372" s="155"/>
      <c r="AJ372" s="155"/>
      <c r="AK372" s="155"/>
      <c r="AL372" s="155"/>
    </row>
    <row r="373" spans="1:38" ht="21.9" customHeight="1">
      <c r="A373" s="154">
        <f t="shared" si="270"/>
        <v>311</v>
      </c>
      <c r="B373" s="179" t="s">
        <v>547</v>
      </c>
      <c r="C373" s="175" t="s">
        <v>452</v>
      </c>
      <c r="D373" s="161" t="s">
        <v>79</v>
      </c>
      <c r="E373" s="163" t="s">
        <v>668</v>
      </c>
      <c r="F373" s="155">
        <f>417</f>
        <v>417</v>
      </c>
      <c r="G373" s="155">
        <f t="shared" ref="G373:G375" si="320">F373*12</f>
        <v>5004</v>
      </c>
      <c r="H373" s="155">
        <v>70</v>
      </c>
      <c r="I373" s="155"/>
      <c r="J373" s="155">
        <f t="shared" ref="J373:J375" si="321">F373</f>
        <v>417</v>
      </c>
      <c r="K373" s="155">
        <v>300</v>
      </c>
      <c r="L373" s="155"/>
      <c r="M373" s="155">
        <v>125</v>
      </c>
      <c r="N373" s="155">
        <v>30</v>
      </c>
      <c r="O373" s="155">
        <v>100</v>
      </c>
      <c r="P373" s="155">
        <f t="shared" ref="P373:P375" si="322">ROUND(F373*0.0875*13,2)</f>
        <v>474.34</v>
      </c>
      <c r="Q373" s="155">
        <f t="shared" ref="Q373:Q375" si="323">P373/13</f>
        <v>36.487692307692306</v>
      </c>
      <c r="R373" s="155"/>
      <c r="S373" s="155"/>
      <c r="T373" s="155"/>
      <c r="U373" s="155">
        <f t="shared" ref="U373:U375" si="324">ROUND(F373*0.075*13,2)</f>
        <v>406.58</v>
      </c>
      <c r="V373" s="155">
        <f t="shared" ref="V373:V375" si="325">U373/13</f>
        <v>31.275384615384613</v>
      </c>
      <c r="W373" s="155"/>
      <c r="X373" s="155"/>
      <c r="Y373" s="155">
        <f t="shared" ref="Y373:Y375" si="326">P373+S373+U373+W373</f>
        <v>880.92</v>
      </c>
      <c r="Z373" s="155">
        <f t="shared" ref="Z373:Z375" si="327">ROUND(F373*0.01*13,2)</f>
        <v>54.21</v>
      </c>
      <c r="AA373" s="155">
        <f t="shared" ref="AA373:AA375" si="328">Z373/13</f>
        <v>4.17</v>
      </c>
      <c r="AB373" s="155">
        <f t="shared" ref="AB373:AB375" si="329">F373/30/7*1.5*45</f>
        <v>134.03571428571428</v>
      </c>
      <c r="AC373" s="155">
        <f t="shared" ref="AC373:AC375" si="330">ROUND(AB373*0.0875,2)</f>
        <v>11.73</v>
      </c>
      <c r="AD373" s="155"/>
      <c r="AE373" s="155">
        <f t="shared" ref="AE373:AE375" si="331">ROUND(AB373*0.075,2)</f>
        <v>10.050000000000001</v>
      </c>
      <c r="AF373" s="155"/>
      <c r="AG373" s="155">
        <f t="shared" ref="AG373:AG375" si="332">AC373+AD373+AE373+AF373</f>
        <v>21.78</v>
      </c>
      <c r="AH373" s="155">
        <f t="shared" ref="AH373:AH375" si="333">AB373*0.01</f>
        <v>1.3403571428571428</v>
      </c>
      <c r="AI373" s="155"/>
      <c r="AJ373" s="155"/>
      <c r="AK373" s="155"/>
      <c r="AL373" s="155"/>
    </row>
    <row r="374" spans="1:38" ht="21.9" customHeight="1">
      <c r="A374" s="154">
        <f t="shared" si="270"/>
        <v>312</v>
      </c>
      <c r="B374" s="179" t="s">
        <v>547</v>
      </c>
      <c r="C374" s="175" t="s">
        <v>452</v>
      </c>
      <c r="D374" s="161" t="s">
        <v>79</v>
      </c>
      <c r="E374" s="163" t="s">
        <v>668</v>
      </c>
      <c r="F374" s="155">
        <f>417</f>
        <v>417</v>
      </c>
      <c r="G374" s="155">
        <f t="shared" si="320"/>
        <v>5004</v>
      </c>
      <c r="H374" s="155">
        <v>70</v>
      </c>
      <c r="I374" s="155"/>
      <c r="J374" s="155">
        <f t="shared" si="321"/>
        <v>417</v>
      </c>
      <c r="K374" s="155">
        <v>300</v>
      </c>
      <c r="L374" s="155"/>
      <c r="M374" s="155">
        <v>125</v>
      </c>
      <c r="N374" s="155">
        <v>30</v>
      </c>
      <c r="O374" s="155">
        <v>100</v>
      </c>
      <c r="P374" s="155">
        <f t="shared" si="322"/>
        <v>474.34</v>
      </c>
      <c r="Q374" s="155">
        <f t="shared" si="323"/>
        <v>36.487692307692306</v>
      </c>
      <c r="R374" s="155"/>
      <c r="S374" s="155"/>
      <c r="T374" s="155"/>
      <c r="U374" s="155">
        <f t="shared" si="324"/>
        <v>406.58</v>
      </c>
      <c r="V374" s="155">
        <f t="shared" si="325"/>
        <v>31.275384615384613</v>
      </c>
      <c r="W374" s="155"/>
      <c r="X374" s="155"/>
      <c r="Y374" s="155">
        <f t="shared" si="326"/>
        <v>880.92</v>
      </c>
      <c r="Z374" s="155">
        <f t="shared" si="327"/>
        <v>54.21</v>
      </c>
      <c r="AA374" s="155">
        <f t="shared" si="328"/>
        <v>4.17</v>
      </c>
      <c r="AB374" s="155">
        <f t="shared" si="329"/>
        <v>134.03571428571428</v>
      </c>
      <c r="AC374" s="155">
        <f t="shared" si="330"/>
        <v>11.73</v>
      </c>
      <c r="AD374" s="155"/>
      <c r="AE374" s="155">
        <f t="shared" si="331"/>
        <v>10.050000000000001</v>
      </c>
      <c r="AF374" s="155"/>
      <c r="AG374" s="155">
        <f t="shared" si="332"/>
        <v>21.78</v>
      </c>
      <c r="AH374" s="155">
        <f t="shared" si="333"/>
        <v>1.3403571428571428</v>
      </c>
      <c r="AI374" s="155"/>
      <c r="AJ374" s="155"/>
      <c r="AK374" s="155"/>
      <c r="AL374" s="155"/>
    </row>
    <row r="375" spans="1:38" ht="21.9" customHeight="1">
      <c r="A375" s="154">
        <f t="shared" si="270"/>
        <v>313</v>
      </c>
      <c r="B375" s="179" t="s">
        <v>547</v>
      </c>
      <c r="C375" s="175" t="s">
        <v>452</v>
      </c>
      <c r="D375" s="161" t="s">
        <v>79</v>
      </c>
      <c r="E375" s="163" t="s">
        <v>668</v>
      </c>
      <c r="F375" s="155">
        <f>417</f>
        <v>417</v>
      </c>
      <c r="G375" s="155">
        <f t="shared" si="320"/>
        <v>5004</v>
      </c>
      <c r="H375" s="155">
        <v>70</v>
      </c>
      <c r="I375" s="155"/>
      <c r="J375" s="155">
        <f t="shared" si="321"/>
        <v>417</v>
      </c>
      <c r="K375" s="155">
        <v>300</v>
      </c>
      <c r="L375" s="155"/>
      <c r="M375" s="155">
        <v>125</v>
      </c>
      <c r="N375" s="155">
        <v>30</v>
      </c>
      <c r="O375" s="155">
        <v>100</v>
      </c>
      <c r="P375" s="155">
        <f t="shared" si="322"/>
        <v>474.34</v>
      </c>
      <c r="Q375" s="155">
        <f t="shared" si="323"/>
        <v>36.487692307692306</v>
      </c>
      <c r="R375" s="155"/>
      <c r="S375" s="155"/>
      <c r="T375" s="155"/>
      <c r="U375" s="155">
        <f t="shared" si="324"/>
        <v>406.58</v>
      </c>
      <c r="V375" s="155">
        <f t="shared" si="325"/>
        <v>31.275384615384613</v>
      </c>
      <c r="W375" s="155"/>
      <c r="X375" s="155"/>
      <c r="Y375" s="155">
        <f t="shared" si="326"/>
        <v>880.92</v>
      </c>
      <c r="Z375" s="155">
        <f t="shared" si="327"/>
        <v>54.21</v>
      </c>
      <c r="AA375" s="155">
        <f t="shared" si="328"/>
        <v>4.17</v>
      </c>
      <c r="AB375" s="155">
        <f t="shared" si="329"/>
        <v>134.03571428571428</v>
      </c>
      <c r="AC375" s="155">
        <f t="shared" si="330"/>
        <v>11.73</v>
      </c>
      <c r="AD375" s="155"/>
      <c r="AE375" s="155">
        <f t="shared" si="331"/>
        <v>10.050000000000001</v>
      </c>
      <c r="AF375" s="155"/>
      <c r="AG375" s="155">
        <f t="shared" si="332"/>
        <v>21.78</v>
      </c>
      <c r="AH375" s="155">
        <f t="shared" si="333"/>
        <v>1.3403571428571428</v>
      </c>
      <c r="AI375" s="155"/>
      <c r="AJ375" s="155"/>
      <c r="AK375" s="155"/>
      <c r="AL375" s="155"/>
    </row>
    <row r="376" spans="1:38" ht="21.9" customHeight="1">
      <c r="A376" s="154">
        <f t="shared" si="270"/>
        <v>314</v>
      </c>
      <c r="B376" s="179" t="s">
        <v>547</v>
      </c>
      <c r="C376" s="175" t="s">
        <v>452</v>
      </c>
      <c r="D376" s="161" t="s">
        <v>79</v>
      </c>
      <c r="E376" s="163" t="s">
        <v>668</v>
      </c>
      <c r="F376" s="155">
        <f>417</f>
        <v>417</v>
      </c>
      <c r="G376" s="155">
        <f t="shared" si="302"/>
        <v>5004</v>
      </c>
      <c r="H376" s="155">
        <v>70</v>
      </c>
      <c r="I376" s="155"/>
      <c r="J376" s="155">
        <f t="shared" si="298"/>
        <v>417</v>
      </c>
      <c r="K376" s="155">
        <v>300</v>
      </c>
      <c r="L376" s="155"/>
      <c r="M376" s="155"/>
      <c r="N376" s="155">
        <v>30</v>
      </c>
      <c r="O376" s="155">
        <v>100</v>
      </c>
      <c r="P376" s="155">
        <f t="shared" si="264"/>
        <v>474.34</v>
      </c>
      <c r="Q376" s="155">
        <f t="shared" si="319"/>
        <v>36.487692307692306</v>
      </c>
      <c r="R376" s="155"/>
      <c r="S376" s="155"/>
      <c r="T376" s="155"/>
      <c r="U376" s="155">
        <f t="shared" si="299"/>
        <v>406.58</v>
      </c>
      <c r="V376" s="155">
        <f t="shared" si="281"/>
        <v>31.275384615384613</v>
      </c>
      <c r="W376" s="155"/>
      <c r="X376" s="155"/>
      <c r="Y376" s="155">
        <f t="shared" si="266"/>
        <v>880.92</v>
      </c>
      <c r="Z376" s="155">
        <f t="shared" si="267"/>
        <v>54.21</v>
      </c>
      <c r="AA376" s="155">
        <f t="shared" si="304"/>
        <v>4.17</v>
      </c>
      <c r="AB376" s="155">
        <f t="shared" si="292"/>
        <v>134.03571428571428</v>
      </c>
      <c r="AC376" s="155">
        <f t="shared" si="303"/>
        <v>11.73</v>
      </c>
      <c r="AD376" s="155"/>
      <c r="AE376" s="155">
        <f t="shared" si="272"/>
        <v>10.050000000000001</v>
      </c>
      <c r="AF376" s="155"/>
      <c r="AG376" s="155">
        <f t="shared" si="296"/>
        <v>21.78</v>
      </c>
      <c r="AH376" s="155">
        <f>AB376*0.01</f>
        <v>1.3403571428571428</v>
      </c>
      <c r="AI376" s="155"/>
      <c r="AJ376" s="155"/>
      <c r="AK376" s="155"/>
      <c r="AL376" s="155"/>
    </row>
    <row r="377" spans="1:38" ht="21.9" customHeight="1">
      <c r="A377" s="154">
        <f t="shared" si="270"/>
        <v>315</v>
      </c>
      <c r="B377" s="178" t="s">
        <v>547</v>
      </c>
      <c r="C377" s="175" t="s">
        <v>452</v>
      </c>
      <c r="D377" s="161" t="s">
        <v>79</v>
      </c>
      <c r="E377" s="163" t="s">
        <v>668</v>
      </c>
      <c r="F377" s="155">
        <v>417</v>
      </c>
      <c r="G377" s="155">
        <f t="shared" si="302"/>
        <v>5004</v>
      </c>
      <c r="H377" s="155">
        <v>70</v>
      </c>
      <c r="I377" s="155"/>
      <c r="J377" s="155">
        <f t="shared" si="298"/>
        <v>417</v>
      </c>
      <c r="K377" s="155">
        <v>300</v>
      </c>
      <c r="L377" s="155"/>
      <c r="M377" s="155"/>
      <c r="N377" s="155">
        <v>30</v>
      </c>
      <c r="O377" s="155">
        <v>100</v>
      </c>
      <c r="P377" s="155">
        <f t="shared" si="264"/>
        <v>474.34</v>
      </c>
      <c r="Q377" s="155">
        <f t="shared" si="319"/>
        <v>36.487692307692306</v>
      </c>
      <c r="R377" s="155"/>
      <c r="S377" s="155"/>
      <c r="T377" s="155"/>
      <c r="U377" s="155">
        <f t="shared" si="299"/>
        <v>406.58</v>
      </c>
      <c r="V377" s="155">
        <f t="shared" si="281"/>
        <v>31.275384615384613</v>
      </c>
      <c r="W377" s="155"/>
      <c r="X377" s="155"/>
      <c r="Y377" s="155">
        <f t="shared" si="266"/>
        <v>880.92</v>
      </c>
      <c r="Z377" s="155">
        <f t="shared" si="267"/>
        <v>54.21</v>
      </c>
      <c r="AA377" s="155">
        <f t="shared" si="304"/>
        <v>4.17</v>
      </c>
      <c r="AB377" s="155">
        <f t="shared" si="292"/>
        <v>134.03571428571428</v>
      </c>
      <c r="AC377" s="155">
        <f t="shared" si="303"/>
        <v>11.73</v>
      </c>
      <c r="AD377" s="155"/>
      <c r="AE377" s="155">
        <f t="shared" si="272"/>
        <v>10.050000000000001</v>
      </c>
      <c r="AF377" s="155"/>
      <c r="AG377" s="155">
        <f t="shared" si="296"/>
        <v>21.78</v>
      </c>
      <c r="AH377" s="155">
        <f>AB377*0.01</f>
        <v>1.3403571428571428</v>
      </c>
      <c r="AI377" s="155"/>
      <c r="AJ377" s="155"/>
      <c r="AK377" s="155"/>
      <c r="AL377" s="155"/>
    </row>
    <row r="378" spans="1:38" ht="21.9" customHeight="1">
      <c r="A378" s="232"/>
      <c r="B378" s="207" t="s">
        <v>555</v>
      </c>
      <c r="C378" s="221"/>
      <c r="D378" s="309"/>
      <c r="E378" s="163"/>
      <c r="F378" s="155"/>
      <c r="G378" s="155"/>
      <c r="H378" s="155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5"/>
      <c r="AI378" s="155"/>
      <c r="AJ378" s="155"/>
      <c r="AK378" s="155"/>
      <c r="AL378" s="155"/>
    </row>
    <row r="379" spans="1:38" ht="21.9" customHeight="1">
      <c r="A379" s="154">
        <f>A377+1</f>
        <v>316</v>
      </c>
      <c r="B379" s="179" t="s">
        <v>728</v>
      </c>
      <c r="C379" s="175" t="s">
        <v>452</v>
      </c>
      <c r="D379" s="161" t="s">
        <v>79</v>
      </c>
      <c r="E379" s="163" t="s">
        <v>668</v>
      </c>
      <c r="F379" s="155">
        <v>1000</v>
      </c>
      <c r="G379" s="155">
        <f>F379*12</f>
        <v>12000</v>
      </c>
      <c r="H379" s="155">
        <v>70</v>
      </c>
      <c r="I379" s="155"/>
      <c r="J379" s="155">
        <f>F379</f>
        <v>1000</v>
      </c>
      <c r="K379" s="155">
        <v>300</v>
      </c>
      <c r="L379" s="155"/>
      <c r="M379" s="155"/>
      <c r="N379" s="155">
        <v>30</v>
      </c>
      <c r="O379" s="155">
        <v>100</v>
      </c>
      <c r="P379" s="155">
        <f t="shared" si="264"/>
        <v>1137.5</v>
      </c>
      <c r="Q379" s="155">
        <f>P379/13</f>
        <v>87.5</v>
      </c>
      <c r="R379" s="155"/>
      <c r="S379" s="155"/>
      <c r="T379" s="155"/>
      <c r="U379" s="155">
        <f t="shared" ref="U379:U389" si="334">ROUND(F379*0.075*13,2)</f>
        <v>975</v>
      </c>
      <c r="V379" s="155">
        <f>U379/13</f>
        <v>75</v>
      </c>
      <c r="W379" s="155"/>
      <c r="X379" s="155"/>
      <c r="Y379" s="155">
        <f t="shared" ref="Y379:Y389" si="335">P379+S379+U379+W379</f>
        <v>2112.5</v>
      </c>
      <c r="Z379" s="155">
        <f t="shared" ref="Z379:Z389" si="336">ROUND(F379*0.01*13,2)</f>
        <v>130</v>
      </c>
      <c r="AA379" s="155">
        <f>Z379/13</f>
        <v>10</v>
      </c>
      <c r="AB379" s="155">
        <f t="shared" ref="AB379:AB389" si="337">F379/30/7*1.5*45</f>
        <v>321.42857142857139</v>
      </c>
      <c r="AC379" s="155">
        <f>ROUND(AB379*0.0875,2)</f>
        <v>28.13</v>
      </c>
      <c r="AD379" s="155"/>
      <c r="AE379" s="155">
        <f>ROUND(AB379*0.075,2)</f>
        <v>24.11</v>
      </c>
      <c r="AF379" s="155"/>
      <c r="AG379" s="155">
        <f t="shared" si="296"/>
        <v>52.239999999999995</v>
      </c>
      <c r="AH379" s="155">
        <f>AB379*0.01</f>
        <v>3.214285714285714</v>
      </c>
      <c r="AI379" s="155"/>
      <c r="AJ379" s="155"/>
      <c r="AK379" s="155"/>
      <c r="AL379" s="155"/>
    </row>
    <row r="380" spans="1:38" ht="21.9" customHeight="1">
      <c r="A380" s="154">
        <f>A379+1</f>
        <v>317</v>
      </c>
      <c r="B380" s="179" t="s">
        <v>557</v>
      </c>
      <c r="C380" s="175" t="s">
        <v>452</v>
      </c>
      <c r="D380" s="161" t="s">
        <v>79</v>
      </c>
      <c r="E380" s="163" t="s">
        <v>668</v>
      </c>
      <c r="F380" s="155">
        <f>645+30+50+50</f>
        <v>775</v>
      </c>
      <c r="G380" s="155">
        <f>F380*12</f>
        <v>9300</v>
      </c>
      <c r="H380" s="155">
        <v>70</v>
      </c>
      <c r="I380" s="155"/>
      <c r="J380" s="155">
        <f t="shared" ref="J380:J388" si="338">F380</f>
        <v>775</v>
      </c>
      <c r="K380" s="155">
        <v>300</v>
      </c>
      <c r="L380" s="155"/>
      <c r="M380" s="155">
        <v>125</v>
      </c>
      <c r="N380" s="155">
        <v>30</v>
      </c>
      <c r="O380" s="155">
        <v>100</v>
      </c>
      <c r="P380" s="155">
        <f>ROUND(F380*0.0875*13,2)</f>
        <v>881.56</v>
      </c>
      <c r="Q380" s="155">
        <f>P380/13</f>
        <v>67.812307692307684</v>
      </c>
      <c r="R380" s="155"/>
      <c r="S380" s="155"/>
      <c r="T380" s="155"/>
      <c r="U380" s="155">
        <f t="shared" si="334"/>
        <v>755.63</v>
      </c>
      <c r="V380" s="155">
        <f>U380/13</f>
        <v>58.125384615384618</v>
      </c>
      <c r="W380" s="155"/>
      <c r="X380" s="155"/>
      <c r="Y380" s="155">
        <f t="shared" si="335"/>
        <v>1637.19</v>
      </c>
      <c r="Z380" s="155">
        <f t="shared" si="336"/>
        <v>100.75</v>
      </c>
      <c r="AA380" s="155">
        <f>Z380/13</f>
        <v>7.75</v>
      </c>
      <c r="AB380" s="155">
        <f t="shared" si="337"/>
        <v>249.10714285714286</v>
      </c>
      <c r="AC380" s="155">
        <f>ROUND(AB380*0.0875,2)</f>
        <v>21.8</v>
      </c>
      <c r="AD380" s="155"/>
      <c r="AE380" s="155">
        <f t="shared" ref="AE380:AE389" si="339">ROUND(AB380*0.075,2)</f>
        <v>18.68</v>
      </c>
      <c r="AF380" s="155"/>
      <c r="AG380" s="155">
        <f t="shared" si="296"/>
        <v>40.480000000000004</v>
      </c>
      <c r="AH380" s="155">
        <f t="shared" ref="AH380:AH388" si="340">AB380*0.01</f>
        <v>2.4910714285714288</v>
      </c>
      <c r="AI380" s="155"/>
      <c r="AJ380" s="155"/>
      <c r="AK380" s="155"/>
      <c r="AL380" s="155"/>
    </row>
    <row r="381" spans="1:38" ht="21.9" customHeight="1">
      <c r="A381" s="154">
        <f>A380+1</f>
        <v>318</v>
      </c>
      <c r="B381" s="179" t="s">
        <v>561</v>
      </c>
      <c r="C381" s="175" t="s">
        <v>452</v>
      </c>
      <c r="D381" s="161" t="s">
        <v>79</v>
      </c>
      <c r="E381" s="163" t="s">
        <v>668</v>
      </c>
      <c r="F381" s="155">
        <f>694.29+30+50+50</f>
        <v>824.29</v>
      </c>
      <c r="G381" s="155">
        <f t="shared" ref="G381:G388" si="341">F381*12</f>
        <v>9891.48</v>
      </c>
      <c r="H381" s="155">
        <v>70</v>
      </c>
      <c r="I381" s="155"/>
      <c r="J381" s="155">
        <f t="shared" si="338"/>
        <v>824.29</v>
      </c>
      <c r="K381" s="155">
        <v>300</v>
      </c>
      <c r="L381" s="155"/>
      <c r="M381" s="155">
        <v>125</v>
      </c>
      <c r="N381" s="155">
        <v>30</v>
      </c>
      <c r="O381" s="155">
        <v>100</v>
      </c>
      <c r="P381" s="155"/>
      <c r="Q381" s="155"/>
      <c r="R381" s="155"/>
      <c r="S381" s="155"/>
      <c r="T381" s="155"/>
      <c r="U381" s="155">
        <f t="shared" si="334"/>
        <v>803.68</v>
      </c>
      <c r="V381" s="155">
        <f t="shared" ref="V381:V388" si="342">U381/13</f>
        <v>61.821538461538459</v>
      </c>
      <c r="W381" s="155">
        <f>F381*0.06*13</f>
        <v>642.94619999999986</v>
      </c>
      <c r="X381" s="155">
        <f>W381/12</f>
        <v>53.578849999999989</v>
      </c>
      <c r="Y381" s="155">
        <f t="shared" si="335"/>
        <v>1446.6261999999997</v>
      </c>
      <c r="Z381" s="155">
        <f t="shared" si="336"/>
        <v>107.16</v>
      </c>
      <c r="AA381" s="155">
        <f t="shared" ref="AA381:AA388" si="343">Z381/13</f>
        <v>8.2430769230769236</v>
      </c>
      <c r="AB381" s="155">
        <f t="shared" si="337"/>
        <v>264.95035714285711</v>
      </c>
      <c r="AC381" s="155"/>
      <c r="AD381" s="155"/>
      <c r="AE381" s="155">
        <f t="shared" si="339"/>
        <v>19.87</v>
      </c>
      <c r="AF381" s="155">
        <f>AB381*0.06</f>
        <v>15.897021428571426</v>
      </c>
      <c r="AG381" s="155">
        <f t="shared" si="296"/>
        <v>35.767021428571425</v>
      </c>
      <c r="AH381" s="155">
        <f t="shared" si="340"/>
        <v>2.6495035714285713</v>
      </c>
      <c r="AI381" s="155"/>
      <c r="AJ381" s="155"/>
      <c r="AK381" s="155"/>
      <c r="AL381" s="155"/>
    </row>
    <row r="382" spans="1:38" ht="21.9" customHeight="1">
      <c r="A382" s="154">
        <f t="shared" ref="A382:A388" si="344">A381+1</f>
        <v>319</v>
      </c>
      <c r="B382" s="179" t="s">
        <v>707</v>
      </c>
      <c r="C382" s="175" t="s">
        <v>452</v>
      </c>
      <c r="D382" s="161" t="s">
        <v>79</v>
      </c>
      <c r="E382" s="163" t="s">
        <v>668</v>
      </c>
      <c r="F382" s="155">
        <v>700</v>
      </c>
      <c r="G382" s="155">
        <f>F382*12</f>
        <v>8400</v>
      </c>
      <c r="H382" s="155">
        <v>70</v>
      </c>
      <c r="I382" s="155"/>
      <c r="J382" s="155">
        <f t="shared" si="338"/>
        <v>700</v>
      </c>
      <c r="K382" s="155">
        <v>300</v>
      </c>
      <c r="L382" s="155"/>
      <c r="M382" s="155">
        <v>125</v>
      </c>
      <c r="N382" s="155">
        <v>30</v>
      </c>
      <c r="O382" s="155">
        <v>100</v>
      </c>
      <c r="P382" s="155">
        <f>ROUND(F382*0.0875*13,2)</f>
        <v>796.25</v>
      </c>
      <c r="Q382" s="155"/>
      <c r="R382" s="155">
        <f>P382/13</f>
        <v>61.25</v>
      </c>
      <c r="S382" s="155"/>
      <c r="T382" s="155"/>
      <c r="U382" s="155">
        <f t="shared" si="334"/>
        <v>682.5</v>
      </c>
      <c r="V382" s="155">
        <f>U382/13</f>
        <v>52.5</v>
      </c>
      <c r="W382" s="155"/>
      <c r="X382" s="155"/>
      <c r="Y382" s="155">
        <f t="shared" si="335"/>
        <v>1478.75</v>
      </c>
      <c r="Z382" s="155">
        <f t="shared" si="336"/>
        <v>91</v>
      </c>
      <c r="AA382" s="155">
        <f>Z382/13</f>
        <v>7</v>
      </c>
      <c r="AB382" s="155">
        <f t="shared" si="337"/>
        <v>225</v>
      </c>
      <c r="AC382" s="155"/>
      <c r="AD382" s="155"/>
      <c r="AE382" s="155">
        <f t="shared" si="339"/>
        <v>16.88</v>
      </c>
      <c r="AF382" s="155">
        <f>AB382*0.06</f>
        <v>13.5</v>
      </c>
      <c r="AG382" s="155">
        <f t="shared" si="296"/>
        <v>30.38</v>
      </c>
      <c r="AH382" s="155">
        <f t="shared" si="340"/>
        <v>2.25</v>
      </c>
      <c r="AI382" s="155"/>
      <c r="AJ382" s="155"/>
      <c r="AK382" s="155"/>
      <c r="AL382" s="155"/>
    </row>
    <row r="383" spans="1:38" ht="21.9" customHeight="1">
      <c r="A383" s="154">
        <f t="shared" si="344"/>
        <v>320</v>
      </c>
      <c r="B383" s="176" t="s">
        <v>565</v>
      </c>
      <c r="C383" s="175" t="s">
        <v>452</v>
      </c>
      <c r="D383" s="161" t="s">
        <v>79</v>
      </c>
      <c r="E383" s="163" t="s">
        <v>668</v>
      </c>
      <c r="F383" s="155">
        <f>467+30+50</f>
        <v>547</v>
      </c>
      <c r="G383" s="155">
        <f>F383*12</f>
        <v>6564</v>
      </c>
      <c r="H383" s="155">
        <v>70</v>
      </c>
      <c r="I383" s="155"/>
      <c r="J383" s="155">
        <f t="shared" si="338"/>
        <v>547</v>
      </c>
      <c r="K383" s="155">
        <v>300</v>
      </c>
      <c r="L383" s="155"/>
      <c r="M383" s="155">
        <v>125</v>
      </c>
      <c r="N383" s="155">
        <v>30</v>
      </c>
      <c r="O383" s="155">
        <v>100</v>
      </c>
      <c r="P383" s="155">
        <f>ROUND(F383*0.0875*13,2)</f>
        <v>622.21</v>
      </c>
      <c r="Q383" s="155">
        <f>P383/13</f>
        <v>47.862307692307695</v>
      </c>
      <c r="R383" s="155"/>
      <c r="S383" s="155"/>
      <c r="T383" s="155" t="s">
        <v>50</v>
      </c>
      <c r="U383" s="155">
        <f t="shared" si="334"/>
        <v>533.33000000000004</v>
      </c>
      <c r="V383" s="155">
        <f>U383/13</f>
        <v>41.025384615384617</v>
      </c>
      <c r="W383" s="155"/>
      <c r="X383" s="155"/>
      <c r="Y383" s="155">
        <f t="shared" si="335"/>
        <v>1155.54</v>
      </c>
      <c r="Z383" s="155">
        <f t="shared" si="336"/>
        <v>71.11</v>
      </c>
      <c r="AA383" s="155">
        <f>Z383/13</f>
        <v>5.47</v>
      </c>
      <c r="AB383" s="155">
        <f t="shared" si="337"/>
        <v>175.82142857142858</v>
      </c>
      <c r="AC383" s="155">
        <f>ROUND(AB383*0.0875,2)</f>
        <v>15.38</v>
      </c>
      <c r="AD383" s="155"/>
      <c r="AE383" s="155">
        <f t="shared" si="339"/>
        <v>13.19</v>
      </c>
      <c r="AF383" s="155"/>
      <c r="AG383" s="155">
        <f t="shared" si="296"/>
        <v>28.57</v>
      </c>
      <c r="AH383" s="155">
        <f>AB383*0.01</f>
        <v>1.758214285714286</v>
      </c>
      <c r="AI383" s="155"/>
      <c r="AJ383" s="155"/>
      <c r="AK383" s="155"/>
      <c r="AL383" s="155"/>
    </row>
    <row r="384" spans="1:38" ht="21.9" customHeight="1">
      <c r="A384" s="154">
        <f t="shared" si="344"/>
        <v>321</v>
      </c>
      <c r="B384" s="176" t="s">
        <v>565</v>
      </c>
      <c r="C384" s="175" t="s">
        <v>452</v>
      </c>
      <c r="D384" s="161" t="s">
        <v>79</v>
      </c>
      <c r="E384" s="163" t="s">
        <v>668</v>
      </c>
      <c r="F384" s="155">
        <f>547+50</f>
        <v>597</v>
      </c>
      <c r="G384" s="155">
        <f>F384*12</f>
        <v>7164</v>
      </c>
      <c r="H384" s="155">
        <v>70</v>
      </c>
      <c r="I384" s="155"/>
      <c r="J384" s="155">
        <f>F384</f>
        <v>597</v>
      </c>
      <c r="K384" s="155">
        <v>300</v>
      </c>
      <c r="L384" s="155"/>
      <c r="M384" s="155">
        <v>125</v>
      </c>
      <c r="N384" s="155">
        <v>30</v>
      </c>
      <c r="O384" s="155">
        <v>100</v>
      </c>
      <c r="P384" s="155">
        <f>ROUND(F384*0.0875*13,2)</f>
        <v>679.09</v>
      </c>
      <c r="Q384" s="155"/>
      <c r="R384" s="155">
        <f>P384/13</f>
        <v>52.237692307692313</v>
      </c>
      <c r="S384" s="155"/>
      <c r="T384" s="155"/>
      <c r="U384" s="155">
        <f t="shared" si="334"/>
        <v>582.08000000000004</v>
      </c>
      <c r="V384" s="155">
        <f>U384/13</f>
        <v>44.775384615384617</v>
      </c>
      <c r="W384" s="155"/>
      <c r="X384" s="155"/>
      <c r="Y384" s="155">
        <f t="shared" si="335"/>
        <v>1261.17</v>
      </c>
      <c r="Z384" s="155">
        <f t="shared" si="336"/>
        <v>77.61</v>
      </c>
      <c r="AA384" s="155">
        <f>Z384/13</f>
        <v>5.97</v>
      </c>
      <c r="AB384" s="155">
        <f t="shared" si="337"/>
        <v>191.89285714285714</v>
      </c>
      <c r="AC384" s="155">
        <f>ROUND(AB384*0.0875,2)</f>
        <v>16.79</v>
      </c>
      <c r="AD384" s="155"/>
      <c r="AE384" s="155">
        <f t="shared" si="339"/>
        <v>14.39</v>
      </c>
      <c r="AF384" s="155"/>
      <c r="AG384" s="155">
        <f t="shared" si="296"/>
        <v>31.18</v>
      </c>
      <c r="AH384" s="155">
        <f>AB384*0.01</f>
        <v>1.9189285714285713</v>
      </c>
      <c r="AI384" s="155"/>
      <c r="AJ384" s="155"/>
      <c r="AK384" s="155"/>
      <c r="AL384" s="155"/>
    </row>
    <row r="385" spans="1:38" ht="21.9" customHeight="1">
      <c r="A385" s="154">
        <f t="shared" si="344"/>
        <v>322</v>
      </c>
      <c r="B385" s="176" t="s">
        <v>567</v>
      </c>
      <c r="C385" s="175" t="s">
        <v>452</v>
      </c>
      <c r="D385" s="161" t="s">
        <v>79</v>
      </c>
      <c r="E385" s="163" t="s">
        <v>668</v>
      </c>
      <c r="F385" s="155">
        <f>614.86+30+50+50</f>
        <v>744.86</v>
      </c>
      <c r="G385" s="155">
        <f t="shared" si="341"/>
        <v>8938.32</v>
      </c>
      <c r="H385" s="155">
        <v>70</v>
      </c>
      <c r="I385" s="155"/>
      <c r="J385" s="155">
        <f t="shared" si="338"/>
        <v>744.86</v>
      </c>
      <c r="K385" s="155">
        <v>300</v>
      </c>
      <c r="L385" s="155"/>
      <c r="M385" s="155">
        <v>125</v>
      </c>
      <c r="N385" s="155">
        <v>30</v>
      </c>
      <c r="O385" s="155">
        <v>100</v>
      </c>
      <c r="P385" s="155">
        <f t="shared" ref="P385:P386" si="345">ROUND(F385*0.0875*13,2)</f>
        <v>847.28</v>
      </c>
      <c r="Q385" s="155"/>
      <c r="R385" s="155">
        <f t="shared" ref="R385:R386" si="346">P385/13</f>
        <v>65.175384615384615</v>
      </c>
      <c r="S385" s="155"/>
      <c r="T385" s="155"/>
      <c r="U385" s="155">
        <f t="shared" si="334"/>
        <v>726.24</v>
      </c>
      <c r="V385" s="155">
        <f t="shared" si="342"/>
        <v>55.864615384615384</v>
      </c>
      <c r="W385" s="155"/>
      <c r="X385" s="155"/>
      <c r="Y385" s="155">
        <f t="shared" si="335"/>
        <v>1573.52</v>
      </c>
      <c r="Z385" s="155">
        <f t="shared" si="336"/>
        <v>96.83</v>
      </c>
      <c r="AA385" s="155">
        <f t="shared" si="343"/>
        <v>7.4484615384615385</v>
      </c>
      <c r="AB385" s="155">
        <f t="shared" si="337"/>
        <v>239.41928571428573</v>
      </c>
      <c r="AC385" s="155"/>
      <c r="AD385" s="155"/>
      <c r="AE385" s="155">
        <f t="shared" si="339"/>
        <v>17.96</v>
      </c>
      <c r="AF385" s="155">
        <f>AB385*0.06</f>
        <v>14.365157142857143</v>
      </c>
      <c r="AG385" s="155">
        <f t="shared" si="296"/>
        <v>32.325157142857144</v>
      </c>
      <c r="AH385" s="155">
        <f t="shared" si="340"/>
        <v>2.3941928571428575</v>
      </c>
      <c r="AI385" s="155"/>
      <c r="AJ385" s="155"/>
      <c r="AK385" s="155"/>
      <c r="AL385" s="155"/>
    </row>
    <row r="386" spans="1:38" s="128" customFormat="1" ht="21.9" customHeight="1">
      <c r="A386" s="154">
        <f t="shared" si="344"/>
        <v>323</v>
      </c>
      <c r="B386" s="176" t="s">
        <v>569</v>
      </c>
      <c r="C386" s="175" t="s">
        <v>452</v>
      </c>
      <c r="D386" s="161" t="s">
        <v>79</v>
      </c>
      <c r="E386" s="163" t="s">
        <v>668</v>
      </c>
      <c r="F386" s="155">
        <f>614.86+30+50+50</f>
        <v>744.86</v>
      </c>
      <c r="G386" s="155">
        <f t="shared" si="341"/>
        <v>8938.32</v>
      </c>
      <c r="H386" s="155">
        <v>70</v>
      </c>
      <c r="I386" s="155"/>
      <c r="J386" s="155">
        <f t="shared" si="338"/>
        <v>744.86</v>
      </c>
      <c r="K386" s="155">
        <v>300</v>
      </c>
      <c r="L386" s="155"/>
      <c r="M386" s="155">
        <v>125</v>
      </c>
      <c r="N386" s="155">
        <v>30</v>
      </c>
      <c r="O386" s="155">
        <v>100</v>
      </c>
      <c r="P386" s="155">
        <f t="shared" si="345"/>
        <v>847.28</v>
      </c>
      <c r="Q386" s="155"/>
      <c r="R386" s="155">
        <f t="shared" si="346"/>
        <v>65.175384615384615</v>
      </c>
      <c r="S386" s="155"/>
      <c r="T386" s="155"/>
      <c r="U386" s="155">
        <f t="shared" si="334"/>
        <v>726.24</v>
      </c>
      <c r="V386" s="155">
        <f t="shared" si="342"/>
        <v>55.864615384615384</v>
      </c>
      <c r="W386" s="155"/>
      <c r="X386" s="155"/>
      <c r="Y386" s="155">
        <f t="shared" si="335"/>
        <v>1573.52</v>
      </c>
      <c r="Z386" s="155">
        <f t="shared" si="336"/>
        <v>96.83</v>
      </c>
      <c r="AA386" s="155">
        <f t="shared" si="343"/>
        <v>7.4484615384615385</v>
      </c>
      <c r="AB386" s="155">
        <f t="shared" si="337"/>
        <v>239.41928571428573</v>
      </c>
      <c r="AC386" s="155"/>
      <c r="AD386" s="155"/>
      <c r="AE386" s="155">
        <f t="shared" si="339"/>
        <v>17.96</v>
      </c>
      <c r="AF386" s="155">
        <f>AB386*0.06</f>
        <v>14.365157142857143</v>
      </c>
      <c r="AG386" s="155">
        <f t="shared" si="296"/>
        <v>32.325157142857144</v>
      </c>
      <c r="AH386" s="155">
        <f t="shared" si="340"/>
        <v>2.3941928571428575</v>
      </c>
      <c r="AI386" s="155"/>
      <c r="AJ386" s="155"/>
      <c r="AK386" s="155"/>
      <c r="AL386" s="155"/>
    </row>
    <row r="387" spans="1:38" s="128" customFormat="1" ht="21.9" customHeight="1">
      <c r="A387" s="154">
        <f t="shared" si="344"/>
        <v>324</v>
      </c>
      <c r="B387" s="179" t="s">
        <v>684</v>
      </c>
      <c r="C387" s="175" t="s">
        <v>452</v>
      </c>
      <c r="D387" s="161" t="s">
        <v>79</v>
      </c>
      <c r="E387" s="163" t="s">
        <v>668</v>
      </c>
      <c r="F387" s="155">
        <f>547+30+50+50</f>
        <v>677</v>
      </c>
      <c r="G387" s="155">
        <f>F387*12</f>
        <v>8124</v>
      </c>
      <c r="H387" s="155">
        <v>70</v>
      </c>
      <c r="I387" s="155"/>
      <c r="J387" s="155">
        <f>F387</f>
        <v>677</v>
      </c>
      <c r="K387" s="155">
        <v>300</v>
      </c>
      <c r="L387" s="155"/>
      <c r="M387" s="155">
        <v>125</v>
      </c>
      <c r="N387" s="155">
        <v>30</v>
      </c>
      <c r="O387" s="155">
        <v>100</v>
      </c>
      <c r="P387" s="155">
        <f>ROUND(F387*0.0875*13,2)</f>
        <v>770.09</v>
      </c>
      <c r="Q387" s="226"/>
      <c r="R387" s="155">
        <f>P387/13</f>
        <v>59.237692307692313</v>
      </c>
      <c r="S387" s="155"/>
      <c r="T387" s="155"/>
      <c r="U387" s="155">
        <f t="shared" si="334"/>
        <v>660.08</v>
      </c>
      <c r="V387" s="155">
        <f>U387/13</f>
        <v>50.775384615384617</v>
      </c>
      <c r="W387" s="155"/>
      <c r="X387" s="155"/>
      <c r="Y387" s="155">
        <f t="shared" si="335"/>
        <v>1430.17</v>
      </c>
      <c r="Z387" s="155">
        <f t="shared" si="336"/>
        <v>88.01</v>
      </c>
      <c r="AA387" s="155">
        <f>Z387/13</f>
        <v>6.7700000000000005</v>
      </c>
      <c r="AB387" s="155">
        <f t="shared" si="337"/>
        <v>217.60714285714283</v>
      </c>
      <c r="AC387" s="155">
        <f>ROUND(AB387*0.07875,2)</f>
        <v>17.14</v>
      </c>
      <c r="AD387" s="155"/>
      <c r="AE387" s="155">
        <f t="shared" si="339"/>
        <v>16.32</v>
      </c>
      <c r="AF387" s="155"/>
      <c r="AG387" s="155">
        <f t="shared" si="296"/>
        <v>33.46</v>
      </c>
      <c r="AH387" s="155">
        <f>AB387*0.01</f>
        <v>2.1760714285714284</v>
      </c>
      <c r="AI387" s="155"/>
      <c r="AJ387" s="155"/>
      <c r="AK387" s="155"/>
      <c r="AL387" s="155"/>
    </row>
    <row r="388" spans="1:38" s="128" customFormat="1" ht="21.9" customHeight="1">
      <c r="A388" s="154">
        <f t="shared" si="344"/>
        <v>325</v>
      </c>
      <c r="B388" s="176" t="s">
        <v>571</v>
      </c>
      <c r="C388" s="175" t="s">
        <v>452</v>
      </c>
      <c r="D388" s="161" t="s">
        <v>79</v>
      </c>
      <c r="E388" s="163" t="s">
        <v>668</v>
      </c>
      <c r="F388" s="155">
        <f>547+30+50+50</f>
        <v>677</v>
      </c>
      <c r="G388" s="155">
        <f t="shared" si="341"/>
        <v>8124</v>
      </c>
      <c r="H388" s="155">
        <v>70</v>
      </c>
      <c r="I388" s="155"/>
      <c r="J388" s="155">
        <f t="shared" si="338"/>
        <v>677</v>
      </c>
      <c r="K388" s="155">
        <v>300</v>
      </c>
      <c r="L388" s="155"/>
      <c r="M388" s="155"/>
      <c r="N388" s="155">
        <v>30</v>
      </c>
      <c r="O388" s="155">
        <v>100</v>
      </c>
      <c r="P388" s="155">
        <f>ROUND(F388*0.0875*13,2)</f>
        <v>770.09</v>
      </c>
      <c r="Q388" s="155"/>
      <c r="R388" s="155">
        <f>P388/13</f>
        <v>59.237692307692313</v>
      </c>
      <c r="S388" s="155"/>
      <c r="T388" s="155"/>
      <c r="U388" s="155">
        <f t="shared" si="334"/>
        <v>660.08</v>
      </c>
      <c r="V388" s="155">
        <f t="shared" si="342"/>
        <v>50.775384615384617</v>
      </c>
      <c r="W388" s="155"/>
      <c r="X388" s="155"/>
      <c r="Y388" s="155">
        <f t="shared" si="335"/>
        <v>1430.17</v>
      </c>
      <c r="Z388" s="155">
        <f t="shared" si="336"/>
        <v>88.01</v>
      </c>
      <c r="AA388" s="155">
        <f t="shared" si="343"/>
        <v>6.7700000000000005</v>
      </c>
      <c r="AB388" s="155">
        <f t="shared" si="337"/>
        <v>217.60714285714283</v>
      </c>
      <c r="AC388" s="155">
        <f>ROUND(AB388*0.07875,2)</f>
        <v>17.14</v>
      </c>
      <c r="AD388" s="155"/>
      <c r="AE388" s="155">
        <f t="shared" si="339"/>
        <v>16.32</v>
      </c>
      <c r="AF388" s="155"/>
      <c r="AG388" s="155">
        <f t="shared" si="296"/>
        <v>33.46</v>
      </c>
      <c r="AH388" s="155">
        <f t="shared" si="340"/>
        <v>2.1760714285714284</v>
      </c>
      <c r="AI388" s="155"/>
      <c r="AJ388" s="155"/>
      <c r="AK388" s="155"/>
      <c r="AL388" s="155"/>
    </row>
    <row r="389" spans="1:38" ht="21.9" customHeight="1">
      <c r="A389" s="154">
        <f>A388+1</f>
        <v>326</v>
      </c>
      <c r="B389" s="176" t="s">
        <v>741</v>
      </c>
      <c r="C389" s="175" t="s">
        <v>452</v>
      </c>
      <c r="D389" s="161" t="s">
        <v>79</v>
      </c>
      <c r="E389" s="163" t="s">
        <v>668</v>
      </c>
      <c r="F389" s="155">
        <v>700</v>
      </c>
      <c r="G389" s="155">
        <f>F389*12</f>
        <v>8400</v>
      </c>
      <c r="H389" s="155">
        <v>70</v>
      </c>
      <c r="I389" s="155"/>
      <c r="J389" s="155">
        <f>F389</f>
        <v>700</v>
      </c>
      <c r="K389" s="155">
        <v>300</v>
      </c>
      <c r="L389" s="155"/>
      <c r="M389" s="155">
        <v>125</v>
      </c>
      <c r="N389" s="155">
        <v>30</v>
      </c>
      <c r="O389" s="155">
        <v>100</v>
      </c>
      <c r="P389" s="155">
        <f>ROUND(F389*0.0875*13,2)</f>
        <v>796.25</v>
      </c>
      <c r="Q389" s="155">
        <f>P389/13</f>
        <v>61.25</v>
      </c>
      <c r="R389" s="155"/>
      <c r="S389" s="155"/>
      <c r="T389" s="155"/>
      <c r="U389" s="155">
        <f t="shared" si="334"/>
        <v>682.5</v>
      </c>
      <c r="V389" s="155">
        <f>U389/13</f>
        <v>52.5</v>
      </c>
      <c r="W389" s="155"/>
      <c r="X389" s="155"/>
      <c r="Y389" s="155">
        <f t="shared" si="335"/>
        <v>1478.75</v>
      </c>
      <c r="Z389" s="155">
        <f t="shared" si="336"/>
        <v>91</v>
      </c>
      <c r="AA389" s="155">
        <f>Z389/13</f>
        <v>7</v>
      </c>
      <c r="AB389" s="155">
        <f t="shared" si="337"/>
        <v>225</v>
      </c>
      <c r="AC389" s="155">
        <f>ROUND(AB389*0.07875,2)</f>
        <v>17.72</v>
      </c>
      <c r="AD389" s="155"/>
      <c r="AE389" s="155">
        <f t="shared" si="339"/>
        <v>16.88</v>
      </c>
      <c r="AF389" s="155"/>
      <c r="AG389" s="155">
        <f t="shared" si="296"/>
        <v>34.599999999999994</v>
      </c>
      <c r="AH389" s="155">
        <f>AB389*0.01</f>
        <v>2.25</v>
      </c>
      <c r="AI389" s="155"/>
      <c r="AJ389" s="155"/>
      <c r="AK389" s="155"/>
      <c r="AL389" s="155"/>
    </row>
    <row r="390" spans="1:38" ht="21.9" customHeight="1">
      <c r="A390" s="232"/>
      <c r="B390" s="207" t="s">
        <v>572</v>
      </c>
      <c r="C390" s="175"/>
      <c r="D390" s="161"/>
      <c r="E390" s="163"/>
      <c r="F390" s="155" t="s">
        <v>50</v>
      </c>
      <c r="G390" s="155"/>
      <c r="H390" s="155"/>
      <c r="I390" s="155"/>
      <c r="J390" s="155"/>
      <c r="K390" s="155"/>
      <c r="L390" s="155"/>
      <c r="M390" s="155"/>
      <c r="N390" s="155"/>
      <c r="O390" s="155"/>
      <c r="P390" s="155"/>
      <c r="Q390" s="155"/>
      <c r="R390" s="152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/>
      <c r="AF390" s="155"/>
      <c r="AG390" s="155"/>
      <c r="AH390" s="155"/>
      <c r="AI390" s="155"/>
      <c r="AJ390" s="155"/>
      <c r="AK390" s="155"/>
      <c r="AL390" s="155"/>
    </row>
    <row r="391" spans="1:38" ht="21.9" customHeight="1">
      <c r="A391" s="154">
        <f>A389+1</f>
        <v>327</v>
      </c>
      <c r="B391" s="177" t="s">
        <v>669</v>
      </c>
      <c r="C391" s="175" t="s">
        <v>452</v>
      </c>
      <c r="D391" s="161" t="s">
        <v>79</v>
      </c>
      <c r="E391" s="163" t="s">
        <v>668</v>
      </c>
      <c r="F391" s="155">
        <v>800</v>
      </c>
      <c r="G391" s="155">
        <f>F391*12</f>
        <v>9600</v>
      </c>
      <c r="H391" s="155">
        <v>70</v>
      </c>
      <c r="I391" s="155"/>
      <c r="J391" s="155">
        <f>F391</f>
        <v>800</v>
      </c>
      <c r="K391" s="155">
        <v>300</v>
      </c>
      <c r="L391" s="155"/>
      <c r="M391" s="155"/>
      <c r="N391" s="155">
        <v>30</v>
      </c>
      <c r="O391" s="155">
        <v>100</v>
      </c>
      <c r="P391" s="155">
        <f>ROUND(F391*0.0875*13,2)</f>
        <v>910</v>
      </c>
      <c r="Q391" s="155"/>
      <c r="R391" s="155">
        <f>P391/13</f>
        <v>70</v>
      </c>
      <c r="S391" s="155"/>
      <c r="T391" s="155"/>
      <c r="U391" s="155">
        <f>ROUND(F391*0.075*13,2)</f>
        <v>780</v>
      </c>
      <c r="V391" s="155">
        <f>U391/13</f>
        <v>60</v>
      </c>
      <c r="W391" s="155"/>
      <c r="X391" s="155"/>
      <c r="Y391" s="155">
        <f>P391+S391+U391+W391</f>
        <v>1690</v>
      </c>
      <c r="Z391" s="155">
        <f>ROUND(F391*0.01*13,2)</f>
        <v>104</v>
      </c>
      <c r="AA391" s="155">
        <f>Z391/13</f>
        <v>8</v>
      </c>
      <c r="AB391" s="155">
        <f>F391/30/7*1.5*45</f>
        <v>257.14285714285717</v>
      </c>
      <c r="AC391" s="155">
        <f>ROUND(AB391*0.0875,2)</f>
        <v>22.5</v>
      </c>
      <c r="AD391" s="155"/>
      <c r="AE391" s="155">
        <f>ROUND(AB391*0.075,2)</f>
        <v>19.29</v>
      </c>
      <c r="AF391" s="155"/>
      <c r="AG391" s="155">
        <f t="shared" si="296"/>
        <v>41.79</v>
      </c>
      <c r="AH391" s="155">
        <f>AB391*0.01</f>
        <v>2.5714285714285716</v>
      </c>
      <c r="AI391" s="155"/>
      <c r="AJ391" s="155"/>
      <c r="AK391" s="155"/>
      <c r="AL391" s="155"/>
    </row>
    <row r="392" spans="1:38" ht="21.9" customHeight="1">
      <c r="A392" s="154">
        <f>A391+1</f>
        <v>328</v>
      </c>
      <c r="B392" s="177" t="s">
        <v>110</v>
      </c>
      <c r="C392" s="220" t="s">
        <v>452</v>
      </c>
      <c r="D392" s="161" t="s">
        <v>79</v>
      </c>
      <c r="E392" s="163" t="s">
        <v>668</v>
      </c>
      <c r="F392" s="155">
        <v>820</v>
      </c>
      <c r="G392" s="155">
        <f>F392*12</f>
        <v>9840</v>
      </c>
      <c r="H392" s="155">
        <v>70</v>
      </c>
      <c r="I392" s="155"/>
      <c r="J392" s="155">
        <f>F392</f>
        <v>820</v>
      </c>
      <c r="K392" s="155">
        <v>300</v>
      </c>
      <c r="L392" s="155"/>
      <c r="M392" s="155">
        <v>125</v>
      </c>
      <c r="N392" s="155">
        <v>30</v>
      </c>
      <c r="O392" s="155">
        <v>100</v>
      </c>
      <c r="P392" s="155">
        <f>ROUND(F392*0.0875*13,2)</f>
        <v>932.75</v>
      </c>
      <c r="Q392" s="155"/>
      <c r="R392" s="155">
        <f>P392/13</f>
        <v>71.75</v>
      </c>
      <c r="S392" s="155"/>
      <c r="T392" s="155"/>
      <c r="U392" s="155">
        <f>ROUND(F392*0.075*13,2)</f>
        <v>799.5</v>
      </c>
      <c r="V392" s="155">
        <f>U392/13</f>
        <v>61.5</v>
      </c>
      <c r="W392" s="155"/>
      <c r="X392" s="155"/>
      <c r="Y392" s="155">
        <f>P392+S392+U392+W392</f>
        <v>1732.25</v>
      </c>
      <c r="Z392" s="155">
        <f>ROUND(F392*0.01*13,2)</f>
        <v>106.6</v>
      </c>
      <c r="AA392" s="155">
        <f>Z392/13</f>
        <v>8.1999999999999993</v>
      </c>
      <c r="AB392" s="155">
        <f>F392/30/7*1.5*45</f>
        <v>263.57142857142856</v>
      </c>
      <c r="AC392" s="155">
        <f>ROUND(AB392*0.0875,2)</f>
        <v>23.06</v>
      </c>
      <c r="AD392" s="155"/>
      <c r="AE392" s="155">
        <f>ROUND(AB392*0.075,2)</f>
        <v>19.77</v>
      </c>
      <c r="AF392" s="155"/>
      <c r="AG392" s="155">
        <f t="shared" si="296"/>
        <v>42.83</v>
      </c>
      <c r="AH392" s="155">
        <f>AB392*0.01</f>
        <v>2.6357142857142857</v>
      </c>
      <c r="AI392" s="155"/>
      <c r="AJ392" s="155"/>
      <c r="AK392" s="155"/>
      <c r="AL392" s="155"/>
    </row>
    <row r="393" spans="1:38" ht="21.9" customHeight="1">
      <c r="A393" s="154">
        <f>A392+1</f>
        <v>329</v>
      </c>
      <c r="B393" s="176" t="s">
        <v>574</v>
      </c>
      <c r="C393" s="175" t="s">
        <v>452</v>
      </c>
      <c r="D393" s="161" t="s">
        <v>79</v>
      </c>
      <c r="E393" s="163" t="s">
        <v>668</v>
      </c>
      <c r="F393" s="155">
        <f>617.72+30+50+50</f>
        <v>747.72</v>
      </c>
      <c r="G393" s="155">
        <f>F393*12</f>
        <v>8972.64</v>
      </c>
      <c r="H393" s="155">
        <v>70</v>
      </c>
      <c r="I393" s="155"/>
      <c r="J393" s="155">
        <f>F393</f>
        <v>747.72</v>
      </c>
      <c r="K393" s="155">
        <v>300</v>
      </c>
      <c r="L393" s="155"/>
      <c r="M393" s="155">
        <v>125</v>
      </c>
      <c r="N393" s="155">
        <v>30</v>
      </c>
      <c r="O393" s="155">
        <v>100</v>
      </c>
      <c r="P393" s="155">
        <f>ROUND(F393*0.0875*13,2)</f>
        <v>850.53</v>
      </c>
      <c r="Q393" s="226"/>
      <c r="R393" s="155">
        <f>P393/13</f>
        <v>65.425384615384615</v>
      </c>
      <c r="S393" s="155"/>
      <c r="T393" s="155"/>
      <c r="U393" s="155">
        <f>ROUND(F393*0.075*13,2)</f>
        <v>729.03</v>
      </c>
      <c r="V393" s="155">
        <f>U393/13</f>
        <v>56.079230769230769</v>
      </c>
      <c r="W393" s="155"/>
      <c r="X393" s="155"/>
      <c r="Y393" s="155">
        <f>P393+S393+U393+W393</f>
        <v>1579.56</v>
      </c>
      <c r="Z393" s="155">
        <f>ROUND(F393*0.01*13,2)</f>
        <v>97.2</v>
      </c>
      <c r="AA393" s="155">
        <f>Z393/13</f>
        <v>7.476923076923077</v>
      </c>
      <c r="AB393" s="155">
        <f>F393/30/7*1.5*45</f>
        <v>240.33857142857141</v>
      </c>
      <c r="AC393" s="155">
        <f>ROUND(AB393*0.0875,2)</f>
        <v>21.03</v>
      </c>
      <c r="AD393" s="155"/>
      <c r="AE393" s="155">
        <f>ROUND(AB393*0.075,2)</f>
        <v>18.03</v>
      </c>
      <c r="AF393" s="155"/>
      <c r="AG393" s="155">
        <f t="shared" si="296"/>
        <v>39.06</v>
      </c>
      <c r="AH393" s="155">
        <f>AB393*0.01</f>
        <v>2.4033857142857142</v>
      </c>
      <c r="AI393" s="155"/>
      <c r="AJ393" s="155"/>
      <c r="AK393" s="155"/>
      <c r="AL393" s="155"/>
    </row>
    <row r="394" spans="1:38" ht="21.9" customHeight="1">
      <c r="A394" s="154">
        <f>A393+1</f>
        <v>330</v>
      </c>
      <c r="B394" s="176" t="s">
        <v>576</v>
      </c>
      <c r="C394" s="175" t="s">
        <v>452</v>
      </c>
      <c r="D394" s="161" t="s">
        <v>79</v>
      </c>
      <c r="E394" s="163" t="s">
        <v>668</v>
      </c>
      <c r="F394" s="155">
        <v>700</v>
      </c>
      <c r="G394" s="155">
        <f>F394*12</f>
        <v>8400</v>
      </c>
      <c r="H394" s="155">
        <v>70</v>
      </c>
      <c r="I394" s="155"/>
      <c r="J394" s="155">
        <f>F394</f>
        <v>700</v>
      </c>
      <c r="K394" s="155">
        <v>300</v>
      </c>
      <c r="L394" s="155"/>
      <c r="M394" s="155">
        <v>125</v>
      </c>
      <c r="N394" s="155">
        <v>30</v>
      </c>
      <c r="O394" s="155">
        <v>100</v>
      </c>
      <c r="P394" s="155">
        <f>ROUND(F394*0.0875*13,2)</f>
        <v>796.25</v>
      </c>
      <c r="Q394" s="226"/>
      <c r="R394" s="155">
        <f>P394/13</f>
        <v>61.25</v>
      </c>
      <c r="S394" s="155"/>
      <c r="T394" s="155"/>
      <c r="U394" s="155">
        <f>ROUND(F394*0.075*13,2)</f>
        <v>682.5</v>
      </c>
      <c r="V394" s="155">
        <f>U394/13</f>
        <v>52.5</v>
      </c>
      <c r="W394" s="155"/>
      <c r="X394" s="155"/>
      <c r="Y394" s="155">
        <f>P394+S394+U394+W394</f>
        <v>1478.75</v>
      </c>
      <c r="Z394" s="155">
        <f>ROUND(F394*0.01*13,2)</f>
        <v>91</v>
      </c>
      <c r="AA394" s="155">
        <f>Z394/13</f>
        <v>7</v>
      </c>
      <c r="AB394" s="155">
        <f>F394/30/7*1.5*45</f>
        <v>225</v>
      </c>
      <c r="AC394" s="155">
        <f>ROUND(AB394*0.0875,2)</f>
        <v>19.690000000000001</v>
      </c>
      <c r="AD394" s="155"/>
      <c r="AE394" s="155">
        <f>ROUND(AB394*0.075,2)</f>
        <v>16.88</v>
      </c>
      <c r="AF394" s="155"/>
      <c r="AG394" s="155">
        <f t="shared" si="296"/>
        <v>36.57</v>
      </c>
      <c r="AH394" s="155">
        <f>AB394*0.01</f>
        <v>2.25</v>
      </c>
      <c r="AI394" s="155"/>
      <c r="AJ394" s="155"/>
      <c r="AK394" s="155"/>
      <c r="AL394" s="155"/>
    </row>
    <row r="395" spans="1:38" ht="21.9" customHeight="1">
      <c r="A395" s="232"/>
      <c r="B395" s="207" t="s">
        <v>577</v>
      </c>
      <c r="C395" s="175"/>
      <c r="D395" s="161"/>
      <c r="E395" s="163"/>
      <c r="F395" s="155"/>
      <c r="G395" s="155"/>
      <c r="H395" s="155"/>
      <c r="I395" s="155"/>
      <c r="J395" s="155"/>
      <c r="K395" s="155"/>
      <c r="L395" s="155"/>
      <c r="M395" s="155"/>
      <c r="N395" s="155"/>
      <c r="O395" s="155"/>
      <c r="P395" s="155"/>
      <c r="Q395" s="226"/>
      <c r="R395" s="152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  <c r="AC395" s="155"/>
      <c r="AD395" s="155"/>
      <c r="AE395" s="155"/>
      <c r="AF395" s="155"/>
      <c r="AG395" s="155"/>
      <c r="AH395" s="155"/>
      <c r="AI395" s="155"/>
      <c r="AJ395" s="155"/>
      <c r="AK395" s="155"/>
      <c r="AL395" s="155"/>
    </row>
    <row r="396" spans="1:38" ht="21.9" customHeight="1">
      <c r="A396" s="154">
        <f>A394+1</f>
        <v>331</v>
      </c>
      <c r="B396" s="177" t="s">
        <v>727</v>
      </c>
      <c r="C396" s="175" t="s">
        <v>452</v>
      </c>
      <c r="D396" s="161" t="s">
        <v>79</v>
      </c>
      <c r="E396" s="163" t="s">
        <v>668</v>
      </c>
      <c r="F396" s="155">
        <v>1000</v>
      </c>
      <c r="G396" s="155">
        <f>F396*12</f>
        <v>12000</v>
      </c>
      <c r="H396" s="155">
        <v>70</v>
      </c>
      <c r="I396" s="155"/>
      <c r="J396" s="155">
        <f>F396</f>
        <v>1000</v>
      </c>
      <c r="K396" s="155">
        <v>300</v>
      </c>
      <c r="L396" s="155"/>
      <c r="M396" s="155">
        <v>125</v>
      </c>
      <c r="N396" s="155">
        <v>30</v>
      </c>
      <c r="O396" s="155">
        <v>100</v>
      </c>
      <c r="P396" s="155">
        <f>ROUND(F396*0.0875*13,2)</f>
        <v>1137.5</v>
      </c>
      <c r="Q396" s="155">
        <f>P396/13</f>
        <v>87.5</v>
      </c>
      <c r="R396" s="155"/>
      <c r="S396" s="155"/>
      <c r="T396" s="155"/>
      <c r="U396" s="155">
        <f>ROUND(F396*0.075*13,2)</f>
        <v>975</v>
      </c>
      <c r="V396" s="155">
        <f>U396/13</f>
        <v>75</v>
      </c>
      <c r="W396" s="155"/>
      <c r="X396" s="155"/>
      <c r="Y396" s="155">
        <f>P396+S396+U396+W396</f>
        <v>2112.5</v>
      </c>
      <c r="Z396" s="155">
        <f>ROUND(F396*0.01*13,2)</f>
        <v>130</v>
      </c>
      <c r="AA396" s="155">
        <f>Z396/13</f>
        <v>10</v>
      </c>
      <c r="AB396" s="155">
        <f>F396/30/7*1.5*45</f>
        <v>321.42857142857139</v>
      </c>
      <c r="AC396" s="155">
        <f>ROUND(AB396*0.0875,2)</f>
        <v>28.13</v>
      </c>
      <c r="AD396" s="155"/>
      <c r="AE396" s="155">
        <f>ROUND(AB396*0.075,2)</f>
        <v>24.11</v>
      </c>
      <c r="AF396" s="155"/>
      <c r="AG396" s="155">
        <f t="shared" si="296"/>
        <v>52.239999999999995</v>
      </c>
      <c r="AH396" s="155">
        <f>AB396*0.01</f>
        <v>3.214285714285714</v>
      </c>
      <c r="AI396" s="155"/>
      <c r="AJ396" s="155"/>
      <c r="AK396" s="155"/>
      <c r="AL396" s="155"/>
    </row>
    <row r="397" spans="1:38" ht="21.9" customHeight="1">
      <c r="A397" s="154">
        <f>A396+1</f>
        <v>332</v>
      </c>
      <c r="B397" s="176" t="s">
        <v>579</v>
      </c>
      <c r="C397" s="175" t="s">
        <v>452</v>
      </c>
      <c r="D397" s="161" t="s">
        <v>79</v>
      </c>
      <c r="E397" s="163" t="s">
        <v>668</v>
      </c>
      <c r="F397" s="155">
        <f>617.72+30+50+50</f>
        <v>747.72</v>
      </c>
      <c r="G397" s="155">
        <f>F397*12</f>
        <v>8972.64</v>
      </c>
      <c r="H397" s="155">
        <v>70</v>
      </c>
      <c r="I397" s="155"/>
      <c r="J397" s="155">
        <f>F397</f>
        <v>747.72</v>
      </c>
      <c r="K397" s="155">
        <v>300</v>
      </c>
      <c r="L397" s="155"/>
      <c r="M397" s="155">
        <v>125</v>
      </c>
      <c r="N397" s="155">
        <v>30</v>
      </c>
      <c r="O397" s="155">
        <v>100</v>
      </c>
      <c r="P397" s="155">
        <f>ROUND(F397*0.0875*13,2)</f>
        <v>850.53</v>
      </c>
      <c r="Q397" s="226"/>
      <c r="R397" s="155">
        <f>P397/13</f>
        <v>65.425384615384615</v>
      </c>
      <c r="S397" s="155"/>
      <c r="T397" s="155"/>
      <c r="U397" s="155">
        <f>ROUND(F397*0.075*13,2)</f>
        <v>729.03</v>
      </c>
      <c r="V397" s="155">
        <f>U397/13</f>
        <v>56.079230769230769</v>
      </c>
      <c r="W397" s="155"/>
      <c r="X397" s="155"/>
      <c r="Y397" s="155">
        <f>P397+S397+U397+W397</f>
        <v>1579.56</v>
      </c>
      <c r="Z397" s="155">
        <f>ROUND(F397*0.01*13,2)</f>
        <v>97.2</v>
      </c>
      <c r="AA397" s="155">
        <f>Z397/13</f>
        <v>7.476923076923077</v>
      </c>
      <c r="AB397" s="155">
        <f>F397/30/7*1.5*45</f>
        <v>240.33857142857141</v>
      </c>
      <c r="AC397" s="155">
        <f>ROUND(AB397*0.0875,2)</f>
        <v>21.03</v>
      </c>
      <c r="AD397" s="155"/>
      <c r="AE397" s="155">
        <f>ROUND(AB397*0.075,2)</f>
        <v>18.03</v>
      </c>
      <c r="AF397" s="155"/>
      <c r="AG397" s="155">
        <f t="shared" si="296"/>
        <v>39.06</v>
      </c>
      <c r="AH397" s="155">
        <f>AB397*0.01</f>
        <v>2.4033857142857142</v>
      </c>
      <c r="AI397" s="155"/>
      <c r="AJ397" s="155"/>
      <c r="AK397" s="155"/>
      <c r="AL397" s="155"/>
    </row>
    <row r="398" spans="1:38" ht="21.9" customHeight="1">
      <c r="B398" s="207" t="s">
        <v>582</v>
      </c>
      <c r="C398" s="175"/>
      <c r="D398" s="161"/>
      <c r="E398" s="163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226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</row>
    <row r="399" spans="1:38" ht="21.9" customHeight="1">
      <c r="A399" s="154">
        <f>A397+1</f>
        <v>333</v>
      </c>
      <c r="B399" s="176" t="s">
        <v>584</v>
      </c>
      <c r="C399" s="175" t="s">
        <v>452</v>
      </c>
      <c r="D399" s="161" t="s">
        <v>79</v>
      </c>
      <c r="E399" s="163" t="s">
        <v>668</v>
      </c>
      <c r="F399" s="155">
        <f>795+30+50</f>
        <v>875</v>
      </c>
      <c r="G399" s="155">
        <f t="shared" ref="G399:G404" si="347">F399*12</f>
        <v>10500</v>
      </c>
      <c r="H399" s="155">
        <v>70</v>
      </c>
      <c r="I399" s="155"/>
      <c r="J399" s="155">
        <f t="shared" ref="J399:J404" si="348">F399</f>
        <v>875</v>
      </c>
      <c r="K399" s="155">
        <v>300</v>
      </c>
      <c r="L399" s="155"/>
      <c r="M399" s="155">
        <v>125</v>
      </c>
      <c r="N399" s="155">
        <v>30</v>
      </c>
      <c r="O399" s="155">
        <v>100</v>
      </c>
      <c r="P399" s="155">
        <f t="shared" ref="P399:P404" si="349">ROUND(F399*0.0875*13,2)</f>
        <v>995.31</v>
      </c>
      <c r="Q399" s="155">
        <f>P399/13</f>
        <v>76.562307692307684</v>
      </c>
      <c r="R399" s="155"/>
      <c r="S399" s="155"/>
      <c r="T399" s="155"/>
      <c r="U399" s="155">
        <f>ROUND(F399*0.075*13,2)</f>
        <v>853.13</v>
      </c>
      <c r="V399" s="155">
        <f t="shared" ref="V399:V404" si="350">U399/13</f>
        <v>65.625384615384618</v>
      </c>
      <c r="W399" s="155"/>
      <c r="X399" s="155"/>
      <c r="Y399" s="155">
        <f t="shared" ref="Y399:Y426" si="351">P399+S399+U399+W399</f>
        <v>1848.44</v>
      </c>
      <c r="Z399" s="155">
        <f t="shared" ref="Z399:Z404" si="352">ROUND(F399*0.01*13,2)</f>
        <v>113.75</v>
      </c>
      <c r="AA399" s="155">
        <f t="shared" ref="AA399:AA404" si="353">Z399/13</f>
        <v>8.75</v>
      </c>
      <c r="AB399" s="155">
        <f t="shared" ref="AB399:AB404" si="354">F399/30/7*1.5*45</f>
        <v>281.25</v>
      </c>
      <c r="AC399" s="155">
        <f>ROUND(AB399*0.0875,2)</f>
        <v>24.61</v>
      </c>
      <c r="AD399" s="155"/>
      <c r="AE399" s="155">
        <f>ROUND(AB399*0.075,2)</f>
        <v>21.09</v>
      </c>
      <c r="AF399" s="155"/>
      <c r="AG399" s="155">
        <f t="shared" si="296"/>
        <v>45.7</v>
      </c>
      <c r="AH399" s="155">
        <f t="shared" ref="AH399:AH404" si="355">AB399*0.01</f>
        <v>2.8125</v>
      </c>
      <c r="AI399" s="155"/>
      <c r="AJ399" s="155"/>
      <c r="AK399" s="155"/>
      <c r="AL399" s="155"/>
    </row>
    <row r="400" spans="1:38" ht="21.9" customHeight="1">
      <c r="A400" s="154">
        <f>A399+1</f>
        <v>334</v>
      </c>
      <c r="B400" s="176" t="s">
        <v>658</v>
      </c>
      <c r="C400" s="175" t="s">
        <v>452</v>
      </c>
      <c r="D400" s="161" t="s">
        <v>79</v>
      </c>
      <c r="E400" s="163" t="s">
        <v>668</v>
      </c>
      <c r="F400" s="155">
        <v>650</v>
      </c>
      <c r="G400" s="155">
        <f t="shared" si="347"/>
        <v>7800</v>
      </c>
      <c r="H400" s="155">
        <v>70</v>
      </c>
      <c r="I400" s="155"/>
      <c r="J400" s="155">
        <f t="shared" si="348"/>
        <v>650</v>
      </c>
      <c r="K400" s="155">
        <v>300</v>
      </c>
      <c r="L400" s="155"/>
      <c r="M400" s="155">
        <v>125</v>
      </c>
      <c r="N400" s="155">
        <v>30</v>
      </c>
      <c r="O400" s="155">
        <v>100</v>
      </c>
      <c r="P400" s="155">
        <f t="shared" si="349"/>
        <v>739.38</v>
      </c>
      <c r="Q400" s="155"/>
      <c r="R400" s="155">
        <f>P400/13</f>
        <v>56.875384615384618</v>
      </c>
      <c r="S400" s="155"/>
      <c r="T400" s="155"/>
      <c r="U400" s="155">
        <f t="shared" ref="U400:U404" si="356">ROUND(F400*0.075*13,2)</f>
        <v>633.75</v>
      </c>
      <c r="V400" s="155">
        <f t="shared" si="350"/>
        <v>48.75</v>
      </c>
      <c r="W400" s="155"/>
      <c r="X400" s="155"/>
      <c r="Y400" s="155">
        <f t="shared" si="351"/>
        <v>1373.13</v>
      </c>
      <c r="Z400" s="155">
        <f t="shared" si="352"/>
        <v>84.5</v>
      </c>
      <c r="AA400" s="155">
        <f t="shared" si="353"/>
        <v>6.5</v>
      </c>
      <c r="AB400" s="155">
        <f t="shared" si="354"/>
        <v>208.92857142857144</v>
      </c>
      <c r="AC400" s="155">
        <f t="shared" ref="AC400:AC404" si="357">ROUND(AB400*0.0875,2)</f>
        <v>18.28</v>
      </c>
      <c r="AD400" s="155"/>
      <c r="AE400" s="155">
        <f t="shared" ref="AE400:AE404" si="358">ROUND(AB400*0.075,2)</f>
        <v>15.67</v>
      </c>
      <c r="AF400" s="155"/>
      <c r="AG400" s="155">
        <f t="shared" si="296"/>
        <v>33.950000000000003</v>
      </c>
      <c r="AH400" s="155">
        <f t="shared" si="355"/>
        <v>2.0892857142857144</v>
      </c>
      <c r="AI400" s="155"/>
      <c r="AJ400" s="155"/>
      <c r="AK400" s="155"/>
      <c r="AL400" s="155"/>
    </row>
    <row r="401" spans="1:38" ht="21.9" customHeight="1">
      <c r="A401" s="154">
        <f t="shared" ref="A401:A404" si="359">A400+1</f>
        <v>335</v>
      </c>
      <c r="B401" s="176" t="s">
        <v>588</v>
      </c>
      <c r="C401" s="175" t="s">
        <v>452</v>
      </c>
      <c r="D401" s="161" t="s">
        <v>79</v>
      </c>
      <c r="E401" s="163" t="s">
        <v>668</v>
      </c>
      <c r="F401" s="155">
        <f>554+30+50+50</f>
        <v>684</v>
      </c>
      <c r="G401" s="155">
        <f t="shared" si="347"/>
        <v>8208</v>
      </c>
      <c r="H401" s="155">
        <v>70</v>
      </c>
      <c r="I401" s="155"/>
      <c r="J401" s="155">
        <f t="shared" si="348"/>
        <v>684</v>
      </c>
      <c r="K401" s="155">
        <v>300</v>
      </c>
      <c r="L401" s="155"/>
      <c r="M401" s="155">
        <v>125</v>
      </c>
      <c r="N401" s="155">
        <v>30</v>
      </c>
      <c r="O401" s="155">
        <v>100</v>
      </c>
      <c r="P401" s="155">
        <f t="shared" si="349"/>
        <v>778.05</v>
      </c>
      <c r="Q401" s="155"/>
      <c r="R401" s="155">
        <f>P401/13</f>
        <v>59.849999999999994</v>
      </c>
      <c r="S401" s="155"/>
      <c r="T401" s="155"/>
      <c r="U401" s="155">
        <f t="shared" si="356"/>
        <v>666.9</v>
      </c>
      <c r="V401" s="155">
        <f t="shared" si="350"/>
        <v>51.3</v>
      </c>
      <c r="W401" s="155"/>
      <c r="X401" s="155"/>
      <c r="Y401" s="155">
        <f t="shared" si="351"/>
        <v>1444.9499999999998</v>
      </c>
      <c r="Z401" s="155">
        <f t="shared" si="352"/>
        <v>88.92</v>
      </c>
      <c r="AA401" s="155">
        <f t="shared" si="353"/>
        <v>6.84</v>
      </c>
      <c r="AB401" s="155">
        <f t="shared" si="354"/>
        <v>219.85714285714289</v>
      </c>
      <c r="AC401" s="155">
        <f t="shared" si="357"/>
        <v>19.239999999999998</v>
      </c>
      <c r="AD401" s="155"/>
      <c r="AE401" s="155">
        <f t="shared" si="358"/>
        <v>16.489999999999998</v>
      </c>
      <c r="AF401" s="155"/>
      <c r="AG401" s="155">
        <f t="shared" si="296"/>
        <v>35.729999999999997</v>
      </c>
      <c r="AH401" s="155">
        <f t="shared" si="355"/>
        <v>2.1985714285714288</v>
      </c>
      <c r="AI401" s="155"/>
      <c r="AJ401" s="155"/>
      <c r="AK401" s="155"/>
      <c r="AL401" s="155"/>
    </row>
    <row r="402" spans="1:38" ht="21.9" customHeight="1">
      <c r="A402" s="154">
        <f t="shared" si="359"/>
        <v>336</v>
      </c>
      <c r="B402" s="176" t="s">
        <v>590</v>
      </c>
      <c r="C402" s="175" t="s">
        <v>452</v>
      </c>
      <c r="D402" s="161" t="s">
        <v>79</v>
      </c>
      <c r="E402" s="163" t="s">
        <v>668</v>
      </c>
      <c r="F402" s="155">
        <v>600</v>
      </c>
      <c r="G402" s="155">
        <f t="shared" si="347"/>
        <v>7200</v>
      </c>
      <c r="H402" s="155">
        <v>70</v>
      </c>
      <c r="I402" s="155"/>
      <c r="J402" s="155">
        <f t="shared" si="348"/>
        <v>600</v>
      </c>
      <c r="K402" s="155">
        <v>300</v>
      </c>
      <c r="L402" s="155"/>
      <c r="M402" s="155"/>
      <c r="N402" s="155">
        <v>30</v>
      </c>
      <c r="O402" s="155">
        <v>100</v>
      </c>
      <c r="P402" s="155">
        <f t="shared" si="349"/>
        <v>682.5</v>
      </c>
      <c r="Q402" s="155">
        <f>P402/13</f>
        <v>52.5</v>
      </c>
      <c r="R402" s="155"/>
      <c r="S402" s="155"/>
      <c r="T402" s="155"/>
      <c r="U402" s="155">
        <f t="shared" si="356"/>
        <v>585</v>
      </c>
      <c r="V402" s="155">
        <f t="shared" si="350"/>
        <v>45</v>
      </c>
      <c r="W402" s="155"/>
      <c r="X402" s="155"/>
      <c r="Y402" s="155">
        <f t="shared" si="351"/>
        <v>1267.5</v>
      </c>
      <c r="Z402" s="155">
        <f t="shared" si="352"/>
        <v>78</v>
      </c>
      <c r="AA402" s="155">
        <f t="shared" si="353"/>
        <v>6</v>
      </c>
      <c r="AB402" s="155">
        <f t="shared" si="354"/>
        <v>192.85714285714286</v>
      </c>
      <c r="AC402" s="155">
        <f t="shared" si="357"/>
        <v>16.88</v>
      </c>
      <c r="AD402" s="155"/>
      <c r="AE402" s="155">
        <f t="shared" si="358"/>
        <v>14.46</v>
      </c>
      <c r="AF402" s="155"/>
      <c r="AG402" s="155">
        <f t="shared" si="296"/>
        <v>31.34</v>
      </c>
      <c r="AH402" s="155">
        <f t="shared" si="355"/>
        <v>1.9285714285714286</v>
      </c>
      <c r="AI402" s="155"/>
      <c r="AJ402" s="155"/>
      <c r="AK402" s="155"/>
      <c r="AL402" s="155"/>
    </row>
    <row r="403" spans="1:38" ht="21.9" customHeight="1">
      <c r="A403" s="154">
        <f t="shared" si="359"/>
        <v>337</v>
      </c>
      <c r="B403" s="176" t="s">
        <v>670</v>
      </c>
      <c r="C403" s="175" t="s">
        <v>452</v>
      </c>
      <c r="D403" s="161" t="s">
        <v>79</v>
      </c>
      <c r="E403" s="163" t="s">
        <v>668</v>
      </c>
      <c r="F403" s="155">
        <f>467+30+50+50</f>
        <v>597</v>
      </c>
      <c r="G403" s="155">
        <f t="shared" si="347"/>
        <v>7164</v>
      </c>
      <c r="H403" s="155">
        <v>70</v>
      </c>
      <c r="I403" s="155"/>
      <c r="J403" s="155">
        <f t="shared" si="348"/>
        <v>597</v>
      </c>
      <c r="K403" s="155">
        <v>300</v>
      </c>
      <c r="L403" s="155"/>
      <c r="M403" s="155">
        <v>125</v>
      </c>
      <c r="N403" s="155">
        <v>30</v>
      </c>
      <c r="O403" s="155">
        <v>100</v>
      </c>
      <c r="P403" s="155">
        <f t="shared" si="349"/>
        <v>679.09</v>
      </c>
      <c r="Q403" s="155">
        <f>P403/13</f>
        <v>52.237692307692313</v>
      </c>
      <c r="R403" s="155"/>
      <c r="S403" s="155"/>
      <c r="T403" s="155"/>
      <c r="U403" s="155">
        <f t="shared" si="356"/>
        <v>582.08000000000004</v>
      </c>
      <c r="V403" s="155">
        <f t="shared" si="350"/>
        <v>44.775384615384617</v>
      </c>
      <c r="W403" s="155"/>
      <c r="X403" s="155"/>
      <c r="Y403" s="155">
        <f t="shared" si="351"/>
        <v>1261.17</v>
      </c>
      <c r="Z403" s="155">
        <f t="shared" si="352"/>
        <v>77.61</v>
      </c>
      <c r="AA403" s="155">
        <f t="shared" si="353"/>
        <v>5.97</v>
      </c>
      <c r="AB403" s="155">
        <f t="shared" si="354"/>
        <v>191.89285714285714</v>
      </c>
      <c r="AC403" s="155">
        <f t="shared" si="357"/>
        <v>16.79</v>
      </c>
      <c r="AD403" s="155"/>
      <c r="AE403" s="155">
        <f t="shared" si="358"/>
        <v>14.39</v>
      </c>
      <c r="AF403" s="155"/>
      <c r="AG403" s="155">
        <f t="shared" si="296"/>
        <v>31.18</v>
      </c>
      <c r="AH403" s="155">
        <f t="shared" si="355"/>
        <v>1.9189285714285713</v>
      </c>
      <c r="AI403" s="155"/>
      <c r="AJ403" s="155"/>
      <c r="AK403" s="155"/>
      <c r="AL403" s="155"/>
    </row>
    <row r="404" spans="1:38" ht="21.9" customHeight="1">
      <c r="A404" s="154">
        <f t="shared" si="359"/>
        <v>338</v>
      </c>
      <c r="B404" s="178" t="s">
        <v>681</v>
      </c>
      <c r="C404" s="220" t="s">
        <v>452</v>
      </c>
      <c r="D404" s="161" t="s">
        <v>79</v>
      </c>
      <c r="E404" s="163" t="s">
        <v>668</v>
      </c>
      <c r="F404" s="155">
        <v>417</v>
      </c>
      <c r="G404" s="155">
        <f t="shared" si="347"/>
        <v>5004</v>
      </c>
      <c r="H404" s="155">
        <v>70</v>
      </c>
      <c r="I404" s="155"/>
      <c r="J404" s="155">
        <f t="shared" si="348"/>
        <v>417</v>
      </c>
      <c r="K404" s="155">
        <v>300</v>
      </c>
      <c r="L404" s="155"/>
      <c r="M404" s="155"/>
      <c r="N404" s="155">
        <v>30</v>
      </c>
      <c r="O404" s="155">
        <v>100</v>
      </c>
      <c r="P404" s="155">
        <f t="shared" si="349"/>
        <v>474.34</v>
      </c>
      <c r="Q404" s="155">
        <f>P404/13</f>
        <v>36.487692307692306</v>
      </c>
      <c r="R404" s="155"/>
      <c r="S404" s="155"/>
      <c r="T404" s="155"/>
      <c r="U404" s="155">
        <f t="shared" si="356"/>
        <v>406.58</v>
      </c>
      <c r="V404" s="155">
        <f t="shared" si="350"/>
        <v>31.275384615384613</v>
      </c>
      <c r="W404" s="155"/>
      <c r="X404" s="155"/>
      <c r="Y404" s="155">
        <f t="shared" si="351"/>
        <v>880.92</v>
      </c>
      <c r="Z404" s="155">
        <f t="shared" si="352"/>
        <v>54.21</v>
      </c>
      <c r="AA404" s="155">
        <f t="shared" si="353"/>
        <v>4.17</v>
      </c>
      <c r="AB404" s="155">
        <f t="shared" si="354"/>
        <v>134.03571428571428</v>
      </c>
      <c r="AC404" s="155">
        <f t="shared" si="357"/>
        <v>11.73</v>
      </c>
      <c r="AD404" s="155"/>
      <c r="AE404" s="155">
        <f t="shared" si="358"/>
        <v>10.050000000000001</v>
      </c>
      <c r="AF404" s="155"/>
      <c r="AG404" s="155">
        <f t="shared" si="296"/>
        <v>21.78</v>
      </c>
      <c r="AH404" s="155">
        <f t="shared" si="355"/>
        <v>1.3403571428571428</v>
      </c>
      <c r="AI404" s="155"/>
      <c r="AJ404" s="155"/>
      <c r="AK404" s="155"/>
      <c r="AL404" s="155"/>
    </row>
    <row r="405" spans="1:38" ht="21.9" customHeight="1">
      <c r="C405" s="222"/>
      <c r="D405" s="161"/>
      <c r="E405" s="163"/>
      <c r="F405" s="152">
        <f t="shared" ref="F405:P405" si="360">SUM(F292:F404)</f>
        <v>65619.640000000014</v>
      </c>
      <c r="G405" s="152">
        <f t="shared" si="360"/>
        <v>787435.67999999993</v>
      </c>
      <c r="H405" s="152">
        <f t="shared" si="360"/>
        <v>7490</v>
      </c>
      <c r="I405" s="152">
        <f t="shared" si="360"/>
        <v>0</v>
      </c>
      <c r="J405" s="152">
        <f t="shared" si="360"/>
        <v>65619.640000000014</v>
      </c>
      <c r="K405" s="152">
        <f t="shared" si="360"/>
        <v>32100</v>
      </c>
      <c r="L405" s="152">
        <f t="shared" si="360"/>
        <v>0</v>
      </c>
      <c r="M405" s="152">
        <f t="shared" si="360"/>
        <v>10625</v>
      </c>
      <c r="N405" s="152">
        <f t="shared" si="360"/>
        <v>3210</v>
      </c>
      <c r="O405" s="152">
        <f t="shared" si="360"/>
        <v>10700</v>
      </c>
      <c r="P405" s="152">
        <f t="shared" si="360"/>
        <v>73704.869999999864</v>
      </c>
      <c r="Q405" s="152">
        <f>SUM(Q292:Q404)+0.07</f>
        <v>2098.5876923076917</v>
      </c>
      <c r="R405" s="152">
        <f>SUM(R292:R404)</f>
        <v>3571.0876923076894</v>
      </c>
      <c r="S405" s="152">
        <f>SUM(S292:S404)</f>
        <v>0</v>
      </c>
      <c r="T405" s="152">
        <f>SUM(T292:T404)</f>
        <v>0</v>
      </c>
      <c r="U405" s="152">
        <f>SUM(U292:U404)</f>
        <v>63979.540000000095</v>
      </c>
      <c r="V405" s="152">
        <f>SUM(V292:V404)+0.36</f>
        <v>4921.8630769230767</v>
      </c>
      <c r="W405" s="152">
        <f>SUM(W292:W404)</f>
        <v>642.94619999999986</v>
      </c>
      <c r="X405" s="152">
        <f>SUM(X292:X404)</f>
        <v>53.578849999999989</v>
      </c>
      <c r="Y405" s="152">
        <f>SUM(Y292:Y404)</f>
        <v>138327.35619999992</v>
      </c>
      <c r="Z405" s="152">
        <f>SUM(Z292:Z404)</f>
        <v>8530.5300000000007</v>
      </c>
      <c r="AA405" s="152">
        <f>SUM(AA292:AA404)</f>
        <v>656.19461538461576</v>
      </c>
      <c r="AB405" s="152">
        <f>SUM(AB292:AB404)+0.11</f>
        <v>21092.137142857129</v>
      </c>
      <c r="AC405" s="152">
        <f>SUM(AC292:AC404)</f>
        <v>1738.2700000000002</v>
      </c>
      <c r="AD405" s="152">
        <f>SUM(AD292:AD404)</f>
        <v>0</v>
      </c>
      <c r="AE405" s="152">
        <f>SUM(AE292:AE404)</f>
        <v>1581.86</v>
      </c>
      <c r="AF405" s="152">
        <f>SUM(AF292:AF404)+0.01</f>
        <v>69.65090714285715</v>
      </c>
      <c r="AG405" s="152">
        <f>SUM(AG292:AG404)</f>
        <v>3389.7709071428576</v>
      </c>
      <c r="AH405" s="152">
        <f>SUM(AH292:AH404)+0.02</f>
        <v>210.94027142857132</v>
      </c>
      <c r="AI405" s="152"/>
      <c r="AJ405" s="152"/>
      <c r="AK405" s="152"/>
      <c r="AL405" s="152"/>
    </row>
    <row r="406" spans="1:38" ht="21.9" customHeight="1">
      <c r="A406" s="154">
        <f>A404+1</f>
        <v>339</v>
      </c>
      <c r="B406" s="177" t="s">
        <v>593</v>
      </c>
      <c r="C406" s="175" t="s">
        <v>594</v>
      </c>
      <c r="D406" s="182" t="s">
        <v>79</v>
      </c>
      <c r="E406" s="163" t="s">
        <v>668</v>
      </c>
      <c r="F406" s="155">
        <v>1500</v>
      </c>
      <c r="G406" s="155">
        <f t="shared" ref="G406:G423" si="361">F406*12</f>
        <v>18000</v>
      </c>
      <c r="H406" s="155">
        <v>70</v>
      </c>
      <c r="I406" s="155"/>
      <c r="J406" s="155">
        <f t="shared" ref="J406:J423" si="362">F406</f>
        <v>1500</v>
      </c>
      <c r="K406" s="155">
        <v>300</v>
      </c>
      <c r="L406" s="155"/>
      <c r="M406" s="155">
        <v>125</v>
      </c>
      <c r="N406" s="155">
        <v>30</v>
      </c>
      <c r="O406" s="155">
        <v>100</v>
      </c>
      <c r="P406" s="155">
        <f>ROUND(F406*0.0875*13,2)</f>
        <v>1706.25</v>
      </c>
      <c r="Q406" s="155" t="s">
        <v>595</v>
      </c>
      <c r="R406" s="155">
        <f>P406/13</f>
        <v>131.25</v>
      </c>
      <c r="S406" s="155"/>
      <c r="T406" s="155"/>
      <c r="U406" s="155">
        <f>75*13</f>
        <v>975</v>
      </c>
      <c r="V406" s="155">
        <f>U406/13</f>
        <v>75</v>
      </c>
      <c r="W406" s="155"/>
      <c r="X406" s="155"/>
      <c r="Y406" s="155">
        <f t="shared" si="351"/>
        <v>2681.25</v>
      </c>
      <c r="Z406" s="155">
        <f>F406*0.01*13</f>
        <v>195</v>
      </c>
      <c r="AA406" s="155">
        <f>Z406/13</f>
        <v>15</v>
      </c>
      <c r="AB406" s="155">
        <f>F406/30/7*1.5*45</f>
        <v>482.14285714285717</v>
      </c>
      <c r="AC406" s="155">
        <f>ROUND(AB406*0.0775,2)</f>
        <v>37.369999999999997</v>
      </c>
      <c r="AD406" s="155"/>
      <c r="AE406" s="155">
        <f>ROUND(AB406*0.075,2)</f>
        <v>36.159999999999997</v>
      </c>
      <c r="AF406" s="155"/>
      <c r="AG406" s="155">
        <f>AC406+AD406+AE406+AF406</f>
        <v>73.53</v>
      </c>
      <c r="AH406" s="155">
        <f t="shared" ref="AH406:AH416" si="363">AB406*0.01</f>
        <v>4.8214285714285721</v>
      </c>
      <c r="AI406" s="155"/>
      <c r="AJ406" s="155"/>
      <c r="AK406" s="155"/>
      <c r="AL406" s="155"/>
    </row>
    <row r="407" spans="1:38" ht="21.9" customHeight="1">
      <c r="A407" s="154">
        <f t="shared" ref="A407:A426" si="364">A406+1</f>
        <v>340</v>
      </c>
      <c r="B407" s="177" t="s">
        <v>326</v>
      </c>
      <c r="C407" s="175" t="s">
        <v>594</v>
      </c>
      <c r="D407" s="182" t="s">
        <v>79</v>
      </c>
      <c r="E407" s="163" t="s">
        <v>668</v>
      </c>
      <c r="F407" s="155">
        <f>650+50+50</f>
        <v>750</v>
      </c>
      <c r="G407" s="155">
        <f t="shared" si="361"/>
        <v>9000</v>
      </c>
      <c r="H407" s="155">
        <v>70</v>
      </c>
      <c r="I407" s="155"/>
      <c r="J407" s="155">
        <f t="shared" si="362"/>
        <v>750</v>
      </c>
      <c r="K407" s="155">
        <v>300</v>
      </c>
      <c r="L407" s="155"/>
      <c r="M407" s="155">
        <v>125</v>
      </c>
      <c r="N407" s="155">
        <v>30</v>
      </c>
      <c r="O407" s="155">
        <v>100</v>
      </c>
      <c r="P407" s="155">
        <f t="shared" ref="P407:P426" si="365">ROUND(F407*0.0875*13,2)</f>
        <v>853.13</v>
      </c>
      <c r="Q407" s="155">
        <f>P407/13</f>
        <v>65.625384615384618</v>
      </c>
      <c r="R407" s="155"/>
      <c r="S407" s="155"/>
      <c r="T407" s="155"/>
      <c r="U407" s="155">
        <f>ROUND(F407*0.075*13,2)</f>
        <v>731.25</v>
      </c>
      <c r="V407" s="155">
        <f>U407/13</f>
        <v>56.25</v>
      </c>
      <c r="W407" s="155"/>
      <c r="X407" s="155"/>
      <c r="Y407" s="155">
        <f t="shared" si="351"/>
        <v>1584.38</v>
      </c>
      <c r="Z407" s="155">
        <f t="shared" ref="Z407:Z426" si="366">ROUND(F407*0.01*13,2)</f>
        <v>97.5</v>
      </c>
      <c r="AA407" s="155">
        <f>Z407/13</f>
        <v>7.5</v>
      </c>
      <c r="AB407" s="155">
        <f>F407/30/7*1.5*45</f>
        <v>241.07142857142858</v>
      </c>
      <c r="AC407" s="155">
        <f t="shared" ref="AC407:AC426" si="367">ROUND(AB407*0.0775,2)</f>
        <v>18.68</v>
      </c>
      <c r="AD407" s="155"/>
      <c r="AE407" s="155">
        <f t="shared" ref="AE407:AE426" si="368">ROUND(AB407*0.075,2)</f>
        <v>18.079999999999998</v>
      </c>
      <c r="AF407" s="155"/>
      <c r="AG407" s="155">
        <f t="shared" ref="AG407:AG426" si="369">AC407+AD407+AE407+AF407</f>
        <v>36.76</v>
      </c>
      <c r="AH407" s="155">
        <f t="shared" si="363"/>
        <v>2.410714285714286</v>
      </c>
      <c r="AI407" s="155"/>
      <c r="AJ407" s="155"/>
      <c r="AK407" s="155"/>
      <c r="AL407" s="155"/>
    </row>
    <row r="408" spans="1:38" ht="21.9" customHeight="1">
      <c r="A408" s="154">
        <f t="shared" si="364"/>
        <v>341</v>
      </c>
      <c r="B408" s="179" t="s">
        <v>110</v>
      </c>
      <c r="C408" s="175" t="s">
        <v>594</v>
      </c>
      <c r="D408" s="161" t="s">
        <v>79</v>
      </c>
      <c r="E408" s="163" t="s">
        <v>668</v>
      </c>
      <c r="F408" s="155">
        <f>554+30+50+50</f>
        <v>684</v>
      </c>
      <c r="G408" s="155">
        <f t="shared" si="361"/>
        <v>8208</v>
      </c>
      <c r="H408" s="155">
        <v>70</v>
      </c>
      <c r="I408" s="155"/>
      <c r="J408" s="155">
        <f t="shared" si="362"/>
        <v>684</v>
      </c>
      <c r="K408" s="155">
        <v>300</v>
      </c>
      <c r="L408" s="155"/>
      <c r="M408" s="155">
        <v>125</v>
      </c>
      <c r="N408" s="155">
        <v>30</v>
      </c>
      <c r="O408" s="155">
        <v>100</v>
      </c>
      <c r="P408" s="155">
        <f t="shared" si="365"/>
        <v>778.05</v>
      </c>
      <c r="Q408" s="155">
        <f>P408/13</f>
        <v>59.849999999999994</v>
      </c>
      <c r="R408" s="155"/>
      <c r="S408" s="155"/>
      <c r="T408" s="155"/>
      <c r="U408" s="155">
        <f t="shared" ref="U408:U426" si="370">ROUND(F408*0.075*13,2)</f>
        <v>666.9</v>
      </c>
      <c r="V408" s="155">
        <f t="shared" ref="V408:V418" si="371">U408/13</f>
        <v>51.3</v>
      </c>
      <c r="W408" s="155"/>
      <c r="X408" s="155"/>
      <c r="Y408" s="155">
        <f t="shared" si="351"/>
        <v>1444.9499999999998</v>
      </c>
      <c r="Z408" s="155">
        <f t="shared" si="366"/>
        <v>88.92</v>
      </c>
      <c r="AA408" s="155">
        <f t="shared" ref="AA408:AA418" si="372">Z408/13</f>
        <v>6.84</v>
      </c>
      <c r="AB408" s="155">
        <f>F408/30/7*1.5*45</f>
        <v>219.85714285714289</v>
      </c>
      <c r="AC408" s="155">
        <f t="shared" si="367"/>
        <v>17.04</v>
      </c>
      <c r="AD408" s="155"/>
      <c r="AE408" s="155">
        <f t="shared" si="368"/>
        <v>16.489999999999998</v>
      </c>
      <c r="AF408" s="155"/>
      <c r="AG408" s="155">
        <f t="shared" si="369"/>
        <v>33.53</v>
      </c>
      <c r="AH408" s="155">
        <f t="shared" si="363"/>
        <v>2.1985714285714288</v>
      </c>
      <c r="AI408" s="155"/>
      <c r="AJ408" s="155"/>
      <c r="AK408" s="155"/>
      <c r="AL408" s="155"/>
    </row>
    <row r="409" spans="1:38" ht="21.9" customHeight="1">
      <c r="A409" s="154">
        <f t="shared" si="364"/>
        <v>342</v>
      </c>
      <c r="B409" s="177" t="s">
        <v>83</v>
      </c>
      <c r="C409" s="175" t="s">
        <v>594</v>
      </c>
      <c r="D409" s="161" t="s">
        <v>79</v>
      </c>
      <c r="E409" s="163" t="s">
        <v>668</v>
      </c>
      <c r="F409" s="155">
        <v>1000</v>
      </c>
      <c r="G409" s="155">
        <f>F409*12</f>
        <v>12000</v>
      </c>
      <c r="H409" s="155">
        <v>70</v>
      </c>
      <c r="I409" s="155"/>
      <c r="J409" s="155">
        <f>F409</f>
        <v>1000</v>
      </c>
      <c r="K409" s="155">
        <v>300</v>
      </c>
      <c r="L409" s="155"/>
      <c r="M409" s="155">
        <v>125</v>
      </c>
      <c r="N409" s="155">
        <v>30</v>
      </c>
      <c r="O409" s="155">
        <v>100</v>
      </c>
      <c r="P409" s="155">
        <f t="shared" si="365"/>
        <v>1137.5</v>
      </c>
      <c r="Q409" s="155"/>
      <c r="R409" s="155">
        <f>P409/13</f>
        <v>87.5</v>
      </c>
      <c r="S409" s="155"/>
      <c r="T409" s="155"/>
      <c r="U409" s="155">
        <f t="shared" si="370"/>
        <v>975</v>
      </c>
      <c r="V409" s="155">
        <f>U409/13</f>
        <v>75</v>
      </c>
      <c r="W409" s="155"/>
      <c r="X409" s="155"/>
      <c r="Y409" s="155">
        <f t="shared" si="351"/>
        <v>2112.5</v>
      </c>
      <c r="Z409" s="155">
        <f t="shared" si="366"/>
        <v>130</v>
      </c>
      <c r="AA409" s="155">
        <f>Z409/13</f>
        <v>10</v>
      </c>
      <c r="AB409" s="155">
        <f>F409/30/7*1.5*45-0.01</f>
        <v>321.4185714285714</v>
      </c>
      <c r="AC409" s="155">
        <f t="shared" si="367"/>
        <v>24.91</v>
      </c>
      <c r="AD409" s="155"/>
      <c r="AE409" s="155">
        <f t="shared" si="368"/>
        <v>24.11</v>
      </c>
      <c r="AF409" s="155"/>
      <c r="AG409" s="155">
        <f t="shared" si="369"/>
        <v>49.019999999999996</v>
      </c>
      <c r="AH409" s="155">
        <f t="shared" si="363"/>
        <v>3.2141857142857142</v>
      </c>
      <c r="AI409" s="155"/>
      <c r="AJ409" s="155"/>
      <c r="AK409" s="155"/>
      <c r="AL409" s="155"/>
    </row>
    <row r="410" spans="1:38" ht="21.9" customHeight="1">
      <c r="A410" s="154">
        <f t="shared" si="364"/>
        <v>343</v>
      </c>
      <c r="B410" s="176" t="s">
        <v>662</v>
      </c>
      <c r="C410" s="175" t="s">
        <v>594</v>
      </c>
      <c r="D410" s="161" t="s">
        <v>79</v>
      </c>
      <c r="E410" s="163" t="s">
        <v>668</v>
      </c>
      <c r="F410" s="155">
        <f>467+30+50+50</f>
        <v>597</v>
      </c>
      <c r="G410" s="155">
        <f t="shared" si="361"/>
        <v>7164</v>
      </c>
      <c r="H410" s="155">
        <v>70</v>
      </c>
      <c r="I410" s="155"/>
      <c r="J410" s="155">
        <f t="shared" si="362"/>
        <v>597</v>
      </c>
      <c r="K410" s="155">
        <v>300</v>
      </c>
      <c r="L410" s="155"/>
      <c r="M410" s="155">
        <v>125</v>
      </c>
      <c r="N410" s="155">
        <v>30</v>
      </c>
      <c r="O410" s="155">
        <v>100</v>
      </c>
      <c r="P410" s="155">
        <f t="shared" si="365"/>
        <v>679.09</v>
      </c>
      <c r="Q410" s="226"/>
      <c r="R410" s="155">
        <f>P410/13</f>
        <v>52.237692307692313</v>
      </c>
      <c r="S410" s="155"/>
      <c r="T410" s="155"/>
      <c r="U410" s="155">
        <f t="shared" si="370"/>
        <v>582.08000000000004</v>
      </c>
      <c r="V410" s="155">
        <f>U410/13</f>
        <v>44.775384615384617</v>
      </c>
      <c r="W410" s="155"/>
      <c r="X410" s="155"/>
      <c r="Y410" s="155">
        <f t="shared" si="351"/>
        <v>1261.17</v>
      </c>
      <c r="Z410" s="155">
        <f t="shared" si="366"/>
        <v>77.61</v>
      </c>
      <c r="AA410" s="155">
        <f>Z410/13</f>
        <v>5.97</v>
      </c>
      <c r="AB410" s="155">
        <f>F410/30/7*1.5*45-0.01</f>
        <v>191.88285714285715</v>
      </c>
      <c r="AC410" s="155">
        <f t="shared" si="367"/>
        <v>14.87</v>
      </c>
      <c r="AD410" s="155"/>
      <c r="AE410" s="155">
        <f t="shared" si="368"/>
        <v>14.39</v>
      </c>
      <c r="AF410" s="155"/>
      <c r="AG410" s="155">
        <f t="shared" si="369"/>
        <v>29.259999999999998</v>
      </c>
      <c r="AH410" s="155">
        <f t="shared" si="363"/>
        <v>1.9188285714285715</v>
      </c>
      <c r="AI410" s="155"/>
      <c r="AJ410" s="155"/>
      <c r="AK410" s="155"/>
      <c r="AL410" s="155"/>
    </row>
    <row r="411" spans="1:38" ht="21.9" customHeight="1">
      <c r="A411" s="154">
        <f t="shared" si="364"/>
        <v>344</v>
      </c>
      <c r="B411" s="176" t="s">
        <v>759</v>
      </c>
      <c r="C411" s="175" t="s">
        <v>594</v>
      </c>
      <c r="D411" s="161" t="s">
        <v>79</v>
      </c>
      <c r="E411" s="163" t="s">
        <v>668</v>
      </c>
      <c r="F411" s="155">
        <f>685.15+50</f>
        <v>735.15</v>
      </c>
      <c r="G411" s="155">
        <f>F411*12</f>
        <v>8821.7999999999993</v>
      </c>
      <c r="H411" s="155">
        <v>70</v>
      </c>
      <c r="I411" s="155"/>
      <c r="J411" s="155">
        <f>F411</f>
        <v>735.15</v>
      </c>
      <c r="K411" s="155">
        <v>300</v>
      </c>
      <c r="L411" s="155"/>
      <c r="M411" s="155">
        <v>125</v>
      </c>
      <c r="N411" s="155">
        <v>30</v>
      </c>
      <c r="O411" s="155">
        <v>100</v>
      </c>
      <c r="P411" s="155">
        <f>ROUND(F411*0.0875*13,2)</f>
        <v>836.23</v>
      </c>
      <c r="Q411" s="155">
        <f>P411/13</f>
        <v>64.325384615384621</v>
      </c>
      <c r="R411" s="155"/>
      <c r="S411" s="155"/>
      <c r="T411" s="155"/>
      <c r="U411" s="155">
        <f>ROUND(F411*0.075*13,2)</f>
        <v>716.77</v>
      </c>
      <c r="V411" s="155">
        <f>U411/13</f>
        <v>55.136153846153846</v>
      </c>
      <c r="W411" s="155"/>
      <c r="X411" s="155"/>
      <c r="Y411" s="155">
        <f>P411+S411+U411+W411</f>
        <v>1553</v>
      </c>
      <c r="Z411" s="155">
        <f>ROUND(F411*0.01*13,2)</f>
        <v>95.57</v>
      </c>
      <c r="AA411" s="155">
        <f>Z411/13</f>
        <v>7.3515384615384614</v>
      </c>
      <c r="AB411" s="155">
        <f>F411/30/7*1.5*45-0.01</f>
        <v>236.2882142857143</v>
      </c>
      <c r="AC411" s="155">
        <f>ROUND(AB411*0.0775,2)</f>
        <v>18.309999999999999</v>
      </c>
      <c r="AD411" s="155"/>
      <c r="AE411" s="155">
        <f>ROUND(AB411*0.075,2)</f>
        <v>17.72</v>
      </c>
      <c r="AF411" s="155"/>
      <c r="AG411" s="155">
        <f>AC411+AD411+AE411+AF411</f>
        <v>36.03</v>
      </c>
      <c r="AH411" s="155">
        <f>AB411*0.01</f>
        <v>2.3628821428571429</v>
      </c>
      <c r="AI411" s="155"/>
      <c r="AJ411" s="155"/>
      <c r="AK411" s="155"/>
      <c r="AL411" s="155"/>
    </row>
    <row r="412" spans="1:38" ht="21.9" customHeight="1">
      <c r="A412" s="154">
        <f t="shared" si="364"/>
        <v>345</v>
      </c>
      <c r="B412" s="176" t="s">
        <v>600</v>
      </c>
      <c r="C412" s="175" t="s">
        <v>594</v>
      </c>
      <c r="D412" s="161" t="s">
        <v>79</v>
      </c>
      <c r="E412" s="163" t="s">
        <v>668</v>
      </c>
      <c r="F412" s="155">
        <v>700</v>
      </c>
      <c r="G412" s="155">
        <f t="shared" si="361"/>
        <v>8400</v>
      </c>
      <c r="H412" s="155">
        <v>70</v>
      </c>
      <c r="I412" s="155"/>
      <c r="J412" s="155">
        <f t="shared" si="362"/>
        <v>700</v>
      </c>
      <c r="K412" s="155">
        <v>300</v>
      </c>
      <c r="L412" s="155"/>
      <c r="M412" s="155"/>
      <c r="N412" s="155">
        <v>30</v>
      </c>
      <c r="O412" s="155">
        <v>100</v>
      </c>
      <c r="P412" s="155">
        <f t="shared" si="365"/>
        <v>796.25</v>
      </c>
      <c r="Q412" s="155">
        <f>P412/13</f>
        <v>61.25</v>
      </c>
      <c r="R412" s="155"/>
      <c r="S412" s="155"/>
      <c r="T412" s="155"/>
      <c r="U412" s="155">
        <f t="shared" si="370"/>
        <v>682.5</v>
      </c>
      <c r="V412" s="155">
        <f>U412/13</f>
        <v>52.5</v>
      </c>
      <c r="W412" s="155"/>
      <c r="X412" s="155"/>
      <c r="Y412" s="155">
        <f t="shared" si="351"/>
        <v>1478.75</v>
      </c>
      <c r="Z412" s="155">
        <f t="shared" si="366"/>
        <v>91</v>
      </c>
      <c r="AA412" s="155">
        <f>Z412/13</f>
        <v>7</v>
      </c>
      <c r="AB412" s="155">
        <f t="shared" ref="AB412:AB426" si="373">F412/30/7*1.5*45</f>
        <v>225</v>
      </c>
      <c r="AC412" s="155">
        <f t="shared" si="367"/>
        <v>17.440000000000001</v>
      </c>
      <c r="AD412" s="155"/>
      <c r="AE412" s="155">
        <f t="shared" si="368"/>
        <v>16.88</v>
      </c>
      <c r="AF412" s="155"/>
      <c r="AG412" s="155">
        <f t="shared" si="369"/>
        <v>34.32</v>
      </c>
      <c r="AH412" s="155">
        <f t="shared" si="363"/>
        <v>2.25</v>
      </c>
      <c r="AI412" s="155"/>
      <c r="AJ412" s="155"/>
      <c r="AK412" s="155"/>
      <c r="AL412" s="155"/>
    </row>
    <row r="413" spans="1:38" ht="21.9" customHeight="1">
      <c r="A413" s="154">
        <f t="shared" si="364"/>
        <v>346</v>
      </c>
      <c r="B413" s="176" t="s">
        <v>600</v>
      </c>
      <c r="C413" s="175" t="s">
        <v>594</v>
      </c>
      <c r="D413" s="161" t="s">
        <v>79</v>
      </c>
      <c r="E413" s="163" t="s">
        <v>668</v>
      </c>
      <c r="F413" s="155">
        <f>554+30+50+50</f>
        <v>684</v>
      </c>
      <c r="G413" s="155">
        <f t="shared" si="361"/>
        <v>8208</v>
      </c>
      <c r="H413" s="155">
        <v>70</v>
      </c>
      <c r="I413" s="155"/>
      <c r="J413" s="155">
        <f t="shared" si="362"/>
        <v>684</v>
      </c>
      <c r="K413" s="155">
        <v>300</v>
      </c>
      <c r="L413" s="155"/>
      <c r="M413" s="155">
        <v>125</v>
      </c>
      <c r="N413" s="155">
        <v>30</v>
      </c>
      <c r="O413" s="155">
        <v>100</v>
      </c>
      <c r="P413" s="155">
        <f t="shared" si="365"/>
        <v>778.05</v>
      </c>
      <c r="Q413" s="226"/>
      <c r="R413" s="155">
        <f>P413/13</f>
        <v>59.849999999999994</v>
      </c>
      <c r="S413" s="155"/>
      <c r="T413" s="155"/>
      <c r="U413" s="155">
        <f t="shared" si="370"/>
        <v>666.9</v>
      </c>
      <c r="V413" s="155">
        <f t="shared" si="371"/>
        <v>51.3</v>
      </c>
      <c r="W413" s="155"/>
      <c r="X413" s="155"/>
      <c r="Y413" s="155">
        <f t="shared" si="351"/>
        <v>1444.9499999999998</v>
      </c>
      <c r="Z413" s="155">
        <f t="shared" si="366"/>
        <v>88.92</v>
      </c>
      <c r="AA413" s="155">
        <f t="shared" si="372"/>
        <v>6.84</v>
      </c>
      <c r="AB413" s="155">
        <f t="shared" si="373"/>
        <v>219.85714285714289</v>
      </c>
      <c r="AC413" s="155">
        <f t="shared" si="367"/>
        <v>17.04</v>
      </c>
      <c r="AD413" s="155"/>
      <c r="AE413" s="155">
        <f t="shared" si="368"/>
        <v>16.489999999999998</v>
      </c>
      <c r="AF413" s="155"/>
      <c r="AG413" s="155">
        <f t="shared" si="369"/>
        <v>33.53</v>
      </c>
      <c r="AH413" s="155">
        <f t="shared" si="363"/>
        <v>2.1985714285714288</v>
      </c>
      <c r="AI413" s="155"/>
      <c r="AJ413" s="155"/>
      <c r="AK413" s="155"/>
      <c r="AL413" s="155"/>
    </row>
    <row r="414" spans="1:38" ht="21.9" customHeight="1">
      <c r="A414" s="154">
        <f t="shared" si="364"/>
        <v>347</v>
      </c>
      <c r="B414" s="176" t="s">
        <v>600</v>
      </c>
      <c r="C414" s="175" t="s">
        <v>594</v>
      </c>
      <c r="D414" s="161" t="s">
        <v>79</v>
      </c>
      <c r="E414" s="163" t="s">
        <v>668</v>
      </c>
      <c r="F414" s="155">
        <f>554+30+50+50</f>
        <v>684</v>
      </c>
      <c r="G414" s="155">
        <f t="shared" si="361"/>
        <v>8208</v>
      </c>
      <c r="H414" s="155">
        <v>70</v>
      </c>
      <c r="I414" s="155"/>
      <c r="J414" s="155">
        <f t="shared" si="362"/>
        <v>684</v>
      </c>
      <c r="K414" s="155">
        <v>300</v>
      </c>
      <c r="L414" s="155"/>
      <c r="M414" s="155">
        <v>125</v>
      </c>
      <c r="N414" s="155">
        <v>30</v>
      </c>
      <c r="O414" s="155">
        <v>100</v>
      </c>
      <c r="P414" s="155">
        <f t="shared" si="365"/>
        <v>778.05</v>
      </c>
      <c r="Q414" s="155">
        <f>P414/13</f>
        <v>59.849999999999994</v>
      </c>
      <c r="R414" s="155"/>
      <c r="S414" s="155"/>
      <c r="T414" s="155"/>
      <c r="U414" s="155">
        <f t="shared" si="370"/>
        <v>666.9</v>
      </c>
      <c r="V414" s="155">
        <f t="shared" si="371"/>
        <v>51.3</v>
      </c>
      <c r="W414" s="155"/>
      <c r="X414" s="155"/>
      <c r="Y414" s="155">
        <f t="shared" si="351"/>
        <v>1444.9499999999998</v>
      </c>
      <c r="Z414" s="155">
        <f t="shared" si="366"/>
        <v>88.92</v>
      </c>
      <c r="AA414" s="155">
        <f t="shared" si="372"/>
        <v>6.84</v>
      </c>
      <c r="AB414" s="155">
        <f t="shared" si="373"/>
        <v>219.85714285714289</v>
      </c>
      <c r="AC414" s="155">
        <f t="shared" si="367"/>
        <v>17.04</v>
      </c>
      <c r="AD414" s="155"/>
      <c r="AE414" s="155">
        <f t="shared" si="368"/>
        <v>16.489999999999998</v>
      </c>
      <c r="AF414" s="155"/>
      <c r="AG414" s="155">
        <f t="shared" si="369"/>
        <v>33.53</v>
      </c>
      <c r="AH414" s="155">
        <f t="shared" si="363"/>
        <v>2.1985714285714288</v>
      </c>
      <c r="AI414" s="155"/>
      <c r="AJ414" s="155"/>
      <c r="AK414" s="155"/>
      <c r="AL414" s="155"/>
    </row>
    <row r="415" spans="1:38" ht="21.9" customHeight="1">
      <c r="A415" s="154">
        <f t="shared" si="364"/>
        <v>348</v>
      </c>
      <c r="B415" s="176" t="s">
        <v>604</v>
      </c>
      <c r="C415" s="175" t="s">
        <v>594</v>
      </c>
      <c r="D415" s="161" t="s">
        <v>79</v>
      </c>
      <c r="E415" s="163" t="s">
        <v>668</v>
      </c>
      <c r="F415" s="155">
        <f>467+50</f>
        <v>517</v>
      </c>
      <c r="G415" s="155">
        <f>F415*12</f>
        <v>6204</v>
      </c>
      <c r="H415" s="155">
        <v>70</v>
      </c>
      <c r="I415" s="155"/>
      <c r="J415" s="155">
        <f t="shared" si="362"/>
        <v>517</v>
      </c>
      <c r="K415" s="155">
        <v>300</v>
      </c>
      <c r="L415" s="155"/>
      <c r="M415" s="155"/>
      <c r="N415" s="155">
        <v>30</v>
      </c>
      <c r="O415" s="155">
        <v>100</v>
      </c>
      <c r="P415" s="155">
        <f t="shared" si="365"/>
        <v>588.09</v>
      </c>
      <c r="Q415" s="155"/>
      <c r="R415" s="155">
        <f>P415/13</f>
        <v>45.237692307692313</v>
      </c>
      <c r="S415" s="155"/>
      <c r="T415" s="155"/>
      <c r="U415" s="155">
        <f t="shared" si="370"/>
        <v>504.08</v>
      </c>
      <c r="V415" s="155">
        <f>U415/13</f>
        <v>38.775384615384617</v>
      </c>
      <c r="W415" s="155"/>
      <c r="X415" s="155"/>
      <c r="Y415" s="155">
        <f t="shared" si="351"/>
        <v>1092.17</v>
      </c>
      <c r="Z415" s="155">
        <f t="shared" si="366"/>
        <v>67.209999999999994</v>
      </c>
      <c r="AA415" s="155">
        <f>Z415/13</f>
        <v>5.17</v>
      </c>
      <c r="AB415" s="155">
        <f t="shared" si="373"/>
        <v>166.17857142857144</v>
      </c>
      <c r="AC415" s="155">
        <f t="shared" si="367"/>
        <v>12.88</v>
      </c>
      <c r="AD415" s="155"/>
      <c r="AE415" s="155">
        <f t="shared" si="368"/>
        <v>12.46</v>
      </c>
      <c r="AF415" s="155"/>
      <c r="AG415" s="155">
        <f t="shared" si="369"/>
        <v>25.340000000000003</v>
      </c>
      <c r="AH415" s="155">
        <f t="shared" si="363"/>
        <v>1.6617857142857144</v>
      </c>
      <c r="AI415" s="155"/>
      <c r="AJ415" s="155"/>
      <c r="AK415" s="155"/>
      <c r="AL415" s="155"/>
    </row>
    <row r="416" spans="1:38" ht="21.9" customHeight="1">
      <c r="A416" s="154">
        <f t="shared" si="364"/>
        <v>349</v>
      </c>
      <c r="B416" s="191" t="s">
        <v>606</v>
      </c>
      <c r="C416" s="175" t="s">
        <v>594</v>
      </c>
      <c r="D416" s="161" t="s">
        <v>79</v>
      </c>
      <c r="E416" s="163" t="s">
        <v>668</v>
      </c>
      <c r="F416" s="155">
        <f>417+50</f>
        <v>467</v>
      </c>
      <c r="G416" s="155">
        <f>F416*12</f>
        <v>5604</v>
      </c>
      <c r="H416" s="155">
        <v>70</v>
      </c>
      <c r="I416" s="155"/>
      <c r="J416" s="155">
        <f t="shared" si="362"/>
        <v>467</v>
      </c>
      <c r="K416" s="155">
        <v>300</v>
      </c>
      <c r="L416" s="155"/>
      <c r="M416" s="155">
        <v>125</v>
      </c>
      <c r="N416" s="155">
        <v>30</v>
      </c>
      <c r="O416" s="155">
        <v>100</v>
      </c>
      <c r="P416" s="155">
        <f t="shared" si="365"/>
        <v>531.21</v>
      </c>
      <c r="Q416" s="155"/>
      <c r="R416" s="155">
        <f>P416/13</f>
        <v>40.862307692307695</v>
      </c>
      <c r="S416" s="155"/>
      <c r="T416" s="155"/>
      <c r="U416" s="155">
        <f t="shared" si="370"/>
        <v>455.33</v>
      </c>
      <c r="V416" s="155">
        <f>U416/13</f>
        <v>35.025384615384617</v>
      </c>
      <c r="W416" s="155"/>
      <c r="X416" s="155"/>
      <c r="Y416" s="155">
        <f t="shared" si="351"/>
        <v>986.54</v>
      </c>
      <c r="Z416" s="155">
        <f t="shared" si="366"/>
        <v>60.71</v>
      </c>
      <c r="AA416" s="155">
        <f>Z416/13</f>
        <v>4.67</v>
      </c>
      <c r="AB416" s="155">
        <f t="shared" si="373"/>
        <v>150.10714285714286</v>
      </c>
      <c r="AC416" s="155">
        <f t="shared" si="367"/>
        <v>11.63</v>
      </c>
      <c r="AD416" s="155"/>
      <c r="AE416" s="155">
        <f t="shared" si="368"/>
        <v>11.26</v>
      </c>
      <c r="AF416" s="155"/>
      <c r="AG416" s="155">
        <f t="shared" si="369"/>
        <v>22.89</v>
      </c>
      <c r="AH416" s="155">
        <f t="shared" si="363"/>
        <v>1.5010714285714286</v>
      </c>
      <c r="AI416" s="155"/>
      <c r="AJ416" s="155"/>
      <c r="AK416" s="155"/>
      <c r="AL416" s="155"/>
    </row>
    <row r="417" spans="1:38" ht="21.9" customHeight="1">
      <c r="A417" s="154">
        <f t="shared" si="364"/>
        <v>350</v>
      </c>
      <c r="B417" s="176" t="s">
        <v>549</v>
      </c>
      <c r="C417" s="175" t="s">
        <v>594</v>
      </c>
      <c r="D417" s="161" t="s">
        <v>79</v>
      </c>
      <c r="E417" s="163" t="s">
        <v>668</v>
      </c>
      <c r="F417" s="155">
        <f>467+30+50+50</f>
        <v>597</v>
      </c>
      <c r="G417" s="155">
        <f>F417*12</f>
        <v>7164</v>
      </c>
      <c r="H417" s="155">
        <v>70</v>
      </c>
      <c r="I417" s="155"/>
      <c r="J417" s="155">
        <f t="shared" si="362"/>
        <v>597</v>
      </c>
      <c r="K417" s="155">
        <v>300</v>
      </c>
      <c r="L417" s="155"/>
      <c r="M417" s="155">
        <v>125</v>
      </c>
      <c r="N417" s="155">
        <v>30</v>
      </c>
      <c r="O417" s="155">
        <v>100</v>
      </c>
      <c r="P417" s="155">
        <f t="shared" si="365"/>
        <v>679.09</v>
      </c>
      <c r="Q417" s="155">
        <f>P417/13</f>
        <v>52.237692307692313</v>
      </c>
      <c r="R417" s="155"/>
      <c r="S417" s="155"/>
      <c r="T417" s="155"/>
      <c r="U417" s="155">
        <f t="shared" si="370"/>
        <v>582.08000000000004</v>
      </c>
      <c r="V417" s="155">
        <f t="shared" si="371"/>
        <v>44.775384615384617</v>
      </c>
      <c r="W417" s="155"/>
      <c r="X417" s="155"/>
      <c r="Y417" s="155">
        <f t="shared" si="351"/>
        <v>1261.17</v>
      </c>
      <c r="Z417" s="155">
        <f t="shared" si="366"/>
        <v>77.61</v>
      </c>
      <c r="AA417" s="155">
        <f t="shared" si="372"/>
        <v>5.97</v>
      </c>
      <c r="AB417" s="155">
        <f t="shared" si="373"/>
        <v>191.89285714285714</v>
      </c>
      <c r="AC417" s="155">
        <f t="shared" si="367"/>
        <v>14.87</v>
      </c>
      <c r="AD417" s="155"/>
      <c r="AE417" s="155">
        <f t="shared" si="368"/>
        <v>14.39</v>
      </c>
      <c r="AF417" s="155"/>
      <c r="AG417" s="155">
        <f t="shared" si="369"/>
        <v>29.259999999999998</v>
      </c>
      <c r="AH417" s="155">
        <f t="shared" ref="AH417:AH422" si="374">AB417*0.01</f>
        <v>1.9189285714285713</v>
      </c>
      <c r="AI417" s="155"/>
      <c r="AJ417" s="155"/>
      <c r="AK417" s="155"/>
      <c r="AL417" s="155"/>
    </row>
    <row r="418" spans="1:38" ht="21.9" customHeight="1">
      <c r="A418" s="154">
        <f t="shared" si="364"/>
        <v>351</v>
      </c>
      <c r="B418" s="176" t="s">
        <v>549</v>
      </c>
      <c r="C418" s="175" t="s">
        <v>594</v>
      </c>
      <c r="D418" s="161" t="s">
        <v>79</v>
      </c>
      <c r="E418" s="163" t="s">
        <v>668</v>
      </c>
      <c r="F418" s="155">
        <f>467+30+50+50</f>
        <v>597</v>
      </c>
      <c r="G418" s="155">
        <f t="shared" si="361"/>
        <v>7164</v>
      </c>
      <c r="H418" s="155">
        <v>70</v>
      </c>
      <c r="I418" s="155"/>
      <c r="J418" s="155">
        <f t="shared" si="362"/>
        <v>597</v>
      </c>
      <c r="K418" s="155">
        <v>300</v>
      </c>
      <c r="L418" s="155"/>
      <c r="M418" s="155">
        <v>125</v>
      </c>
      <c r="N418" s="155">
        <v>30</v>
      </c>
      <c r="O418" s="155">
        <v>100</v>
      </c>
      <c r="P418" s="155">
        <f t="shared" si="365"/>
        <v>679.09</v>
      </c>
      <c r="Q418" s="155">
        <f>P418/13</f>
        <v>52.237692307692313</v>
      </c>
      <c r="R418" s="155"/>
      <c r="S418" s="155"/>
      <c r="T418" s="155"/>
      <c r="U418" s="155">
        <f t="shared" si="370"/>
        <v>582.08000000000004</v>
      </c>
      <c r="V418" s="155">
        <f t="shared" si="371"/>
        <v>44.775384615384617</v>
      </c>
      <c r="W418" s="155"/>
      <c r="X418" s="155"/>
      <c r="Y418" s="155">
        <f t="shared" si="351"/>
        <v>1261.17</v>
      </c>
      <c r="Z418" s="155">
        <f t="shared" si="366"/>
        <v>77.61</v>
      </c>
      <c r="AA418" s="155">
        <f t="shared" si="372"/>
        <v>5.97</v>
      </c>
      <c r="AB418" s="155">
        <f t="shared" si="373"/>
        <v>191.89285714285714</v>
      </c>
      <c r="AC418" s="155">
        <f t="shared" si="367"/>
        <v>14.87</v>
      </c>
      <c r="AD418" s="155"/>
      <c r="AE418" s="155">
        <f t="shared" si="368"/>
        <v>14.39</v>
      </c>
      <c r="AF418" s="155"/>
      <c r="AG418" s="155">
        <f t="shared" si="369"/>
        <v>29.259999999999998</v>
      </c>
      <c r="AH418" s="155">
        <f t="shared" si="374"/>
        <v>1.9189285714285713</v>
      </c>
      <c r="AI418" s="155"/>
      <c r="AJ418" s="155"/>
      <c r="AK418" s="155"/>
      <c r="AL418" s="155"/>
    </row>
    <row r="419" spans="1:38" ht="21.9" customHeight="1">
      <c r="A419" s="154">
        <f t="shared" si="364"/>
        <v>352</v>
      </c>
      <c r="B419" s="176" t="s">
        <v>549</v>
      </c>
      <c r="C419" s="175" t="s">
        <v>594</v>
      </c>
      <c r="D419" s="161" t="s">
        <v>79</v>
      </c>
      <c r="E419" s="163" t="s">
        <v>668</v>
      </c>
      <c r="F419" s="155">
        <f>467+30+50+50</f>
        <v>597</v>
      </c>
      <c r="G419" s="155">
        <f>F419*12</f>
        <v>7164</v>
      </c>
      <c r="H419" s="155">
        <v>70</v>
      </c>
      <c r="I419" s="155"/>
      <c r="J419" s="155">
        <f t="shared" si="362"/>
        <v>597</v>
      </c>
      <c r="K419" s="155">
        <v>300</v>
      </c>
      <c r="L419" s="155"/>
      <c r="M419" s="155">
        <v>125</v>
      </c>
      <c r="N419" s="155">
        <v>30</v>
      </c>
      <c r="O419" s="155">
        <v>100</v>
      </c>
      <c r="P419" s="155">
        <f t="shared" si="365"/>
        <v>679.09</v>
      </c>
      <c r="Q419" s="155">
        <f>P419/13</f>
        <v>52.237692307692313</v>
      </c>
      <c r="R419" s="155"/>
      <c r="S419" s="155"/>
      <c r="T419" s="155"/>
      <c r="U419" s="155">
        <f t="shared" si="370"/>
        <v>582.08000000000004</v>
      </c>
      <c r="V419" s="155">
        <f t="shared" ref="V419:V426" si="375">U419/13</f>
        <v>44.775384615384617</v>
      </c>
      <c r="W419" s="155"/>
      <c r="X419" s="155"/>
      <c r="Y419" s="155">
        <f t="shared" si="351"/>
        <v>1261.17</v>
      </c>
      <c r="Z419" s="155">
        <f t="shared" si="366"/>
        <v>77.61</v>
      </c>
      <c r="AA419" s="155">
        <f t="shared" ref="AA419:AA426" si="376">Z419/13</f>
        <v>5.97</v>
      </c>
      <c r="AB419" s="155">
        <f t="shared" si="373"/>
        <v>191.89285714285714</v>
      </c>
      <c r="AC419" s="155">
        <f t="shared" si="367"/>
        <v>14.87</v>
      </c>
      <c r="AD419" s="155"/>
      <c r="AE419" s="155">
        <f t="shared" si="368"/>
        <v>14.39</v>
      </c>
      <c r="AF419" s="155"/>
      <c r="AG419" s="155">
        <f t="shared" si="369"/>
        <v>29.259999999999998</v>
      </c>
      <c r="AH419" s="155">
        <f t="shared" si="374"/>
        <v>1.9189285714285713</v>
      </c>
      <c r="AI419" s="155"/>
      <c r="AJ419" s="155"/>
      <c r="AK419" s="155"/>
      <c r="AL419" s="155"/>
    </row>
    <row r="420" spans="1:38" ht="21.9" customHeight="1">
      <c r="A420" s="154">
        <f t="shared" si="364"/>
        <v>353</v>
      </c>
      <c r="B420" s="176" t="s">
        <v>549</v>
      </c>
      <c r="C420" s="175" t="s">
        <v>594</v>
      </c>
      <c r="D420" s="161" t="s">
        <v>79</v>
      </c>
      <c r="E420" s="163" t="s">
        <v>668</v>
      </c>
      <c r="F420" s="155">
        <f>467+30+50+50</f>
        <v>597</v>
      </c>
      <c r="G420" s="155">
        <f>F420*12</f>
        <v>7164</v>
      </c>
      <c r="H420" s="155">
        <v>70</v>
      </c>
      <c r="I420" s="155"/>
      <c r="J420" s="155">
        <f>F420</f>
        <v>597</v>
      </c>
      <c r="K420" s="155">
        <v>300</v>
      </c>
      <c r="L420" s="155"/>
      <c r="M420" s="155">
        <v>125</v>
      </c>
      <c r="N420" s="155">
        <v>30</v>
      </c>
      <c r="O420" s="155">
        <v>100</v>
      </c>
      <c r="P420" s="155"/>
      <c r="Q420" s="155"/>
      <c r="R420" s="155"/>
      <c r="S420" s="155"/>
      <c r="T420" s="155"/>
      <c r="U420" s="155">
        <f t="shared" si="370"/>
        <v>582.08000000000004</v>
      </c>
      <c r="V420" s="155">
        <f t="shared" si="375"/>
        <v>44.775384615384617</v>
      </c>
      <c r="W420" s="155">
        <f>ROUND(F420*0.06*13,2)</f>
        <v>465.66</v>
      </c>
      <c r="X420" s="155">
        <f>W420/12</f>
        <v>38.805</v>
      </c>
      <c r="Y420" s="155">
        <f t="shared" si="351"/>
        <v>1047.74</v>
      </c>
      <c r="Z420" s="155">
        <f t="shared" si="366"/>
        <v>77.61</v>
      </c>
      <c r="AA420" s="155">
        <f t="shared" si="376"/>
        <v>5.97</v>
      </c>
      <c r="AB420" s="155">
        <f t="shared" si="373"/>
        <v>191.89285714285714</v>
      </c>
      <c r="AC420" s="155"/>
      <c r="AD420" s="155"/>
      <c r="AE420" s="155">
        <f t="shared" si="368"/>
        <v>14.39</v>
      </c>
      <c r="AF420" s="155">
        <f>AB420*0.06</f>
        <v>11.513571428571428</v>
      </c>
      <c r="AG420" s="155">
        <f t="shared" si="369"/>
        <v>25.903571428571428</v>
      </c>
      <c r="AH420" s="155">
        <f>AB420*0.01</f>
        <v>1.9189285714285713</v>
      </c>
      <c r="AI420" s="225"/>
      <c r="AJ420" s="225"/>
      <c r="AK420" s="155"/>
      <c r="AL420" s="155"/>
    </row>
    <row r="421" spans="1:38" ht="21.9" customHeight="1">
      <c r="A421" s="154">
        <f t="shared" si="364"/>
        <v>354</v>
      </c>
      <c r="B421" s="176" t="s">
        <v>551</v>
      </c>
      <c r="C421" s="175" t="s">
        <v>594</v>
      </c>
      <c r="D421" s="161" t="s">
        <v>79</v>
      </c>
      <c r="E421" s="163" t="s">
        <v>668</v>
      </c>
      <c r="F421" s="155">
        <f>417+30+50+50</f>
        <v>547</v>
      </c>
      <c r="G421" s="155">
        <f>F421*12</f>
        <v>6564</v>
      </c>
      <c r="H421" s="155">
        <v>70</v>
      </c>
      <c r="I421" s="155"/>
      <c r="J421" s="155">
        <f t="shared" si="362"/>
        <v>547</v>
      </c>
      <c r="K421" s="155">
        <v>300</v>
      </c>
      <c r="L421" s="155"/>
      <c r="M421" s="155">
        <v>125</v>
      </c>
      <c r="N421" s="155">
        <v>30</v>
      </c>
      <c r="O421" s="155">
        <v>100</v>
      </c>
      <c r="P421" s="155">
        <f t="shared" si="365"/>
        <v>622.21</v>
      </c>
      <c r="Q421" s="155">
        <f>P421/13</f>
        <v>47.862307692307695</v>
      </c>
      <c r="R421" s="155"/>
      <c r="S421" s="155"/>
      <c r="T421" s="155"/>
      <c r="U421" s="155">
        <f t="shared" si="370"/>
        <v>533.33000000000004</v>
      </c>
      <c r="V421" s="155">
        <f t="shared" si="375"/>
        <v>41.025384615384617</v>
      </c>
      <c r="W421" s="155"/>
      <c r="X421" s="155"/>
      <c r="Y421" s="155">
        <f t="shared" si="351"/>
        <v>1155.54</v>
      </c>
      <c r="Z421" s="155">
        <f t="shared" si="366"/>
        <v>71.11</v>
      </c>
      <c r="AA421" s="155">
        <f t="shared" si="376"/>
        <v>5.47</v>
      </c>
      <c r="AB421" s="155">
        <f t="shared" si="373"/>
        <v>175.82142857142858</v>
      </c>
      <c r="AC421" s="155">
        <f t="shared" si="367"/>
        <v>13.63</v>
      </c>
      <c r="AD421" s="155"/>
      <c r="AE421" s="155">
        <f t="shared" si="368"/>
        <v>13.19</v>
      </c>
      <c r="AF421" s="155"/>
      <c r="AG421" s="155">
        <f t="shared" si="369"/>
        <v>26.82</v>
      </c>
      <c r="AH421" s="155">
        <f t="shared" si="374"/>
        <v>1.758214285714286</v>
      </c>
      <c r="AI421" s="155"/>
      <c r="AJ421" s="155"/>
      <c r="AK421" s="155"/>
      <c r="AL421" s="155"/>
    </row>
    <row r="422" spans="1:38" ht="21.9" customHeight="1">
      <c r="A422" s="154">
        <f t="shared" si="364"/>
        <v>355</v>
      </c>
      <c r="B422" s="177" t="s">
        <v>554</v>
      </c>
      <c r="C422" s="175" t="s">
        <v>594</v>
      </c>
      <c r="D422" s="161" t="s">
        <v>79</v>
      </c>
      <c r="E422" s="163" t="s">
        <v>668</v>
      </c>
      <c r="F422" s="155">
        <f>417+50</f>
        <v>467</v>
      </c>
      <c r="G422" s="155">
        <f>F422*12</f>
        <v>5604</v>
      </c>
      <c r="H422" s="155">
        <v>70</v>
      </c>
      <c r="I422" s="155"/>
      <c r="J422" s="155">
        <f t="shared" si="362"/>
        <v>467</v>
      </c>
      <c r="K422" s="155">
        <v>300</v>
      </c>
      <c r="L422" s="155"/>
      <c r="M422" s="155">
        <v>125</v>
      </c>
      <c r="N422" s="155">
        <v>30</v>
      </c>
      <c r="O422" s="155">
        <v>100</v>
      </c>
      <c r="P422" s="155">
        <f t="shared" si="365"/>
        <v>531.21</v>
      </c>
      <c r="Q422" s="155"/>
      <c r="R422" s="155">
        <f>P422/13</f>
        <v>40.862307692307695</v>
      </c>
      <c r="S422" s="155"/>
      <c r="T422" s="155"/>
      <c r="U422" s="155">
        <f t="shared" si="370"/>
        <v>455.33</v>
      </c>
      <c r="V422" s="155">
        <f t="shared" si="375"/>
        <v>35.025384615384617</v>
      </c>
      <c r="W422" s="155"/>
      <c r="X422" s="155"/>
      <c r="Y422" s="155">
        <f t="shared" si="351"/>
        <v>986.54</v>
      </c>
      <c r="Z422" s="155">
        <f t="shared" si="366"/>
        <v>60.71</v>
      </c>
      <c r="AA422" s="155">
        <f t="shared" si="376"/>
        <v>4.67</v>
      </c>
      <c r="AB422" s="155">
        <f t="shared" si="373"/>
        <v>150.10714285714286</v>
      </c>
      <c r="AC422" s="155">
        <f t="shared" si="367"/>
        <v>11.63</v>
      </c>
      <c r="AD422" s="155"/>
      <c r="AE422" s="155">
        <f t="shared" si="368"/>
        <v>11.26</v>
      </c>
      <c r="AF422" s="155"/>
      <c r="AG422" s="155">
        <f t="shared" si="369"/>
        <v>22.89</v>
      </c>
      <c r="AH422" s="155">
        <f t="shared" si="374"/>
        <v>1.5010714285714286</v>
      </c>
      <c r="AI422" s="155"/>
      <c r="AJ422" s="155"/>
      <c r="AK422" s="155"/>
      <c r="AL422" s="155"/>
    </row>
    <row r="423" spans="1:38" ht="21.9" customHeight="1">
      <c r="A423" s="154">
        <f t="shared" si="364"/>
        <v>356</v>
      </c>
      <c r="B423" s="177" t="s">
        <v>613</v>
      </c>
      <c r="C423" s="175" t="s">
        <v>594</v>
      </c>
      <c r="D423" s="161" t="s">
        <v>79</v>
      </c>
      <c r="E423" s="163" t="s">
        <v>668</v>
      </c>
      <c r="F423" s="155">
        <f>417</f>
        <v>417</v>
      </c>
      <c r="G423" s="155">
        <f t="shared" si="361"/>
        <v>5004</v>
      </c>
      <c r="H423" s="155">
        <v>70</v>
      </c>
      <c r="I423" s="155"/>
      <c r="J423" s="155">
        <f t="shared" si="362"/>
        <v>417</v>
      </c>
      <c r="K423" s="155">
        <v>300</v>
      </c>
      <c r="L423" s="155"/>
      <c r="M423" s="155">
        <v>125</v>
      </c>
      <c r="N423" s="155">
        <v>30</v>
      </c>
      <c r="O423" s="155">
        <v>100</v>
      </c>
      <c r="P423" s="155">
        <f t="shared" si="365"/>
        <v>474.34</v>
      </c>
      <c r="Q423" s="155">
        <f>P423/13</f>
        <v>36.487692307692306</v>
      </c>
      <c r="R423" s="155"/>
      <c r="S423" s="155"/>
      <c r="T423" s="155"/>
      <c r="U423" s="155">
        <f t="shared" si="370"/>
        <v>406.58</v>
      </c>
      <c r="V423" s="155">
        <f t="shared" si="375"/>
        <v>31.275384615384613</v>
      </c>
      <c r="W423" s="155"/>
      <c r="X423" s="155"/>
      <c r="Y423" s="155">
        <f t="shared" si="351"/>
        <v>880.92</v>
      </c>
      <c r="Z423" s="155">
        <f t="shared" si="366"/>
        <v>54.21</v>
      </c>
      <c r="AA423" s="155">
        <f t="shared" si="376"/>
        <v>4.17</v>
      </c>
      <c r="AB423" s="155">
        <f t="shared" si="373"/>
        <v>134.03571428571428</v>
      </c>
      <c r="AC423" s="155">
        <f t="shared" si="367"/>
        <v>10.39</v>
      </c>
      <c r="AD423" s="155"/>
      <c r="AE423" s="155">
        <f t="shared" si="368"/>
        <v>10.050000000000001</v>
      </c>
      <c r="AF423" s="155"/>
      <c r="AG423" s="155">
        <f t="shared" si="369"/>
        <v>20.440000000000001</v>
      </c>
      <c r="AH423" s="155">
        <f>AB423*0.01</f>
        <v>1.3403571428571428</v>
      </c>
      <c r="AI423" s="155"/>
      <c r="AJ423" s="155"/>
      <c r="AK423" s="155"/>
      <c r="AL423" s="155"/>
    </row>
    <row r="424" spans="1:38" ht="21.9" customHeight="1">
      <c r="A424" s="154">
        <f t="shared" si="364"/>
        <v>357</v>
      </c>
      <c r="B424" s="176" t="s">
        <v>679</v>
      </c>
      <c r="C424" s="175" t="s">
        <v>594</v>
      </c>
      <c r="D424" s="161" t="s">
        <v>79</v>
      </c>
      <c r="E424" s="163" t="s">
        <v>668</v>
      </c>
      <c r="F424" s="155">
        <f>650+50</f>
        <v>700</v>
      </c>
      <c r="G424" s="155">
        <f>F424*12</f>
        <v>8400</v>
      </c>
      <c r="H424" s="155">
        <v>70</v>
      </c>
      <c r="I424" s="155"/>
      <c r="J424" s="155">
        <f>F424</f>
        <v>700</v>
      </c>
      <c r="K424" s="155">
        <v>300</v>
      </c>
      <c r="L424" s="155"/>
      <c r="M424" s="155"/>
      <c r="N424" s="155">
        <v>30</v>
      </c>
      <c r="O424" s="155">
        <v>100</v>
      </c>
      <c r="P424" s="155">
        <f t="shared" si="365"/>
        <v>796.25</v>
      </c>
      <c r="Q424" s="155">
        <f>P424/13</f>
        <v>61.25</v>
      </c>
      <c r="R424" s="280"/>
      <c r="S424" s="155"/>
      <c r="T424" s="155"/>
      <c r="U424" s="155">
        <f t="shared" si="370"/>
        <v>682.5</v>
      </c>
      <c r="V424" s="155">
        <f t="shared" si="375"/>
        <v>52.5</v>
      </c>
      <c r="W424" s="155"/>
      <c r="X424" s="155"/>
      <c r="Y424" s="155">
        <f t="shared" si="351"/>
        <v>1478.75</v>
      </c>
      <c r="Z424" s="155">
        <f t="shared" si="366"/>
        <v>91</v>
      </c>
      <c r="AA424" s="155">
        <f t="shared" si="376"/>
        <v>7</v>
      </c>
      <c r="AB424" s="155">
        <f t="shared" si="373"/>
        <v>225</v>
      </c>
      <c r="AC424" s="155">
        <f t="shared" si="367"/>
        <v>17.440000000000001</v>
      </c>
      <c r="AD424" s="155"/>
      <c r="AE424" s="155">
        <f t="shared" si="368"/>
        <v>16.88</v>
      </c>
      <c r="AF424" s="155"/>
      <c r="AG424" s="155">
        <f t="shared" si="369"/>
        <v>34.32</v>
      </c>
      <c r="AH424" s="155">
        <f>AB424*0.01</f>
        <v>2.25</v>
      </c>
      <c r="AI424" s="155"/>
      <c r="AJ424" s="155"/>
      <c r="AK424" s="155"/>
      <c r="AL424" s="155"/>
    </row>
    <row r="425" spans="1:38" ht="21.9" customHeight="1">
      <c r="A425" s="154">
        <f t="shared" si="364"/>
        <v>358</v>
      </c>
      <c r="B425" s="176" t="s">
        <v>699</v>
      </c>
      <c r="C425" s="175" t="s">
        <v>594</v>
      </c>
      <c r="D425" s="161" t="s">
        <v>79</v>
      </c>
      <c r="E425" s="163" t="s">
        <v>668</v>
      </c>
      <c r="F425" s="155">
        <f>650+50</f>
        <v>700</v>
      </c>
      <c r="G425" s="155">
        <f>F425*12</f>
        <v>8400</v>
      </c>
      <c r="H425" s="155">
        <v>70</v>
      </c>
      <c r="I425" s="155"/>
      <c r="J425" s="155">
        <f>F425</f>
        <v>700</v>
      </c>
      <c r="K425" s="155">
        <v>300</v>
      </c>
      <c r="L425" s="155"/>
      <c r="M425" s="155">
        <v>125</v>
      </c>
      <c r="N425" s="155">
        <v>30</v>
      </c>
      <c r="O425" s="155">
        <v>100</v>
      </c>
      <c r="P425" s="155">
        <f t="shared" si="365"/>
        <v>796.25</v>
      </c>
      <c r="Q425" s="155"/>
      <c r="R425" s="155">
        <f>P425/13</f>
        <v>61.25</v>
      </c>
      <c r="S425" s="155"/>
      <c r="T425" s="155"/>
      <c r="U425" s="155">
        <f t="shared" si="370"/>
        <v>682.5</v>
      </c>
      <c r="V425" s="155">
        <f t="shared" si="375"/>
        <v>52.5</v>
      </c>
      <c r="W425" s="155"/>
      <c r="X425" s="155"/>
      <c r="Y425" s="155">
        <f t="shared" si="351"/>
        <v>1478.75</v>
      </c>
      <c r="Z425" s="155">
        <f t="shared" si="366"/>
        <v>91</v>
      </c>
      <c r="AA425" s="155">
        <f t="shared" si="376"/>
        <v>7</v>
      </c>
      <c r="AB425" s="155">
        <f t="shared" si="373"/>
        <v>225</v>
      </c>
      <c r="AC425" s="155">
        <f t="shared" si="367"/>
        <v>17.440000000000001</v>
      </c>
      <c r="AD425" s="155"/>
      <c r="AE425" s="155">
        <f t="shared" si="368"/>
        <v>16.88</v>
      </c>
      <c r="AF425" s="155"/>
      <c r="AG425" s="155">
        <f t="shared" si="369"/>
        <v>34.32</v>
      </c>
      <c r="AH425" s="155">
        <f>AB425*0.01</f>
        <v>2.25</v>
      </c>
      <c r="AI425" s="225"/>
      <c r="AJ425" s="225"/>
      <c r="AK425" s="225"/>
      <c r="AL425" s="155"/>
    </row>
    <row r="426" spans="1:38" ht="21.9" customHeight="1">
      <c r="A426" s="154">
        <f t="shared" si="364"/>
        <v>359</v>
      </c>
      <c r="B426" s="176" t="s">
        <v>742</v>
      </c>
      <c r="C426" s="175" t="s">
        <v>594</v>
      </c>
      <c r="D426" s="161" t="s">
        <v>79</v>
      </c>
      <c r="E426" s="163" t="s">
        <v>668</v>
      </c>
      <c r="F426" s="155">
        <v>417</v>
      </c>
      <c r="G426" s="155">
        <f>F426*12</f>
        <v>5004</v>
      </c>
      <c r="H426" s="155">
        <v>70</v>
      </c>
      <c r="I426" s="155"/>
      <c r="J426" s="155">
        <f>F426</f>
        <v>417</v>
      </c>
      <c r="K426" s="155">
        <v>300</v>
      </c>
      <c r="L426" s="155"/>
      <c r="M426" s="155">
        <v>125</v>
      </c>
      <c r="N426" s="155">
        <v>30</v>
      </c>
      <c r="O426" s="155">
        <v>100</v>
      </c>
      <c r="P426" s="155">
        <f t="shared" si="365"/>
        <v>474.34</v>
      </c>
      <c r="Q426" s="155">
        <f>P426/13</f>
        <v>36.487692307692306</v>
      </c>
      <c r="R426" s="155"/>
      <c r="S426" s="155"/>
      <c r="T426" s="155"/>
      <c r="U426" s="155">
        <f t="shared" si="370"/>
        <v>406.58</v>
      </c>
      <c r="V426" s="155">
        <f t="shared" si="375"/>
        <v>31.275384615384613</v>
      </c>
      <c r="W426" s="155"/>
      <c r="X426" s="155"/>
      <c r="Y426" s="155">
        <f t="shared" si="351"/>
        <v>880.92</v>
      </c>
      <c r="Z426" s="155">
        <f t="shared" si="366"/>
        <v>54.21</v>
      </c>
      <c r="AA426" s="155">
        <f t="shared" si="376"/>
        <v>4.17</v>
      </c>
      <c r="AB426" s="155">
        <f t="shared" si="373"/>
        <v>134.03571428571428</v>
      </c>
      <c r="AC426" s="155">
        <f t="shared" si="367"/>
        <v>10.39</v>
      </c>
      <c r="AD426" s="155"/>
      <c r="AE426" s="155">
        <f t="shared" si="368"/>
        <v>10.050000000000001</v>
      </c>
      <c r="AF426" s="155"/>
      <c r="AG426" s="155">
        <f t="shared" si="369"/>
        <v>20.440000000000001</v>
      </c>
      <c r="AH426" s="155">
        <f>AB426*0.01</f>
        <v>1.3403571428571428</v>
      </c>
      <c r="AI426" s="155"/>
      <c r="AJ426" s="155"/>
      <c r="AK426" s="155"/>
      <c r="AL426" s="155"/>
    </row>
    <row r="427" spans="1:38" ht="21.9" customHeight="1">
      <c r="A427" s="231"/>
      <c r="B427" s="176"/>
      <c r="C427" s="175"/>
      <c r="D427" s="161"/>
      <c r="E427" s="163"/>
      <c r="F427" s="153">
        <f t="shared" ref="F427:P427" si="377">SUM(F406:F426)</f>
        <v>13954.15</v>
      </c>
      <c r="G427" s="153">
        <f t="shared" si="377"/>
        <v>167449.79999999999</v>
      </c>
      <c r="H427" s="153">
        <f t="shared" si="377"/>
        <v>1470</v>
      </c>
      <c r="I427" s="153">
        <f t="shared" si="377"/>
        <v>0</v>
      </c>
      <c r="J427" s="153">
        <f t="shared" si="377"/>
        <v>13954.15</v>
      </c>
      <c r="K427" s="153">
        <f t="shared" si="377"/>
        <v>6300</v>
      </c>
      <c r="L427" s="153">
        <f t="shared" si="377"/>
        <v>0</v>
      </c>
      <c r="M427" s="153">
        <f t="shared" si="377"/>
        <v>2250</v>
      </c>
      <c r="N427" s="153">
        <f t="shared" si="377"/>
        <v>630</v>
      </c>
      <c r="O427" s="153">
        <f t="shared" si="377"/>
        <v>2100</v>
      </c>
      <c r="P427" s="153">
        <f t="shared" si="377"/>
        <v>15193.77</v>
      </c>
      <c r="Q427" s="153">
        <f>SUM(Q406:Q426)+0.02</f>
        <v>649.72153846153856</v>
      </c>
      <c r="R427" s="153">
        <f>SUM(R406:R426)</f>
        <v>519.05000000000007</v>
      </c>
      <c r="S427" s="153">
        <f>SUM(S406:S426)</f>
        <v>0</v>
      </c>
      <c r="T427" s="153">
        <f>SUM(T406:T426)</f>
        <v>0</v>
      </c>
      <c r="U427" s="153">
        <f>SUM(U406:U426)</f>
        <v>13117.849999999999</v>
      </c>
      <c r="V427" s="153">
        <f>SUM(V406:V426)+0.06</f>
        <v>1009.1253846153845</v>
      </c>
      <c r="W427" s="153">
        <f>SUM(W406:W426)</f>
        <v>465.66</v>
      </c>
      <c r="X427" s="153">
        <f>SUM(X406:X426)</f>
        <v>38.805</v>
      </c>
      <c r="Y427" s="153">
        <f>SUM(Y406:Y426)</f>
        <v>28777.279999999995</v>
      </c>
      <c r="Z427" s="153">
        <f>SUM(Z406:Z426)</f>
        <v>1814.0399999999995</v>
      </c>
      <c r="AA427" s="153">
        <f>SUM(AA406:AA426)</f>
        <v>139.54153846153847</v>
      </c>
      <c r="AB427" s="153">
        <f>SUM(AB406:AB426)+0.01</f>
        <v>4485.2425000000012</v>
      </c>
      <c r="AC427" s="153">
        <f>SUM(AC406:AC426)</f>
        <v>332.73999999999995</v>
      </c>
      <c r="AD427" s="153">
        <f>SUM(AD406:AD426)</f>
        <v>0</v>
      </c>
      <c r="AE427" s="153">
        <f>SUM(AE406:AE426)</f>
        <v>336.4</v>
      </c>
      <c r="AF427" s="153">
        <f>SUM(AF406:AF426)</f>
        <v>11.513571428571428</v>
      </c>
      <c r="AG427" s="153">
        <f>SUM(AG406:AG426)</f>
        <v>680.65357142857169</v>
      </c>
      <c r="AH427" s="153">
        <f>SUM(AH406:AH426)+0.01</f>
        <v>44.862325000000013</v>
      </c>
      <c r="AI427" s="153"/>
      <c r="AJ427" s="153"/>
      <c r="AK427" s="153"/>
      <c r="AL427" s="153"/>
    </row>
    <row r="428" spans="1:38" ht="21.9" customHeight="1">
      <c r="A428" s="232"/>
      <c r="B428" s="310" t="s">
        <v>688</v>
      </c>
      <c r="C428" s="310"/>
      <c r="D428" s="310"/>
      <c r="E428" s="310"/>
      <c r="F428" s="311">
        <f t="shared" ref="F428:AL428" si="378">SUM(F427,F405)</f>
        <v>79573.790000000008</v>
      </c>
      <c r="G428" s="311">
        <f t="shared" si="378"/>
        <v>954885.48</v>
      </c>
      <c r="H428" s="311">
        <f t="shared" si="378"/>
        <v>8960</v>
      </c>
      <c r="I428" s="311">
        <f t="shared" si="378"/>
        <v>0</v>
      </c>
      <c r="J428" s="311">
        <f t="shared" si="378"/>
        <v>79573.790000000008</v>
      </c>
      <c r="K428" s="311">
        <f t="shared" si="378"/>
        <v>38400</v>
      </c>
      <c r="L428" s="311">
        <f t="shared" si="378"/>
        <v>0</v>
      </c>
      <c r="M428" s="311">
        <f t="shared" si="378"/>
        <v>12875</v>
      </c>
      <c r="N428" s="311">
        <f t="shared" si="378"/>
        <v>3840</v>
      </c>
      <c r="O428" s="311">
        <f t="shared" si="378"/>
        <v>12800</v>
      </c>
      <c r="P428" s="311">
        <f t="shared" si="378"/>
        <v>88898.639999999868</v>
      </c>
      <c r="Q428" s="311">
        <f t="shared" si="378"/>
        <v>2748.3092307692305</v>
      </c>
      <c r="R428" s="311">
        <f t="shared" si="378"/>
        <v>4090.1376923076896</v>
      </c>
      <c r="S428" s="311">
        <f t="shared" si="378"/>
        <v>0</v>
      </c>
      <c r="T428" s="311">
        <f t="shared" si="378"/>
        <v>0</v>
      </c>
      <c r="U428" s="311">
        <f t="shared" si="378"/>
        <v>77097.390000000101</v>
      </c>
      <c r="V428" s="311">
        <f t="shared" si="378"/>
        <v>5930.9884615384617</v>
      </c>
      <c r="W428" s="311">
        <f t="shared" si="378"/>
        <v>1108.6061999999999</v>
      </c>
      <c r="X428" s="311">
        <f t="shared" si="378"/>
        <v>92.383849999999995</v>
      </c>
      <c r="Y428" s="311">
        <f t="shared" si="378"/>
        <v>167104.63619999992</v>
      </c>
      <c r="Z428" s="311">
        <f t="shared" si="378"/>
        <v>10344.57</v>
      </c>
      <c r="AA428" s="311">
        <f t="shared" si="378"/>
        <v>795.73615384615425</v>
      </c>
      <c r="AB428" s="311">
        <f t="shared" si="378"/>
        <v>25577.37964285713</v>
      </c>
      <c r="AC428" s="311">
        <f t="shared" si="378"/>
        <v>2071.0100000000002</v>
      </c>
      <c r="AD428" s="311">
        <f t="shared" si="378"/>
        <v>0</v>
      </c>
      <c r="AE428" s="311">
        <f t="shared" si="378"/>
        <v>1918.2599999999998</v>
      </c>
      <c r="AF428" s="311">
        <f t="shared" si="378"/>
        <v>81.164478571428575</v>
      </c>
      <c r="AG428" s="311">
        <f t="shared" si="378"/>
        <v>4070.4244785714291</v>
      </c>
      <c r="AH428" s="311">
        <f t="shared" si="378"/>
        <v>255.80259642857135</v>
      </c>
      <c r="AI428" s="311">
        <f t="shared" si="378"/>
        <v>0</v>
      </c>
      <c r="AJ428" s="311">
        <f t="shared" si="378"/>
        <v>0</v>
      </c>
      <c r="AK428" s="311">
        <f t="shared" si="378"/>
        <v>0</v>
      </c>
      <c r="AL428" s="311">
        <f t="shared" si="378"/>
        <v>0</v>
      </c>
    </row>
    <row r="429" spans="1:38" ht="21.9" customHeight="1">
      <c r="A429" s="312"/>
      <c r="B429" s="310" t="s">
        <v>617</v>
      </c>
      <c r="C429" s="310"/>
      <c r="D429" s="310"/>
      <c r="E429" s="310"/>
      <c r="F429" s="153">
        <f t="shared" ref="F429:X429" si="379">SUM(F151+F206+F271+F291+F428)</f>
        <v>241190.25</v>
      </c>
      <c r="G429" s="153">
        <f t="shared" si="379"/>
        <v>2894283</v>
      </c>
      <c r="H429" s="153">
        <f t="shared" si="379"/>
        <v>25130</v>
      </c>
      <c r="I429" s="153">
        <f t="shared" ca="1" si="379"/>
        <v>15000</v>
      </c>
      <c r="J429" s="153">
        <f t="shared" si="379"/>
        <v>244190.25</v>
      </c>
      <c r="K429" s="153">
        <f t="shared" si="379"/>
        <v>107700</v>
      </c>
      <c r="L429" s="153">
        <f t="shared" si="379"/>
        <v>16800</v>
      </c>
      <c r="M429" s="153">
        <f t="shared" si="379"/>
        <v>33000</v>
      </c>
      <c r="N429" s="153">
        <f t="shared" si="379"/>
        <v>10770</v>
      </c>
      <c r="O429" s="153">
        <f t="shared" si="379"/>
        <v>35900</v>
      </c>
      <c r="P429" s="153">
        <f t="shared" si="379"/>
        <v>301454.7699999999</v>
      </c>
      <c r="Q429" s="153">
        <f t="shared" si="379"/>
        <v>9615.7638461538445</v>
      </c>
      <c r="R429" s="153">
        <f t="shared" si="379"/>
        <v>13415.814615384616</v>
      </c>
      <c r="S429" s="153">
        <f t="shared" si="379"/>
        <v>679.57499999999993</v>
      </c>
      <c r="T429" s="153">
        <f t="shared" si="379"/>
        <v>56.631249999999994</v>
      </c>
      <c r="U429" s="153">
        <f t="shared" si="379"/>
        <v>236573.42000000013</v>
      </c>
      <c r="V429" s="153">
        <f t="shared" si="379"/>
        <v>18198.985384615386</v>
      </c>
      <c r="W429" s="153">
        <f t="shared" si="379"/>
        <v>4897.1832000000004</v>
      </c>
      <c r="X429" s="153">
        <f t="shared" si="379"/>
        <v>385.54859999999996</v>
      </c>
      <c r="Y429" s="153">
        <f>SUM(Y151+Y206+Y271+Y291+Y428)+0.01</f>
        <v>543604.95819999988</v>
      </c>
      <c r="Z429" s="153">
        <f t="shared" ref="Z429:AL429" si="380">SUM(Z151+Z206+Z271+Z291+Z428)</f>
        <v>31572.190000000002</v>
      </c>
      <c r="AA429" s="153">
        <f t="shared" si="380"/>
        <v>2418.6400000000003</v>
      </c>
      <c r="AB429" s="153">
        <f t="shared" si="380"/>
        <v>26292.226785714272</v>
      </c>
      <c r="AC429" s="153">
        <f t="shared" si="380"/>
        <v>2126.4100000000003</v>
      </c>
      <c r="AD429" s="153">
        <f t="shared" si="380"/>
        <v>0</v>
      </c>
      <c r="AE429" s="153">
        <f t="shared" si="380"/>
        <v>1971.8799999999997</v>
      </c>
      <c r="AF429" s="153">
        <f t="shared" si="380"/>
        <v>81.164478571428575</v>
      </c>
      <c r="AG429" s="153">
        <f t="shared" si="380"/>
        <v>4179.4444785714295</v>
      </c>
      <c r="AH429" s="153">
        <f t="shared" si="380"/>
        <v>262.95116785714276</v>
      </c>
      <c r="AI429" s="153">
        <f t="shared" si="380"/>
        <v>50000</v>
      </c>
      <c r="AJ429" s="153">
        <f t="shared" si="380"/>
        <v>75000</v>
      </c>
      <c r="AK429" s="153">
        <f t="shared" si="380"/>
        <v>18500</v>
      </c>
      <c r="AL429" s="153">
        <f t="shared" si="380"/>
        <v>400400</v>
      </c>
    </row>
    <row r="430" spans="1:38" ht="21.9" customHeight="1">
      <c r="B430" s="196"/>
      <c r="C430" s="196"/>
      <c r="D430" s="196"/>
      <c r="E430" s="196"/>
      <c r="F430" s="197"/>
      <c r="G430" s="197"/>
      <c r="H430" s="197"/>
      <c r="I430" s="197"/>
      <c r="J430" s="197"/>
      <c r="K430" s="197"/>
      <c r="L430" s="197"/>
      <c r="M430" s="184"/>
      <c r="N430" s="184"/>
      <c r="O430" s="184"/>
      <c r="P430" s="184"/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  <c r="AA430" s="184"/>
      <c r="AB430" s="184"/>
      <c r="AC430" s="184"/>
      <c r="AD430" s="184"/>
      <c r="AE430" s="184"/>
      <c r="AF430" s="184"/>
      <c r="AG430" s="184"/>
      <c r="AH430" s="184"/>
      <c r="AI430" s="184"/>
      <c r="AJ430" s="184"/>
      <c r="AK430" s="184"/>
      <c r="AL430" s="184"/>
    </row>
    <row r="431" spans="1:38" ht="21.9" customHeight="1">
      <c r="D431" s="313"/>
      <c r="E431" s="128"/>
      <c r="F431" s="201" t="s">
        <v>751</v>
      </c>
      <c r="G431" s="201">
        <f ca="1">G429+I429+L429+P429+S429+U429+W429+Z429+AC429+AD429+AE429+AF429+AH429+AI429+AJ432+AK432+AL432+VACACIONES!H429+VACACIONES!I429+VACACIONES!J429+VACACIONES!K429+VACACIONES!L429+0.01</f>
        <v>3883072.9368392853</v>
      </c>
      <c r="H431" s="314"/>
      <c r="I431" s="315"/>
      <c r="J431" s="316"/>
      <c r="K431" s="128"/>
      <c r="L431" s="317"/>
      <c r="M431" s="317"/>
      <c r="N431" s="318"/>
      <c r="O431" s="185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  <c r="AA431" s="129"/>
      <c r="AB431" s="129"/>
      <c r="AC431" s="129"/>
      <c r="AD431" s="129"/>
      <c r="AE431" s="129"/>
      <c r="AF431" s="129"/>
      <c r="AG431" s="129"/>
      <c r="AH431" s="129"/>
      <c r="AI431" s="319" t="s">
        <v>710</v>
      </c>
      <c r="AJ431" s="319" t="s">
        <v>710</v>
      </c>
      <c r="AK431" s="319" t="s">
        <v>710</v>
      </c>
      <c r="AL431" s="319" t="s">
        <v>710</v>
      </c>
    </row>
    <row r="432" spans="1:38" ht="21.9" customHeight="1">
      <c r="D432" s="313"/>
      <c r="E432" s="128"/>
      <c r="F432" s="201" t="s">
        <v>752</v>
      </c>
      <c r="G432" s="201">
        <f>H429+J429+K429+M429+N429+O429+AB429+AJ434+AL434+VACACIONES!G429+0.01</f>
        <v>640324.97028571425</v>
      </c>
      <c r="H432" s="314"/>
      <c r="I432" s="320"/>
      <c r="J432" s="321"/>
      <c r="K432" s="128"/>
      <c r="L432" s="322"/>
      <c r="M432" s="228"/>
      <c r="N432" s="323"/>
      <c r="O432" s="185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  <c r="AA432" s="129"/>
      <c r="AB432" s="129"/>
      <c r="AC432" s="129"/>
      <c r="AD432" s="129"/>
      <c r="AE432" s="129"/>
      <c r="AF432" s="129"/>
      <c r="AG432" s="129"/>
      <c r="AH432" s="129"/>
      <c r="AI432" s="324">
        <f>AI429</f>
        <v>50000</v>
      </c>
      <c r="AJ432" s="324">
        <v>55764.23</v>
      </c>
      <c r="AK432" s="324">
        <f>AK429</f>
        <v>18500</v>
      </c>
      <c r="AL432" s="324">
        <v>277200</v>
      </c>
    </row>
    <row r="433" spans="4:38" ht="21.9" customHeight="1">
      <c r="D433" s="313"/>
      <c r="E433" s="128"/>
      <c r="F433" s="229" t="s">
        <v>708</v>
      </c>
      <c r="G433" s="201">
        <f ca="1">G431+G432</f>
        <v>4521088.5406964282</v>
      </c>
      <c r="H433" s="314">
        <f ca="1">G429+H429+I429+J429+K429+L429+M429+N429+O429+P429+S429+U429+W429+Z429+AB429+AC429+AD429+AE429+AF429+AH429+AI429+AJ429+AK429+AL429+VACACIONES!G429+VACACIONES!H429+VACACIONES!I429+VACACIONES!J429+VACACIONES!K429+VACACIONES!L429+0.02</f>
        <v>4521088.5406964272</v>
      </c>
      <c r="I433" s="320"/>
      <c r="J433" s="321"/>
      <c r="K433" s="325"/>
      <c r="L433" s="322"/>
      <c r="M433" s="228"/>
      <c r="N433" s="323"/>
      <c r="O433" s="185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  <c r="AA433" s="129"/>
      <c r="AB433" s="129"/>
      <c r="AC433" s="129"/>
      <c r="AD433" s="129"/>
      <c r="AE433" s="129"/>
      <c r="AF433" s="129"/>
      <c r="AG433" s="129"/>
      <c r="AH433" s="129"/>
      <c r="AI433" s="326" t="s">
        <v>709</v>
      </c>
      <c r="AJ433" s="326" t="s">
        <v>709</v>
      </c>
      <c r="AK433" s="326" t="s">
        <v>709</v>
      </c>
      <c r="AL433" s="326" t="s">
        <v>709</v>
      </c>
    </row>
    <row r="434" spans="4:38" ht="21.9" customHeight="1">
      <c r="D434" s="313"/>
      <c r="E434" s="128"/>
      <c r="F434" s="202"/>
      <c r="G434" s="232"/>
      <c r="H434" s="327">
        <f ca="1">G433-H433</f>
        <v>0</v>
      </c>
      <c r="I434" s="328"/>
      <c r="J434" s="128"/>
      <c r="K434" s="128"/>
      <c r="L434" s="329"/>
      <c r="M434" s="185"/>
      <c r="N434" s="185"/>
      <c r="O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  <c r="AA434" s="129"/>
      <c r="AB434" s="129"/>
      <c r="AC434" s="129"/>
      <c r="AD434" s="129"/>
      <c r="AE434" s="129"/>
      <c r="AF434" s="129"/>
      <c r="AG434" s="129"/>
      <c r="AH434" s="129"/>
      <c r="AI434" s="324">
        <v>0</v>
      </c>
      <c r="AJ434" s="324">
        <v>19235.77</v>
      </c>
      <c r="AK434" s="324">
        <v>0</v>
      </c>
      <c r="AL434" s="324">
        <v>123200</v>
      </c>
    </row>
    <row r="435" spans="4:38" ht="21.9" customHeight="1">
      <c r="D435" s="313"/>
      <c r="E435" s="128"/>
      <c r="F435" s="139"/>
      <c r="G435" s="128"/>
      <c r="H435" s="128"/>
      <c r="I435" s="128"/>
      <c r="J435" s="128"/>
      <c r="K435" s="128"/>
      <c r="L435" s="128"/>
      <c r="N435" s="129"/>
      <c r="O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  <c r="AA435" s="129"/>
      <c r="AB435" s="129"/>
      <c r="AC435" s="129"/>
      <c r="AD435" s="129"/>
      <c r="AE435" s="129"/>
      <c r="AF435" s="129"/>
      <c r="AG435" s="129"/>
      <c r="AH435" s="129"/>
      <c r="AI435" s="185">
        <f>AI432</f>
        <v>50000</v>
      </c>
      <c r="AJ435" s="323">
        <f>AJ432+AJ434</f>
        <v>75000</v>
      </c>
      <c r="AK435" s="323">
        <f>AK432+AK434</f>
        <v>18500</v>
      </c>
      <c r="AL435" s="323">
        <f>AL432+AL434</f>
        <v>400400</v>
      </c>
    </row>
    <row r="436" spans="4:38" ht="21.9" customHeight="1">
      <c r="F436" s="139"/>
    </row>
    <row r="437" spans="4:38" ht="21.9" customHeight="1">
      <c r="F437" s="139"/>
    </row>
    <row r="438" spans="4:38" ht="21.9" customHeight="1">
      <c r="F438" s="139"/>
    </row>
    <row r="439" spans="4:38" ht="21.9" customHeight="1">
      <c r="F439" s="139"/>
    </row>
    <row r="440" spans="4:38" ht="21.9" customHeight="1">
      <c r="F440" s="139"/>
    </row>
    <row r="441" spans="4:38" ht="21.9" customHeight="1">
      <c r="F441" s="139"/>
    </row>
    <row r="442" spans="4:38" ht="21.9" customHeight="1">
      <c r="F442" s="139"/>
    </row>
    <row r="443" spans="4:38" ht="21.9" customHeight="1">
      <c r="F443" s="139"/>
    </row>
    <row r="444" spans="4:38" ht="21.9" customHeight="1">
      <c r="F444" s="139"/>
    </row>
    <row r="445" spans="4:38" ht="21.9" customHeight="1">
      <c r="F445" s="139"/>
    </row>
    <row r="446" spans="4:38" ht="21.9" customHeight="1">
      <c r="F446" s="139"/>
    </row>
    <row r="447" spans="4:38" ht="21.9" customHeight="1">
      <c r="F447" s="139"/>
    </row>
    <row r="448" spans="4:38" ht="21.9" customHeight="1">
      <c r="F448" s="139"/>
    </row>
    <row r="449" spans="6:6" ht="21.9" customHeight="1">
      <c r="F449" s="139"/>
    </row>
    <row r="450" spans="6:6" ht="21.9" customHeight="1">
      <c r="F450" s="139"/>
    </row>
  </sheetData>
  <mergeCells count="47">
    <mergeCell ref="L431:M431"/>
    <mergeCell ref="N4:N5"/>
    <mergeCell ref="AL3:AL5"/>
    <mergeCell ref="F4:F5"/>
    <mergeCell ref="G4:G5"/>
    <mergeCell ref="H4:H5"/>
    <mergeCell ref="I4:I5"/>
    <mergeCell ref="J4:J5"/>
    <mergeCell ref="K4:K5"/>
    <mergeCell ref="AB3:AB5"/>
    <mergeCell ref="AI3:AI5"/>
    <mergeCell ref="AJ3:AJ5"/>
    <mergeCell ref="L4:L5"/>
    <mergeCell ref="AK3:AK5"/>
    <mergeCell ref="AC3:AH3"/>
    <mergeCell ref="AD4:AH4"/>
    <mergeCell ref="P3:AA3"/>
    <mergeCell ref="I3:M3"/>
    <mergeCell ref="B151:E151"/>
    <mergeCell ref="E3:E5"/>
    <mergeCell ref="F3:G3"/>
    <mergeCell ref="B137:E137"/>
    <mergeCell ref="D3:D5"/>
    <mergeCell ref="B27:C27"/>
    <mergeCell ref="B107:C107"/>
    <mergeCell ref="P4:R4"/>
    <mergeCell ref="B159:D159"/>
    <mergeCell ref="B150:E150"/>
    <mergeCell ref="B31:C31"/>
    <mergeCell ref="B47:D47"/>
    <mergeCell ref="B44:D44"/>
    <mergeCell ref="B37:C37"/>
    <mergeCell ref="A3:A5"/>
    <mergeCell ref="B3:B5"/>
    <mergeCell ref="C3:C5"/>
    <mergeCell ref="B23:C23"/>
    <mergeCell ref="O4:O5"/>
    <mergeCell ref="I432:J432"/>
    <mergeCell ref="I433:J433"/>
    <mergeCell ref="S4:AA4"/>
    <mergeCell ref="B429:E429"/>
    <mergeCell ref="B428:E428"/>
    <mergeCell ref="B291:E291"/>
    <mergeCell ref="B271:E271"/>
    <mergeCell ref="B206:E206"/>
    <mergeCell ref="M4:M5"/>
    <mergeCell ref="I431:J431"/>
  </mergeCells>
  <phoneticPr fontId="35" type="noConversion"/>
  <printOptions horizontalCentered="1"/>
  <pageMargins left="0.70866141732283472" right="0.70866141732283472" top="1.1417322834645669" bottom="0.94488188976377963" header="0.31496062992125984" footer="0.31496062992125984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VACACIONES</vt:lpstr>
      <vt:lpstr>SALARIO</vt:lpstr>
      <vt:lpstr>SALARIO!Títulos_a_imprimir</vt:lpstr>
      <vt:lpstr>VACACIONES!Títulos_a_imprimir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UGTH_Colab</cp:lastModifiedBy>
  <cp:lastPrinted>2024-01-29T20:11:34Z</cp:lastPrinted>
  <dcterms:created xsi:type="dcterms:W3CDTF">2021-10-27T19:40:53Z</dcterms:created>
  <dcterms:modified xsi:type="dcterms:W3CDTF">2024-01-29T20:37:04Z</dcterms:modified>
</cp:coreProperties>
</file>